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OTG\Inventory\"/>
    </mc:Choice>
  </mc:AlternateContent>
  <xr:revisionPtr revIDLastSave="0" documentId="8_{C8F7E8D2-0D63-4C7F-BBE2-26A0ABC9F4F3}" xr6:coauthVersionLast="46" xr6:coauthVersionMax="46" xr10:uidLastSave="{00000000-0000-0000-0000-000000000000}"/>
  <bookViews>
    <workbookView xWindow="-120" yWindow="-120" windowWidth="29040" windowHeight="15840" xr2:uid="{613986AF-3C55-4CE3-90B3-4047E05B2EFD}"/>
  </bookViews>
  <sheets>
    <sheet name="Summary " sheetId="1" r:id="rId1"/>
    <sheet name="Pallet 1" sheetId="2" r:id="rId2"/>
    <sheet name="Pallet 2" sheetId="3" r:id="rId3"/>
    <sheet name="Pallet 3" sheetId="4" r:id="rId4"/>
    <sheet name="Pallet 4" sheetId="5" r:id="rId5"/>
    <sheet name="Pallet 5" sheetId="6" r:id="rId6"/>
    <sheet name="Pallet 6" sheetId="7" r:id="rId7"/>
    <sheet name="Pallet 7" sheetId="8" r:id="rId8"/>
    <sheet name="Pallet 8" sheetId="9" r:id="rId9"/>
    <sheet name="Pallet 9" sheetId="10" r:id="rId10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7" i="10" l="1"/>
  <c r="L36" i="10"/>
  <c r="L35" i="10"/>
  <c r="L34" i="10"/>
  <c r="L33" i="10"/>
  <c r="L32" i="10"/>
  <c r="L31" i="10"/>
  <c r="L30" i="10"/>
  <c r="L29" i="10"/>
  <c r="L28" i="10"/>
  <c r="L27" i="10"/>
  <c r="L26" i="10"/>
  <c r="L25" i="10"/>
  <c r="L24" i="10"/>
  <c r="L23" i="10"/>
  <c r="L22" i="10"/>
  <c r="L21" i="10"/>
  <c r="L20" i="10"/>
  <c r="L19" i="10"/>
  <c r="L18" i="10"/>
  <c r="L17" i="10"/>
  <c r="L16" i="10"/>
  <c r="L15" i="10"/>
  <c r="L14" i="10"/>
  <c r="L13" i="10"/>
  <c r="L12" i="10"/>
  <c r="L11" i="10"/>
  <c r="L10" i="10"/>
  <c r="L9" i="10"/>
  <c r="L8" i="10"/>
  <c r="L7" i="10"/>
  <c r="L6" i="10"/>
  <c r="L5" i="10"/>
  <c r="L4" i="10"/>
  <c r="L3" i="10"/>
  <c r="L2" i="10"/>
  <c r="L38" i="9"/>
  <c r="L37" i="9"/>
  <c r="L36" i="9"/>
  <c r="L35" i="9"/>
  <c r="L34" i="9"/>
  <c r="L33" i="9"/>
  <c r="L32" i="9"/>
  <c r="L31" i="9"/>
  <c r="L30" i="9"/>
  <c r="L29" i="9"/>
  <c r="L28" i="9"/>
  <c r="L27" i="9"/>
  <c r="L26" i="9"/>
  <c r="L25" i="9"/>
  <c r="L24" i="9"/>
  <c r="L23" i="9"/>
  <c r="L22" i="9"/>
  <c r="L21" i="9"/>
  <c r="L20" i="9"/>
  <c r="L19" i="9"/>
  <c r="L18" i="9"/>
  <c r="L17" i="9"/>
  <c r="L16" i="9"/>
  <c r="L15" i="9"/>
  <c r="L14" i="9"/>
  <c r="L13" i="9"/>
  <c r="L12" i="9"/>
  <c r="L11" i="9"/>
  <c r="L10" i="9"/>
  <c r="L9" i="9"/>
  <c r="L8" i="9"/>
  <c r="L7" i="9"/>
  <c r="L6" i="9"/>
  <c r="L5" i="9"/>
  <c r="L4" i="9"/>
  <c r="L3" i="9"/>
  <c r="L2" i="9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L11" i="8"/>
  <c r="L10" i="8"/>
  <c r="L9" i="8"/>
  <c r="L8" i="8"/>
  <c r="L7" i="8"/>
  <c r="L6" i="8"/>
  <c r="L5" i="8"/>
  <c r="L4" i="8"/>
  <c r="L3" i="8"/>
  <c r="L2" i="8"/>
  <c r="L31" i="7"/>
  <c r="L30" i="7"/>
  <c r="L29" i="7"/>
  <c r="L28" i="7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L14" i="7"/>
  <c r="L13" i="7"/>
  <c r="L12" i="7"/>
  <c r="L11" i="7"/>
  <c r="L10" i="7"/>
  <c r="L9" i="7"/>
  <c r="L8" i="7"/>
  <c r="L7" i="7"/>
  <c r="L6" i="7"/>
  <c r="L5" i="7"/>
  <c r="L4" i="7"/>
  <c r="L3" i="7"/>
  <c r="L2" i="7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L5" i="6"/>
  <c r="L4" i="6"/>
  <c r="L3" i="6"/>
  <c r="L2" i="6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L6" i="5"/>
  <c r="L5" i="5"/>
  <c r="L4" i="5"/>
  <c r="L3" i="5"/>
  <c r="L2" i="5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L5" i="4"/>
  <c r="L4" i="4"/>
  <c r="L3" i="4"/>
  <c r="L2" i="4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L5" i="3"/>
  <c r="L4" i="3"/>
  <c r="L3" i="3"/>
  <c r="L2" i="3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L3" i="2"/>
  <c r="L2" i="2"/>
  <c r="B11" i="1"/>
  <c r="A11" i="1"/>
</calcChain>
</file>

<file path=xl/sharedStrings.xml><?xml version="1.0" encoding="utf-8"?>
<sst xmlns="http://schemas.openxmlformats.org/spreadsheetml/2006/main" count="2544" uniqueCount="1222">
  <si>
    <t>Units</t>
  </si>
  <si>
    <t>Value</t>
  </si>
  <si>
    <t>UPC</t>
  </si>
  <si>
    <t>ITEM DESCRIPTION</t>
  </si>
  <si>
    <t>ORIGINAL QTY</t>
  </si>
  <si>
    <t>TOTAL ORIGINAL RETAIL</t>
  </si>
  <si>
    <t>VENDOR / STYLE #</t>
  </si>
  <si>
    <t>COLOR</t>
  </si>
  <si>
    <t>SIZE</t>
  </si>
  <si>
    <t>DEPARTMENT NAME</t>
  </si>
  <si>
    <t>VENDOR NAME</t>
  </si>
  <si>
    <t>COUNTRY OF ORIGIN</t>
  </si>
  <si>
    <t>FABRIC CONTENT</t>
  </si>
  <si>
    <t>IMAGE</t>
  </si>
  <si>
    <t>782717560229</t>
  </si>
  <si>
    <t>Pure Care Rayon From Bamboo Premium Shee Silver California King</t>
  </si>
  <si>
    <t>PCSB-CK-GY</t>
  </si>
  <si>
    <t>SILVER</t>
  </si>
  <si>
    <t>SHEETS &amp;CASES</t>
  </si>
  <si>
    <t>FABRIC TECH 2000/PURECARE</t>
  </si>
  <si>
    <t>IMPORTED</t>
  </si>
  <si>
    <t>RAYON BAMBOO AND COTTON</t>
  </si>
  <si>
    <t>635983499734</t>
  </si>
  <si>
    <t>Ella Jayne Overstuffed Plush MediumFirm White King</t>
  </si>
  <si>
    <t>BMI10192L4K</t>
  </si>
  <si>
    <t>WHITE</t>
  </si>
  <si>
    <t>KING</t>
  </si>
  <si>
    <t>PILLWS&amp;PADS</t>
  </si>
  <si>
    <t>ELLA JAYNE/PILLOW GUY INC</t>
  </si>
  <si>
    <t>MADE IN USA</t>
  </si>
  <si>
    <t>SHELL: 220 THREAD COUNT POLYESTER MICROFIBER, FILL: 100% DOWN ALTERNATIVE FINE GEL FIBERS</t>
  </si>
  <si>
    <t>840444133250</t>
  </si>
  <si>
    <t>Chic Home Chic Home Beckham 7-Pc. Twin C Grey Twin</t>
  </si>
  <si>
    <t>CS3325-MC</t>
  </si>
  <si>
    <t>GRAY</t>
  </si>
  <si>
    <t>RTCOMFORTE</t>
  </si>
  <si>
    <t>MOD BEDDING</t>
  </si>
  <si>
    <t>CHIC HOME DESIGN LLC</t>
  </si>
  <si>
    <t>FABRIC: 100% POLYESTER MICROFIBERFILL: 100% POLYESTER</t>
  </si>
  <si>
    <t>849203043083</t>
  </si>
  <si>
    <t>PKaufmann Home Prism Secure Fit XL Sofa Furni Grey Sofa Slipcover</t>
  </si>
  <si>
    <t>9687XLS</t>
  </si>
  <si>
    <t>DEC PILL/THRW</t>
  </si>
  <si>
    <t>P KAUFMANN INC</t>
  </si>
  <si>
    <t>POLYESTER</t>
  </si>
  <si>
    <t>848742072646</t>
  </si>
  <si>
    <t>Lush Decor Ruffle Skirt 3-Piece Queen Bed White Queen</t>
  </si>
  <si>
    <t>16T002846</t>
  </si>
  <si>
    <t>LUSH DECOR/TRIANGLE HOME FASHIONS</t>
  </si>
  <si>
    <t>41808953099</t>
  </si>
  <si>
    <t>Jessica Simpson Jessica Simpson Jaydette 4 Pie Blue King</t>
  </si>
  <si>
    <t>A347B17BLEFS</t>
  </si>
  <si>
    <t>NAVY</t>
  </si>
  <si>
    <t>JESSICA SIMPSON/PEKING HANDICRAFT</t>
  </si>
  <si>
    <t>857288005490</t>
  </si>
  <si>
    <t>ienjoy Home Home Collection Premium 8 Piec Ivory Full</t>
  </si>
  <si>
    <t>BIABSLDFIENJ</t>
  </si>
  <si>
    <t>NATURAL</t>
  </si>
  <si>
    <t>IENJOY HOME/IENJOY LLC</t>
  </si>
  <si>
    <t>MICROFIBER</t>
  </si>
  <si>
    <t>86569349279</t>
  </si>
  <si>
    <t>Addison Park Brystol blue Queen 9pc Comfort Blue Brown Queen</t>
  </si>
  <si>
    <t>MCH10-1705</t>
  </si>
  <si>
    <t>JLA HOME/E &amp; E CO LTD</t>
  </si>
  <si>
    <t>636202611975</t>
  </si>
  <si>
    <t>Hotel Collection Hotel Collection 525 Thread Co White Queen</t>
  </si>
  <si>
    <t>5W17QSS790</t>
  </si>
  <si>
    <t>HOTEL LUX BDG</t>
  </si>
  <si>
    <t>HOTEL BY C CLUB-EDI/RWI/KADRI MILLS</t>
  </si>
  <si>
    <t>FABRIC: 100% COTTON</t>
  </si>
  <si>
    <t>813766022335</t>
  </si>
  <si>
    <t>Saffron Fabs Saffron Fabs Bubble 50 x 30 Gray 2 piece set</t>
  </si>
  <si>
    <t>SFBR1232</t>
  </si>
  <si>
    <t>BATH RUGS/ACC</t>
  </si>
  <si>
    <t>SAFFRON FABS CORPORATION</t>
  </si>
  <si>
    <t>COTTON AND MICROFIBER</t>
  </si>
  <si>
    <t>788904113353</t>
  </si>
  <si>
    <t>Royal Luxe White Goose 240-Thread Count K White King</t>
  </si>
  <si>
    <t>KGCOMFORTE</t>
  </si>
  <si>
    <t>DOWN COMFORTR</t>
  </si>
  <si>
    <t>BLUE RIDGE HOME FASHIONS</t>
  </si>
  <si>
    <t>DOWN FILL</t>
  </si>
  <si>
    <t>655385040648</t>
  </si>
  <si>
    <t>Elite Home Organic Cotton Duvet Sets Oat King</t>
  </si>
  <si>
    <t>300DSKG514ORGNC</t>
  </si>
  <si>
    <t>MED PURPLE</t>
  </si>
  <si>
    <t>ELITE HOME PRODUCTS INC</t>
  </si>
  <si>
    <t>100% COTTON</t>
  </si>
  <si>
    <t>193842108413</t>
  </si>
  <si>
    <t>J Queen New York Tribeca Neckroll Pillow Charcoal</t>
  </si>
  <si>
    <t>2544081NECK</t>
  </si>
  <si>
    <t>CHARCOAL</t>
  </si>
  <si>
    <t>TRAD TXTL COL</t>
  </si>
  <si>
    <t>J QUEEN NEW YORK INC</t>
  </si>
  <si>
    <t>706258050605</t>
  </si>
  <si>
    <t>Charter Club Damask Stripe Supima Cotton 55 Glacier Light Green Full</t>
  </si>
  <si>
    <t>DLLSTFLSGLA</t>
  </si>
  <si>
    <t>TURQ/AQUA</t>
  </si>
  <si>
    <t>CC MOD BEDDNG</t>
  </si>
  <si>
    <t>CHARTER CLUB-EDI/RWI/VTX</t>
  </si>
  <si>
    <t>SUPIMA COTTON</t>
  </si>
  <si>
    <t>732994719407</t>
  </si>
  <si>
    <t>Hotel Collection Cotton SmallMedium Spa Robe White SM</t>
  </si>
  <si>
    <t>PB TOWELS</t>
  </si>
  <si>
    <t>MMG-HOTEL BY CC</t>
  </si>
  <si>
    <t>602545266554</t>
  </si>
  <si>
    <t>Chesapeake Chesapeake Pebbles 2 Piece Bat Blue NO SIZE</t>
  </si>
  <si>
    <t>PEBBLES</t>
  </si>
  <si>
    <t>CHESAPEAKE MERCHANDISING INC</t>
  </si>
  <si>
    <t>COTTON</t>
  </si>
  <si>
    <t>854306007405</t>
  </si>
  <si>
    <t>PharMeDoc Pharmedoc Pregnancy Pillow wit Grey</t>
  </si>
  <si>
    <t>PMD-U-BP-JC</t>
  </si>
  <si>
    <t>NO SIZE</t>
  </si>
  <si>
    <t>PHARMEDOC INC</t>
  </si>
  <si>
    <t>PILLOW FILLING - POLYFIL, COVER - JERSEY</t>
  </si>
  <si>
    <t>689192610442</t>
  </si>
  <si>
    <t>Ella Jayne All-Season Soft Brushed Microf White King</t>
  </si>
  <si>
    <t>EJHCF90WH3</t>
  </si>
  <si>
    <t>675716866211</t>
  </si>
  <si>
    <t>Mi Zone Pipeline 4-Pc. FullQueen Duve Navy FullQueen</t>
  </si>
  <si>
    <t>MZ12-504</t>
  </si>
  <si>
    <t>DUVET COVER/SHAM/PILLOW COVER: POLYESTER; PILLOW FILL: POLYESTER</t>
  </si>
  <si>
    <t>693614011564</t>
  </si>
  <si>
    <t>Ella Jayne Waterproof and Hypoallergenic White Queen</t>
  </si>
  <si>
    <t>EJHMPWP3</t>
  </si>
  <si>
    <t>QNMATTRESS</t>
  </si>
  <si>
    <t>100% POLYESTER</t>
  </si>
  <si>
    <t>734737637153</t>
  </si>
  <si>
    <t>Sunham Erin 12-Pc. Queen Comforter Se Blue Queen</t>
  </si>
  <si>
    <t>SUNHAM CO USA</t>
  </si>
  <si>
    <t>734737532724</t>
  </si>
  <si>
    <t>Fairfield Square Collection Paris Gold 8-Pc. Reversible Qu White Queen</t>
  </si>
  <si>
    <t>18393224NCPV</t>
  </si>
  <si>
    <t>FABRIC: POLYESTER; POLYESTER FILL</t>
  </si>
  <si>
    <t>26865929270</t>
  </si>
  <si>
    <t>Elrene Kaiden Blackout Lined 52 x 84 Soft Blue 52x84</t>
  </si>
  <si>
    <t>21187SFB</t>
  </si>
  <si>
    <t>LT/PASBLUE</t>
  </si>
  <si>
    <t>ELRENE HOME FASHIONS</t>
  </si>
  <si>
    <t>635983499475</t>
  </si>
  <si>
    <t>Ella Jayne Overstuffed Plush MediumFirm White Standard</t>
  </si>
  <si>
    <t>BMI10321LS</t>
  </si>
  <si>
    <t>SINGLE</t>
  </si>
  <si>
    <t>718498952304</t>
  </si>
  <si>
    <t>Shavel Polar Bears Hi Pile Luxury 60x Polar Bears Throw</t>
  </si>
  <si>
    <t>HP60X80PBEARS</t>
  </si>
  <si>
    <t>SHAVEL ASSOCIATES</t>
  </si>
  <si>
    <t>675716410681</t>
  </si>
  <si>
    <t>Sleep Philosophy Serenity Queen Waterproof Down White Queen</t>
  </si>
  <si>
    <t>BASI16-0178</t>
  </si>
  <si>
    <t>WONDER WOOL/JLA HOME/E &amp; E CO LTD</t>
  </si>
  <si>
    <t>810026171512</t>
  </si>
  <si>
    <t>Cheer Collection Ultra Soft Faux Fur to Micropl Grey ONE SIZE</t>
  </si>
  <si>
    <t>CC-FRBLNK60X50-GRY</t>
  </si>
  <si>
    <t>DIGITALPRINTS USA CORP</t>
  </si>
  <si>
    <t>MICROPLUSH</t>
  </si>
  <si>
    <t>846339075339</t>
  </si>
  <si>
    <t>J Queen New York Zilara European Sham White European Sham</t>
  </si>
  <si>
    <t>2180020EURQS</t>
  </si>
  <si>
    <t>ALL POLYESTER</t>
  </si>
  <si>
    <t>29927584363</t>
  </si>
  <si>
    <t>No. 918 No. 918 Matias Embossed Trelli White 40x63</t>
  </si>
  <si>
    <t>LT BEIGE</t>
  </si>
  <si>
    <t>S LICHTENBERG &amp; CO.</t>
  </si>
  <si>
    <t>734737552388</t>
  </si>
  <si>
    <t>Sunham Colesville 3-Pc. Comforter Set Blush FullQueen</t>
  </si>
  <si>
    <t>18953122V</t>
  </si>
  <si>
    <t>RED</t>
  </si>
  <si>
    <t>191790028104</t>
  </si>
  <si>
    <t>AQ Textiles T300 CVC Twill Modernist King Taupe King</t>
  </si>
  <si>
    <t>71072104025AQT</t>
  </si>
  <si>
    <t>RUSTCOPPER</t>
  </si>
  <si>
    <t>AQ TEXTILES</t>
  </si>
  <si>
    <t>788904113209</t>
  </si>
  <si>
    <t>Royal Luxe Royal Luxe Microfiber Color Do Black Twin</t>
  </si>
  <si>
    <t>BLACK</t>
  </si>
  <si>
    <t>843020160954</t>
  </si>
  <si>
    <t>Perthshire Platinum Collection Chain 21x 34 Bath Rug Light Blue 21 x 34</t>
  </si>
  <si>
    <t>P2134-CHN-LBL</t>
  </si>
  <si>
    <t>21X34"</t>
  </si>
  <si>
    <t>H.N. INTERNATIONAL GROUP INC</t>
  </si>
  <si>
    <t>COTTON WITH LATEX BACK</t>
  </si>
  <si>
    <t>706254463010</t>
  </si>
  <si>
    <t>Hotel Collection Ultimate MicroCotton 30 x 5 Chocolate Bath Towels</t>
  </si>
  <si>
    <t>HTLMCBCHC</t>
  </si>
  <si>
    <t>BROWN</t>
  </si>
  <si>
    <t>BATH TOWEL</t>
  </si>
  <si>
    <t>706255871609</t>
  </si>
  <si>
    <t>Martha Stewart Collection Quick Dry Reversible Bath Towe Platinum Gray Bath Towels</t>
  </si>
  <si>
    <t>MSQDRBPG</t>
  </si>
  <si>
    <t>MARTHA STEWART-EDI/RWI/WELSPUN</t>
  </si>
  <si>
    <t>706255871654</t>
  </si>
  <si>
    <t>Martha Stewart Collection Quick Dry Reversible Bath Towe Biscay Blue Bath Towels</t>
  </si>
  <si>
    <t>MSQDRBBS</t>
  </si>
  <si>
    <t>MED BLUE</t>
  </si>
  <si>
    <t>706254463270</t>
  </si>
  <si>
    <t>Hotel Collection Ultimate MicroCotton 16 x 30 Chocolate Hand Towels</t>
  </si>
  <si>
    <t>HTLMCHCHC</t>
  </si>
  <si>
    <t>HAND TOWEL</t>
  </si>
  <si>
    <t>732998768142</t>
  </si>
  <si>
    <t>Home Design Cotton 27.6 x 54 Bath Towel Blue Bath Towels</t>
  </si>
  <si>
    <t>HOME DESIGN STUDIO-EDI/WELSPUN</t>
  </si>
  <si>
    <t>706254464505</t>
  </si>
  <si>
    <t>Hotel Collection Ultimate MicroCotton 13 x 13 Chocolate Washcloths</t>
  </si>
  <si>
    <t>HTLMCWCHC</t>
  </si>
  <si>
    <t>WASH CLOTH</t>
  </si>
  <si>
    <t>400013532725</t>
  </si>
  <si>
    <t>CRC GENERIC</t>
  </si>
  <si>
    <t>NO COLOR</t>
  </si>
  <si>
    <t>UPC DEFAULT</t>
  </si>
  <si>
    <t>NON-MRCHNDSE USE ONLY</t>
  </si>
  <si>
    <t>849203053419</t>
  </si>
  <si>
    <t>Rose Tree Rose Tree Clarissa 4 Piece Com Seafoam King</t>
  </si>
  <si>
    <t>GREEN</t>
  </si>
  <si>
    <t>ROSE TREE/P KAUFMANN INC</t>
  </si>
  <si>
    <t>38992921652</t>
  </si>
  <si>
    <t>Waterford Waterford Florence 4 Piece Com Chmbry Blu Queen</t>
  </si>
  <si>
    <t>CSFLRNW41303QU</t>
  </si>
  <si>
    <t>WATERFORD/W-C HOME FASHIONS LLC</t>
  </si>
  <si>
    <t>MADE IN CHINA</t>
  </si>
  <si>
    <t>COMFORTER, SHAMS, BEDSKIRT &amp; COMFORTER FILL: POLYESTER</t>
  </si>
  <si>
    <t>42075543372</t>
  </si>
  <si>
    <t>Peri Home Dot Fringe 3-Pc. King Comforte White King</t>
  </si>
  <si>
    <t>2-2115C4WT</t>
  </si>
  <si>
    <t>NEO COLLECTNS</t>
  </si>
  <si>
    <t>PERI HOME/CHF INDUSTRIES</t>
  </si>
  <si>
    <t>FABRIC: COTTON THREAD COUNT: 180; POLYESTER FILL</t>
  </si>
  <si>
    <t>883893657571</t>
  </si>
  <si>
    <t>Laura Ashley Madelynn Comforter FullQueen Duck Egg FullQueen</t>
  </si>
  <si>
    <t>USHS8K1146477</t>
  </si>
  <si>
    <t>BLUE</t>
  </si>
  <si>
    <t>LAURA ASHLEY/REVMAN INTERNATIONAL</t>
  </si>
  <si>
    <t>COTTON, POLYESTER FILL</t>
  </si>
  <si>
    <t>850013529094</t>
  </si>
  <si>
    <t>JANEEN HOME Janeen Home Erica Scalloped Co Platinum FullQueen</t>
  </si>
  <si>
    <t>RJSQ53G</t>
  </si>
  <si>
    <t>JANEEN HOME</t>
  </si>
  <si>
    <t>COTTON PREWASH/ POLY FILL</t>
  </si>
  <si>
    <t>646760128259</t>
  </si>
  <si>
    <t>Juicy Couture Juicy Couture Rainbow Reversib Navy King</t>
  </si>
  <si>
    <t>JYZ010596</t>
  </si>
  <si>
    <t>YOUNG CL HOME</t>
  </si>
  <si>
    <t>JUICY/YMF CARPET INC</t>
  </si>
  <si>
    <t>840970169884</t>
  </si>
  <si>
    <t>Swift Home Astonishing Rukai Clip Jacquar Rust FullQueen</t>
  </si>
  <si>
    <t>SHCM5-503-FQRU</t>
  </si>
  <si>
    <t>MED ORANGE</t>
  </si>
  <si>
    <t>CATHAY HOME INC</t>
  </si>
  <si>
    <t>841323178829</t>
  </si>
  <si>
    <t>Avondale Manor Avondale Manor Cypress 10 Piec Blue Queen</t>
  </si>
  <si>
    <t>CYP10CQUENGHNG</t>
  </si>
  <si>
    <t>GENEVA HOME FASHION LLC</t>
  </si>
  <si>
    <t>732994628648</t>
  </si>
  <si>
    <t>Charter Club Egyptian Cotton 700-Thread Cou White King</t>
  </si>
  <si>
    <t>100029145KG</t>
  </si>
  <si>
    <t>CHARTER CLUB-EDI/BIRLA CENTURY</t>
  </si>
  <si>
    <t>788904801953</t>
  </si>
  <si>
    <t>Serta All Season White Goose Feather White FullQueen</t>
  </si>
  <si>
    <t>SE003025</t>
  </si>
  <si>
    <t>706258050810</t>
  </si>
  <si>
    <t>Charter Club Damask Stripe Supima Cotton 55 Glacier Light Green Queen</t>
  </si>
  <si>
    <t>DLLSTQNSGLA</t>
  </si>
  <si>
    <t>732999620111</t>
  </si>
  <si>
    <t>Martha Stewart Collection Allergy Wise Dobby Stripe Full White FullQueen</t>
  </si>
  <si>
    <t>100105527FQ</t>
  </si>
  <si>
    <t>PB COMFORTERS</t>
  </si>
  <si>
    <t>MMG-MARTHA STEWART/KEECO LLC</t>
  </si>
  <si>
    <t>732998345862</t>
  </si>
  <si>
    <t>Hotel Collection Hotel Collection Primativa Eur Silver</t>
  </si>
  <si>
    <t>100082357ER</t>
  </si>
  <si>
    <t>LT/PAS GRY</t>
  </si>
  <si>
    <t>HOTEL BY CC-EDI/RWI/SARITA HANDA</t>
  </si>
  <si>
    <t>COTTON/POLYESTER BLEND EXCLUSIVE OF EMBROIDERY</t>
  </si>
  <si>
    <t>706258050568</t>
  </si>
  <si>
    <t>Charter Club Damask Stripe Supima Cotton 55 White Full</t>
  </si>
  <si>
    <t>DLLSTFLSWHT</t>
  </si>
  <si>
    <t>846339092435</t>
  </si>
  <si>
    <t>J Queen New York Maribella Crimson Waterfall Va Crimson No Size</t>
  </si>
  <si>
    <t>2368023WTRSW</t>
  </si>
  <si>
    <t>WINE</t>
  </si>
  <si>
    <t>635983499611</t>
  </si>
  <si>
    <t>BMI10191L2K</t>
  </si>
  <si>
    <t>734737570627</t>
  </si>
  <si>
    <t>Fairfield Square Collection Monica 8-Pc. King Comforter Se Purple King</t>
  </si>
  <si>
    <t>734737485662</t>
  </si>
  <si>
    <t>Fairfield Square Collection Austin 8-Pc. Reversible Comfor Blue King</t>
  </si>
  <si>
    <t>1575C329V</t>
  </si>
  <si>
    <t>675716866303</t>
  </si>
  <si>
    <t>Mi Zone Allison 4-Pc. FullQueen Duvet Blue FullQueen</t>
  </si>
  <si>
    <t>MZ12-515</t>
  </si>
  <si>
    <t>DUVET/SHAM/PILLOW COVER: POLYESTER; PILLOW FILL: POLYESTER</t>
  </si>
  <si>
    <t>635983499598</t>
  </si>
  <si>
    <t>BMI10191L2S</t>
  </si>
  <si>
    <t>52501438547</t>
  </si>
  <si>
    <t>Lintex Marquis 100 Cotton King Blank Ivory King</t>
  </si>
  <si>
    <t>PB BLANKETS</t>
  </si>
  <si>
    <t>LINTEX LINENS/COBRA TRADING CORP</t>
  </si>
  <si>
    <t>ALL COTTON</t>
  </si>
  <si>
    <t>788904130671</t>
  </si>
  <si>
    <t>Royal Luxe Royal Luxe Microfiber Color Do White King</t>
  </si>
  <si>
    <t>COVER: POLYESTER; FILL: HYP-ALLERGENIC POLYESTER FIBERFILL</t>
  </si>
  <si>
    <t>800298566581</t>
  </si>
  <si>
    <t>DKNY Modern Bloom 50 x 95 Curtain Blue 50x95</t>
  </si>
  <si>
    <t>WZD788343W0A</t>
  </si>
  <si>
    <t>95 SGL</t>
  </si>
  <si>
    <t>CHF INDUSTRIES INC</t>
  </si>
  <si>
    <t>29927562590</t>
  </si>
  <si>
    <t>Sun Zero Evelina Faux Silk 50 x 95 Th Navy 50x95</t>
  </si>
  <si>
    <t>883893689336</t>
  </si>
  <si>
    <t>Laura Ashley Laura Ashley Natalie Ruffled P Sage No Size</t>
  </si>
  <si>
    <t>USHSNF1166878</t>
  </si>
  <si>
    <t>788904130091</t>
  </si>
  <si>
    <t>Royal Luxe Royal Luxe Microfiber Color Do Cream FullQueen</t>
  </si>
  <si>
    <t>783048140173</t>
  </si>
  <si>
    <t>Pem America Monochromatic 3-Pc. Floral-Pri Black King</t>
  </si>
  <si>
    <t>CS3908KG-1540</t>
  </si>
  <si>
    <t>PEM AMERICA INC</t>
  </si>
  <si>
    <t>732998368618</t>
  </si>
  <si>
    <t>Martha Stewart Collection Sherpa Throw Purple Throw</t>
  </si>
  <si>
    <t>DARKPURPLE</t>
  </si>
  <si>
    <t>VALA78X7</t>
  </si>
  <si>
    <t>MRTH STWRT WH</t>
  </si>
  <si>
    <t>MMG-MARTHA STEWART-EDI/RWI/PEM AMER</t>
  </si>
  <si>
    <t>800298722383</t>
  </si>
  <si>
    <t>Donna Karan Donna Karan Home Sapphire King Indigo King</t>
  </si>
  <si>
    <t>2OC008036DVJ</t>
  </si>
  <si>
    <t>DARK BLUE</t>
  </si>
  <si>
    <t>DONNA KARAN HOME/CHF INDUSTRIES</t>
  </si>
  <si>
    <t>92% POLYESTER/8% METALLIC</t>
  </si>
  <si>
    <t>86569235428</t>
  </si>
  <si>
    <t>Madison Park Signature Coastal Farmhouse 8 Piece Quee Blue Queen</t>
  </si>
  <si>
    <t>MPS10-439</t>
  </si>
  <si>
    <t>COTTON WITH POLYESTER FILLING</t>
  </si>
  <si>
    <t>800298684742</t>
  </si>
  <si>
    <t>DKNY DKNY Pure Comfy King Comforter Platinum King</t>
  </si>
  <si>
    <t>PGD001234KCMF</t>
  </si>
  <si>
    <t>DARK GRAY</t>
  </si>
  <si>
    <t>800298681284</t>
  </si>
  <si>
    <t>DKNY Chenille Stripe King Comforter Silver King</t>
  </si>
  <si>
    <t>2OD113597KCMS</t>
  </si>
  <si>
    <t>42075573652</t>
  </si>
  <si>
    <t>Peri Home Peri Home Vintage Tile King Co Linen King</t>
  </si>
  <si>
    <t>2-2131C4LE</t>
  </si>
  <si>
    <t>MED BEIGE</t>
  </si>
  <si>
    <t>732996465197</t>
  </si>
  <si>
    <t>Hotel Collection 680 Thread-Count King Duvet Co White King</t>
  </si>
  <si>
    <t>100067900KG</t>
  </si>
  <si>
    <t>HOTEL COLLECTION-MMG/HIMATSINGKA</t>
  </si>
  <si>
    <t>COTTON; FILL: POLYESTER</t>
  </si>
  <si>
    <t>883893509313</t>
  </si>
  <si>
    <t>Eddie Bauer Kingston Charcoal Comforter Se Charcoal King</t>
  </si>
  <si>
    <t>EDDIE BAUER/REVMAN INTERNATIONAL</t>
  </si>
  <si>
    <t>843145125449</t>
  </si>
  <si>
    <t>Chic Home Chic Home Ahtisa 5 Piece Queen Yellow Queen</t>
  </si>
  <si>
    <t>BCS25449</t>
  </si>
  <si>
    <t>LT/PAS YEL</t>
  </si>
  <si>
    <t>QNCOMFORTE</t>
  </si>
  <si>
    <t>190945013538</t>
  </si>
  <si>
    <t>Levtex Spruce Red Paisley Reversible Red FullQueen</t>
  </si>
  <si>
    <t>L40803LFQS</t>
  </si>
  <si>
    <t>LEVTEX BABY/LEVTEX LLC</t>
  </si>
  <si>
    <t>8680908719277</t>
  </si>
  <si>
    <t>ARUS ARUS Womens Organic Hooded Fu Burgundy X-Large</t>
  </si>
  <si>
    <t>WOMORGCOTHOODBATH XL</t>
  </si>
  <si>
    <t>MEDIUM RED</t>
  </si>
  <si>
    <t>TOWELS</t>
  </si>
  <si>
    <t>ARUSA INTERNATIONAL INC</t>
  </si>
  <si>
    <t>706258596639</t>
  </si>
  <si>
    <t>Charter Club Ultra Fine Cotton 800-Thread C Ivory Queen</t>
  </si>
  <si>
    <t>T800QNSIVR</t>
  </si>
  <si>
    <t>CHARTER CLUB-EDI/RWI/NAISHAT</t>
  </si>
  <si>
    <t>642472101139</t>
  </si>
  <si>
    <t>Exclusive Home Exclusive Home Fetter Wrap Aro Gold 66-120in</t>
  </si>
  <si>
    <t>ER102866120</t>
  </si>
  <si>
    <t>GOLD</t>
  </si>
  <si>
    <t>EXCLUSIVE HOME/AMALGAMATED TEXTILES</t>
  </si>
  <si>
    <t>IRON</t>
  </si>
  <si>
    <t>635983500836</t>
  </si>
  <si>
    <t>Ella Jayne Plush Allergy Resistant Medium White Standard</t>
  </si>
  <si>
    <t>BMI10656L4S</t>
  </si>
  <si>
    <t>SHELL: 220 THREAD COUNT POLYESTER MICROFIBER, FILL: 100% POLY FIBER DOWN ALTERNATIVE FIBER</t>
  </si>
  <si>
    <t>86569971616</t>
  </si>
  <si>
    <t>Madison Park Madison Park 800 Thread Count Teal King</t>
  </si>
  <si>
    <t>MPH20-0017</t>
  </si>
  <si>
    <t>PREMIER COMFORT/E &amp; E CO LTD</t>
  </si>
  <si>
    <t>COTTON,POLYESTER</t>
  </si>
  <si>
    <t>751379505978</t>
  </si>
  <si>
    <t>Pillow Perfect Forsyth Kiwi Over-sized Rectan Green No Size</t>
  </si>
  <si>
    <t>PILLOW PERFECT</t>
  </si>
  <si>
    <t>T-SPUN POLYESTER</t>
  </si>
  <si>
    <t>22415224246</t>
  </si>
  <si>
    <t>Sealy Sealy Premium Down Wrap Pillow White King</t>
  </si>
  <si>
    <t>AMERICAN TEXTILE</t>
  </si>
  <si>
    <t>734737485655</t>
  </si>
  <si>
    <t>Fairfield Square Collection Austin 8-Pc. Reversible Comfor Blue Queen</t>
  </si>
  <si>
    <t>1575C229V</t>
  </si>
  <si>
    <t>734737639881</t>
  </si>
  <si>
    <t>Fairfield Square Collection Grenwich 8-Pc. Gray Queen Comf Grey Queen</t>
  </si>
  <si>
    <t>602545186548</t>
  </si>
  <si>
    <t>Chesapeake Whitney Ombre Reversible Bath Deepdenim</t>
  </si>
  <si>
    <t>850007569129</t>
  </si>
  <si>
    <t>Chicos Home Chicos Home Decorative Throw P Aqua 22x22</t>
  </si>
  <si>
    <t>DFI-031211</t>
  </si>
  <si>
    <t>22X22</t>
  </si>
  <si>
    <t>TINTS &amp; TONES LLC</t>
  </si>
  <si>
    <t>29927548785</t>
  </si>
  <si>
    <t>Archaeo Archaeo 52 x 95 Washed Cotto White 52x95</t>
  </si>
  <si>
    <t>735837576465</t>
  </si>
  <si>
    <t>Martha Stewart Collection Martha Stewart Essentials Reve PinkPurple King</t>
  </si>
  <si>
    <t>10012459KG</t>
  </si>
  <si>
    <t>MED PINK</t>
  </si>
  <si>
    <t>MMG-ESSENTIALS BY MARTHA/JLA HOME</t>
  </si>
  <si>
    <t>734737552395</t>
  </si>
  <si>
    <t>Sunham Colesville 3-Pc. Comforter Set Blush King</t>
  </si>
  <si>
    <t>18953322V</t>
  </si>
  <si>
    <t>29927505238</t>
  </si>
  <si>
    <t>Sun Zero Sun Zero Saxon 54 x 84 Black Taupe 54x84</t>
  </si>
  <si>
    <t>DARK BEIGE</t>
  </si>
  <si>
    <t>783048125064</t>
  </si>
  <si>
    <t>Pem America Blue Medallion King 3PC Comfor Blue King</t>
  </si>
  <si>
    <t>CS3555KG-1540</t>
  </si>
  <si>
    <t>726895579246</t>
  </si>
  <si>
    <t>Martha Stewart Collection Solid Open Stock 400-Thread Co Ivory Queen Flat</t>
  </si>
  <si>
    <t>10021051QN</t>
  </si>
  <si>
    <t>QUEEN FLAT</t>
  </si>
  <si>
    <t>MS COL SHEETS</t>
  </si>
  <si>
    <t>MARTHA STEWART-EDI/RWI/NAISHAT</t>
  </si>
  <si>
    <t>849203004008</t>
  </si>
  <si>
    <t>PKaufmann Home Quilted Faux Suede Bed Protect Chocolate Twin</t>
  </si>
  <si>
    <t>SBEDPTW</t>
  </si>
  <si>
    <t>ESPRESSO</t>
  </si>
  <si>
    <t>29927480528</t>
  </si>
  <si>
    <t>Sun Zero Sun Zero Preston 40 x 63 Gro Navy 40x63</t>
  </si>
  <si>
    <t>706254462983</t>
  </si>
  <si>
    <t>Hotel Collection Ultimate MicroCotton 30 x 5 Ivory Bath Towels</t>
  </si>
  <si>
    <t>HTLMCBIVR</t>
  </si>
  <si>
    <t>706255871623</t>
  </si>
  <si>
    <t>Martha Stewart Collection Quick Dry Reversible Bath Towe Walnut Bath Towels</t>
  </si>
  <si>
    <t>MSQDRBWN</t>
  </si>
  <si>
    <t>LT/PAS BWN</t>
  </si>
  <si>
    <t>190945080271</t>
  </si>
  <si>
    <t>Levtex Levtex Magnolia Quilt Set, Kin Navy King</t>
  </si>
  <si>
    <t>L31500KS</t>
  </si>
  <si>
    <t>800298722567</t>
  </si>
  <si>
    <t>Donna Karan Donna Karan Home Sapphire 12 Indigo 12x12</t>
  </si>
  <si>
    <t>2OC008036PLX</t>
  </si>
  <si>
    <t>883893671249</t>
  </si>
  <si>
    <t>Laura Ashley Laura Ashley Opal King Quilt Powder Blue King</t>
  </si>
  <si>
    <t>USHSGR1154358</t>
  </si>
  <si>
    <t>814740027322</t>
  </si>
  <si>
    <t>Nanshing Corina Comforter Set, Queen, 7 Gray Queen</t>
  </si>
  <si>
    <t>AKILI7-Q-DGRY</t>
  </si>
  <si>
    <t>NANSHING AMERICA INC</t>
  </si>
  <si>
    <t>814740027070</t>
  </si>
  <si>
    <t>Nanshing Nanshing America Lexi 4 Piece Beige FullQueen</t>
  </si>
  <si>
    <t>DAPHNE4-FQ-IVRY</t>
  </si>
  <si>
    <t>BEIGEKHAKI</t>
  </si>
  <si>
    <t>83013335086</t>
  </si>
  <si>
    <t>Croscill Bela Queen Comforter Set Multi Queen</t>
  </si>
  <si>
    <t>2A0-003O0-4784</t>
  </si>
  <si>
    <t>EX-CELL HOME FASHIONS INC</t>
  </si>
  <si>
    <t>38992937912</t>
  </si>
  <si>
    <t>Waterford Marquis by Waterford Oban 7 Pi Ivory Queen</t>
  </si>
  <si>
    <t>7POBANW10203QU</t>
  </si>
  <si>
    <t>783048107282</t>
  </si>
  <si>
    <t>Vince Camuto Home Mirrea King Comforter Set Whitepurple King</t>
  </si>
  <si>
    <t>CS3221KG-1500</t>
  </si>
  <si>
    <t>PURPLE</t>
  </si>
  <si>
    <t>VINCE CAMUTO HOME/PEM-AMERICA INC</t>
  </si>
  <si>
    <t>883893662537</t>
  </si>
  <si>
    <t>Laura Ashley Maybelle Twin Comforter Set Sunflower Blue Twin</t>
  </si>
  <si>
    <t>USHSA31149128</t>
  </si>
  <si>
    <t>YELLOW</t>
  </si>
  <si>
    <t>675716320119</t>
  </si>
  <si>
    <t>Madison Park Amherst 7-Pc. Queen Comforter Khaki Queen</t>
  </si>
  <si>
    <t>MP10-121</t>
  </si>
  <si>
    <t>COMFORTER/SHAM/BEDSKIRT/PILLOW COVER: POLYESTER; COMFORTER/PILLOW FILL: POLYESTER</t>
  </si>
  <si>
    <t>41808807569</t>
  </si>
  <si>
    <t>Jessica Simpson Cotton Medallion Gray King Qui White Ground With Grey Stitchi King</t>
  </si>
  <si>
    <t>A027015GYFFE</t>
  </si>
  <si>
    <t>675716624897</t>
  </si>
  <si>
    <t>Madison Park Madison Park Quebec 3-Piece Qu White Queen</t>
  </si>
  <si>
    <t>MP13-1569</t>
  </si>
  <si>
    <t>COTTON/POLYESTER/OTHER FIBER</t>
  </si>
  <si>
    <t>706258051428</t>
  </si>
  <si>
    <t>Charter Club Damask Cotton 210-Thread Count Parchment King</t>
  </si>
  <si>
    <t>DSKQLTCKGPA</t>
  </si>
  <si>
    <t>64247030237</t>
  </si>
  <si>
    <t>Lauren Ralph Lauren Lauren Ralph Lauren Sallie Bla Indigo 54x96</t>
  </si>
  <si>
    <t>SALLIE54X96</t>
  </si>
  <si>
    <t>PANEL- COTTON, LINEN, LINING- 100% POLYESTER</t>
  </si>
  <si>
    <t>883893538504</t>
  </si>
  <si>
    <t>Nautica Nautica Plot King Sheet Set Dark Blue King</t>
  </si>
  <si>
    <t>USHSA01039510</t>
  </si>
  <si>
    <t>NAUTICA/REVMAN INTERNATIONAL</t>
  </si>
  <si>
    <t>679610822748</t>
  </si>
  <si>
    <t>Hallmart Collectibles Farrington 8-Pc. Reversible Qu Blush Queen</t>
  </si>
  <si>
    <t>LT/PASPINK</t>
  </si>
  <si>
    <t>HALLMART COLLECTIBLES INC</t>
  </si>
  <si>
    <t>718498145508</t>
  </si>
  <si>
    <t>Shavel Microflannel Solid Queen Sheet Chocolate Queen</t>
  </si>
  <si>
    <t>MFNSSQNCHO</t>
  </si>
  <si>
    <t>SADDLE</t>
  </si>
  <si>
    <t>788904113339</t>
  </si>
  <si>
    <t>Royal Luxe White Goose 240-Thread Count T White Twin</t>
  </si>
  <si>
    <t>689192610435</t>
  </si>
  <si>
    <t>Ella Jayne All-Season Soft Brushed Microf White FullQueen</t>
  </si>
  <si>
    <t>EJHCF90WH2</t>
  </si>
  <si>
    <t>SHELL: SUPER SOFT TRIPLE BRUSHED MICROFIBER</t>
  </si>
  <si>
    <t>10482003154</t>
  </si>
  <si>
    <t>Fresh Ideas Poplin Tailored Queen Bed Skir Mocha Queen</t>
  </si>
  <si>
    <t>FRE20114MOCH03</t>
  </si>
  <si>
    <t>BEIGE</t>
  </si>
  <si>
    <t>LEVINSOHN TEXTILE CO INC</t>
  </si>
  <si>
    <t>BEDSKIRT: POLYESTER/COTTON; PLATFORM: POLYPROPYLENE</t>
  </si>
  <si>
    <t>25521184688</t>
  </si>
  <si>
    <t>Martha Stewart Collection Wont Go Flat Core Extra Firm White King</t>
  </si>
  <si>
    <t>18468FN</t>
  </si>
  <si>
    <t>PILLOWS &amp; PAD</t>
  </si>
  <si>
    <t>MARTHA STEWART-MMG/HOLLANDER</t>
  </si>
  <si>
    <t>MADE IN USA OF IMPORTED MATERIALS</t>
  </si>
  <si>
    <t>54006630754</t>
  </si>
  <si>
    <t>Achim Gourmet 58x24 BK Black 58x24</t>
  </si>
  <si>
    <t>GMCS24BK12</t>
  </si>
  <si>
    <t>ACHIM IMPORTING CO INC</t>
  </si>
  <si>
    <t>848405050028</t>
  </si>
  <si>
    <t>Mainstream International Inc. Cotton Solid 27 x 52 Bath To Ivory Bath Towels</t>
  </si>
  <si>
    <t>MACPRO214144</t>
  </si>
  <si>
    <t>MAINSTREAM INTERNATIONAL INC</t>
  </si>
  <si>
    <t>706257491034</t>
  </si>
  <si>
    <t>Martha Stewart Collection Spa Washcloth Sandstone Washcloths</t>
  </si>
  <si>
    <t>MSPLSHWSDT</t>
  </si>
  <si>
    <t>848405050097</t>
  </si>
  <si>
    <t>Mainstream International Inc. Cotton Solid 16 x 26 Hand To Green Hand Towels</t>
  </si>
  <si>
    <t>MACPRO214151</t>
  </si>
  <si>
    <t>LT/PAS GRN</t>
  </si>
  <si>
    <t>8889004355</t>
  </si>
  <si>
    <t>UGG UGG Blissful 3 Piece Comforte Fawn King</t>
  </si>
  <si>
    <t>UGG HOME/BRITANNICA HOME FASHIONS</t>
  </si>
  <si>
    <t>86569420404</t>
  </si>
  <si>
    <t>Addison Park Adela 9-Pc. California King Co Multi California King</t>
  </si>
  <si>
    <t>MCH10-2177</t>
  </si>
  <si>
    <t>193842117262</t>
  </si>
  <si>
    <t>J Queen New York Jacqueline Tufted Round Decora Ivory No Size</t>
  </si>
  <si>
    <t>2655002TUFRD</t>
  </si>
  <si>
    <t>13.5X13.5</t>
  </si>
  <si>
    <t>846339064890</t>
  </si>
  <si>
    <t>J Queen New York Kennedy Sterling King Comforte White King</t>
  </si>
  <si>
    <t>2048148KCS</t>
  </si>
  <si>
    <t>846339072024</t>
  </si>
  <si>
    <t>J Queen New York La Scala Queen Comforter Set Gold Queen</t>
  </si>
  <si>
    <t>2141030QCS</t>
  </si>
  <si>
    <t>846339094736</t>
  </si>
  <si>
    <t>Oscar Oliver Leighton Blue Queen Comforter Blue Queen</t>
  </si>
  <si>
    <t>2397006QCS</t>
  </si>
  <si>
    <t>OSCAR OLIVER/J QUEEN NEW YORK INC</t>
  </si>
  <si>
    <t>SHELL: COTTON; FILLING: POLYESTER</t>
  </si>
  <si>
    <t>83013296790</t>
  </si>
  <si>
    <t>Croscill Julius 4 Piece Queen Comforter Red Queen</t>
  </si>
  <si>
    <t>2A0-003C0-0820</t>
  </si>
  <si>
    <t>883893420304</t>
  </si>
  <si>
    <t>Stone Cottage Mosaic King Comforter Set White King</t>
  </si>
  <si>
    <t>STONE COTTAGE/REVMAN INTERNATIONAL</t>
  </si>
  <si>
    <t>COTTON/POLYESTER, POLYESTER FILL</t>
  </si>
  <si>
    <t>883893634718</t>
  </si>
  <si>
    <t>Stone Cottage Camden FullQueen Comforter S Pastel Blue FullQueen</t>
  </si>
  <si>
    <t>USHSA51126193</t>
  </si>
  <si>
    <t>883893578210</t>
  </si>
  <si>
    <t>Jonathan Adler Otto King Duvet Cover Sheet Bo White King</t>
  </si>
  <si>
    <t>USHSFP1078710</t>
  </si>
  <si>
    <t>JONATHAN ADLER/REVMAN INTERNATIONAL</t>
  </si>
  <si>
    <t>679610834604</t>
  </si>
  <si>
    <t>Hallmart Collectibles Daleena 14-Pc. Damask Jacquard Tanblack King</t>
  </si>
  <si>
    <t>679610808360</t>
  </si>
  <si>
    <t>Hallmart Collectibles Hedron 14-Pc. Queen Comforter Gold Queen</t>
  </si>
  <si>
    <t>FIBER: 100% POLYESTER EXCLUSIVE OF DECORATION; FILLING: 100% POLYESTER; THROW: 90% ACRYLIC, 10% POLYESTER; SHEETS: 100% COTTON</t>
  </si>
  <si>
    <t>679610813920</t>
  </si>
  <si>
    <t>Hallmart Collectibles Sadie 14-Pc. Queen Comforter S Blush Queen</t>
  </si>
  <si>
    <t>COMFORTER/SHAMS/BEDSKIRT/PILLOWS: POLYESTER (EXCLUSIVE OF DECORATION); SHEETS: COTTON; THROW: ACRYLIC/POLYESTER; POLYESTER FILL</t>
  </si>
  <si>
    <t>86569000842</t>
  </si>
  <si>
    <t>Urban Habitat Urban Habitat Larisa 7-Pc Full Blush FullQueen</t>
  </si>
  <si>
    <t>UH13-2141</t>
  </si>
  <si>
    <t>100% COTTON PERCALE ; COVERLET FILL: 100% COTTON; DECORATIVE PILLOW FILL: 100% POLYESTER</t>
  </si>
  <si>
    <t>86569394460</t>
  </si>
  <si>
    <t>CosmoLiving CosmoLiving Cleo Ombre Shaggy Gray FullQueen</t>
  </si>
  <si>
    <t>CL10-0010</t>
  </si>
  <si>
    <t>COSMOLIVING/E &amp; E CO LTD/JLA HOME</t>
  </si>
  <si>
    <t>706257253694</t>
  </si>
  <si>
    <t>Hotel Collection 680 Thread-Count Queen Duvet C White FullQueen</t>
  </si>
  <si>
    <t>68W11QD790</t>
  </si>
  <si>
    <t>883893064812</t>
  </si>
  <si>
    <t>City Scene Branches FullQueen Comforter French Blue FullQueen</t>
  </si>
  <si>
    <t>CITY SCENE/REVMAN INTERNATIONAL INC</t>
  </si>
  <si>
    <t>COTTON POLYESTER FILL</t>
  </si>
  <si>
    <t>41808862124</t>
  </si>
  <si>
    <t>Jessica Simpson JESSICA SIMPSON AMRITA MEDALLI Coral TwinTwin XL</t>
  </si>
  <si>
    <t>A037414COEBS</t>
  </si>
  <si>
    <t>PINK</t>
  </si>
  <si>
    <t>COVER: 100% COTTON. FILL: 100% POLYESTER. SHAM: RAYON</t>
  </si>
  <si>
    <t>675716510596</t>
  </si>
  <si>
    <t>Madison Park Tangiers 6-Pc. FullQueen Cove Blue Queen</t>
  </si>
  <si>
    <t>MP13-783</t>
  </si>
  <si>
    <t>COVERLET/SHAM/PILLOW: POLYESTER; COVERLET FILL: COTTON/POLYESTER/OTHER 200 GRAMS PER SQUARE METER; PILLOW FILL: POLYESTER</t>
  </si>
  <si>
    <t>883893657298</t>
  </si>
  <si>
    <t>Stone Cottage Willow Way Ticking Stripe Full Navy FullQueen</t>
  </si>
  <si>
    <t>USHSA91145592</t>
  </si>
  <si>
    <t>COTTON, COTTON/POLYESTER FILL</t>
  </si>
  <si>
    <t>679610834710</t>
  </si>
  <si>
    <t>Hallmart Collectibles Birena 9-Pc. Embroidered Calif Navy California King</t>
  </si>
  <si>
    <t>849203052795</t>
  </si>
  <si>
    <t>PKaufmann Home Dble diamond recline Sage Recliner Slipcover</t>
  </si>
  <si>
    <t>9228RECL</t>
  </si>
  <si>
    <t>MED GREEN</t>
  </si>
  <si>
    <t>POLYESTER/SPANDEX</t>
  </si>
  <si>
    <t>96675700819</t>
  </si>
  <si>
    <t>SensorGel Cool Coat Arctic Gusset Gel In White Standard</t>
  </si>
  <si>
    <t>SOFT-TEX MFG CO/SOFT-TEX INT'L INC</t>
  </si>
  <si>
    <t>POLYETHYLENE/POLYESTER</t>
  </si>
  <si>
    <t>679610822564</t>
  </si>
  <si>
    <t>Hallmart Collectibles Scroll Medallion 12 PC Reversi Blue Queen</t>
  </si>
  <si>
    <t>FIBER: 100% POLYESTER; FILLING: 100% POLYESTER; SHEETS: 100% POLYESTER</t>
  </si>
  <si>
    <t>816651022472</t>
  </si>
  <si>
    <t>ienjoy Home The Timeless Classics by Home Grey Soft Ribbon King</t>
  </si>
  <si>
    <t>4PRIBBKIENJ</t>
  </si>
  <si>
    <t>844353657968</t>
  </si>
  <si>
    <t>Riztex USA Riztex USA Stirling Standard S Gray Standard Sham</t>
  </si>
  <si>
    <t>QLTBQ4199SVGY2026</t>
  </si>
  <si>
    <t>STDTAILOR</t>
  </si>
  <si>
    <t>RIZZY HOME/RIZTEX USA INC</t>
  </si>
  <si>
    <t>733001487609</t>
  </si>
  <si>
    <t>Martha Stewart Collection Whim By Martha Stewart Collect Makeup Queen</t>
  </si>
  <si>
    <t>100103209QN</t>
  </si>
  <si>
    <t>DARK PINK</t>
  </si>
  <si>
    <t>MMG-MARTHA STEWART/YUNUS</t>
  </si>
  <si>
    <t>191790040946</t>
  </si>
  <si>
    <t>AQ Textiles Camden 1250 thread count 4 pc Ivory Queen</t>
  </si>
  <si>
    <t>25542103003AQT</t>
  </si>
  <si>
    <t>191790040939</t>
  </si>
  <si>
    <t>AQ Textiles Camden 1250 thread count 4 pc Blue Queen</t>
  </si>
  <si>
    <t>25542103002AQT</t>
  </si>
  <si>
    <t>840444148926</t>
  </si>
  <si>
    <t>Chic Home Chic Home Alba 1-Pc. 50 x 60 T Grey 50x60</t>
  </si>
  <si>
    <t>TB4892-MC</t>
  </si>
  <si>
    <t>FABRIC: 100% COTTONFILL: 100% POLYESTER</t>
  </si>
  <si>
    <t>844353595055</t>
  </si>
  <si>
    <t>Rizzy Home Rizzy Home Solid 20 x 20 Pol Grey 20x20</t>
  </si>
  <si>
    <t>PILT0567733002020</t>
  </si>
  <si>
    <t>679610822625</t>
  </si>
  <si>
    <t>Hallmart Collectibles Ambrosia 3-Pc. Reversible King Aqua King</t>
  </si>
  <si>
    <t>766195440730</t>
  </si>
  <si>
    <t>Tommy Hilfiger All American II Cotton Washclo Raspberry Washcloths</t>
  </si>
  <si>
    <t>079387TH024</t>
  </si>
  <si>
    <t>MEDIUN RED</t>
  </si>
  <si>
    <t>TOMMY HILFIGER/HIMATSINGKA AMERICA</t>
  </si>
  <si>
    <t>706255871944</t>
  </si>
  <si>
    <t>Martha Stewart Collection Quick Dry Reversible Wash Towe Ivory Washcloths</t>
  </si>
  <si>
    <t>MSQDRWIV</t>
  </si>
  <si>
    <t>734737647329</t>
  </si>
  <si>
    <t>Sunham Dalton 14-Pc. Californiaiforni Plum California King</t>
  </si>
  <si>
    <t>783048133045</t>
  </si>
  <si>
    <t>Christian Siriano New York Christian Siriano New York Sno Gray King</t>
  </si>
  <si>
    <t>CS3769GYKG-1700</t>
  </si>
  <si>
    <t>CHRISTIAN SIRIANO HOME/PEM AMERICA</t>
  </si>
  <si>
    <t>190945124333</t>
  </si>
  <si>
    <t>Homthreads Homthreads Griffin Quilt Set, White King</t>
  </si>
  <si>
    <t>H53832KS</t>
  </si>
  <si>
    <t>193842103852</t>
  </si>
  <si>
    <t>J Queen New York Sandstone Boudoir Decorative T Beige No Size</t>
  </si>
  <si>
    <t>2485100BOUDR</t>
  </si>
  <si>
    <t>789622559652</t>
  </si>
  <si>
    <t>UNIKOME UNIKOME Lightweight Down Alter White King</t>
  </si>
  <si>
    <t>AC20702UN-K</t>
  </si>
  <si>
    <t>TEXTILE NEST INC</t>
  </si>
  <si>
    <t>706257998113</t>
  </si>
  <si>
    <t>Hotel Collection Fresco FullQueen Comforter Gold FullQueen</t>
  </si>
  <si>
    <t>FO01QC790</t>
  </si>
  <si>
    <t>SHELL- FRONT: VISCOSE/POLYESTER/COTTON BACK: COTTON; FILL: POLYESTER</t>
  </si>
  <si>
    <t>810015870341</t>
  </si>
  <si>
    <t>Bedgear Mist 0.0 Pillow White Standard</t>
  </si>
  <si>
    <t>BGP97AMPP-MCY</t>
  </si>
  <si>
    <t>BEDGEAR LLC</t>
  </si>
  <si>
    <t>VER-TEX</t>
  </si>
  <si>
    <t>879421004795</t>
  </si>
  <si>
    <t>Nanshing Mali 7-Piece Comforter Set, Bl Black Queen</t>
  </si>
  <si>
    <t>MALI7-Q-BLAC</t>
  </si>
  <si>
    <t>675716809522</t>
  </si>
  <si>
    <t>Madison Park Madison Park Harper Velvet 3-P Taupe KingCalifornia King</t>
  </si>
  <si>
    <t>MP13-3306</t>
  </si>
  <si>
    <t>FABRIC: POLYESTER; COVERLET FILL: COTTON/POLYESTER/OTHER 85 GSM</t>
  </si>
  <si>
    <t>718498145300</t>
  </si>
  <si>
    <t>Shavel Microflannel Solid California Amethyst California King</t>
  </si>
  <si>
    <t>MFNSSCKAMT</t>
  </si>
  <si>
    <t>706258089735</t>
  </si>
  <si>
    <t>Charter Club Damask Supima Cotton 550-Threa Stone Dark Grey King</t>
  </si>
  <si>
    <t>DLLSLKGSSTN</t>
  </si>
  <si>
    <t>733001381624</t>
  </si>
  <si>
    <t>Charter Club Matelasse Ribbed 3-Pc. FullQ White FullQueen</t>
  </si>
  <si>
    <t>100108510FQ</t>
  </si>
  <si>
    <t>CHRT CLB DSGN</t>
  </si>
  <si>
    <t>CHARTER CLUB/SHANGHAI SUNWIN IN</t>
  </si>
  <si>
    <t>655385231374</t>
  </si>
  <si>
    <t>Elite Home Imperial Cotton Extra Deep Poc Lt. Grey King</t>
  </si>
  <si>
    <t>400SSKG907EDPSS</t>
  </si>
  <si>
    <t>BRNOVERFLW</t>
  </si>
  <si>
    <t>191790024793</t>
  </si>
  <si>
    <t>Fairfield Square Collection Brookline 1400-Thread Count 6- Shell California King</t>
  </si>
  <si>
    <t>23312105371AQT</t>
  </si>
  <si>
    <t>COTTON/POLYESTER</t>
  </si>
  <si>
    <t>750105138640</t>
  </si>
  <si>
    <t>Charter Club Soft StandardQueen Down Pillo White StandardQueen</t>
  </si>
  <si>
    <t>FEDP0840WQ</t>
  </si>
  <si>
    <t>CHARTER CLUB-EDI/DOWNLITE INT'L</t>
  </si>
  <si>
    <t>REMOVABLE COVER: 100% COTTON</t>
  </si>
  <si>
    <t>191790042605</t>
  </si>
  <si>
    <t>AQ Textiles RestWell Antimicrobial 4 pc Ki White King</t>
  </si>
  <si>
    <t>25742104001AQT</t>
  </si>
  <si>
    <t>840008370541</t>
  </si>
  <si>
    <t>Dr. Oz Good Life Dr. Oz Good Life Say Goodnight White Standard</t>
  </si>
  <si>
    <t>OZGLSSSCMPVGB</t>
  </si>
  <si>
    <t>MALOUF/CVB INC</t>
  </si>
  <si>
    <t>191790037489</t>
  </si>
  <si>
    <t>AQ Textiles Ultra Cool 700-Thread Count 4- Taupe Queen</t>
  </si>
  <si>
    <t>25002103025AQT</t>
  </si>
  <si>
    <t>734737637429</t>
  </si>
  <si>
    <t>Fairfield Square Collection Aspen T1000 CVC Queen sheet se Ivory Queen</t>
  </si>
  <si>
    <t>840008369866</t>
  </si>
  <si>
    <t>Dr. Oz Good Life Dr. Oz Good Life Stay in Bed E White King</t>
  </si>
  <si>
    <t>OZGLKK00GM</t>
  </si>
  <si>
    <t>8681864119552</t>
  </si>
  <si>
    <t>Ambesonne Ambesonne Live Laugh Love Bath Multi No Size</t>
  </si>
  <si>
    <t>BATH-35844</t>
  </si>
  <si>
    <t>3DECOR LLC</t>
  </si>
  <si>
    <t>86569373076</t>
  </si>
  <si>
    <t>Martha Stewart Collection Essential Queen Mattress Pad White Queen</t>
  </si>
  <si>
    <t>SLPSC1Q04</t>
  </si>
  <si>
    <t>MARTHA STEWART-E&amp;E CO/JLA HOME</t>
  </si>
  <si>
    <t>706257404706</t>
  </si>
  <si>
    <t>Hotel Collection Cotton 680 Thread Count Set of Palladium King</t>
  </si>
  <si>
    <t>68P25KPC</t>
  </si>
  <si>
    <t>100% SUPIMA COTTON</t>
  </si>
  <si>
    <t>840008369859</t>
  </si>
  <si>
    <t>Dr. Oz Good Life Dr. Oz Good Life Stay in Bed E White Standard</t>
  </si>
  <si>
    <t>OZGLSS00GM</t>
  </si>
  <si>
    <t>738980822274</t>
  </si>
  <si>
    <t>Popular Bath Popular Bath Pavilion Tension Satin Nickel ONE SIZE</t>
  </si>
  <si>
    <t>POPULAR BATH PRODUCTS</t>
  </si>
  <si>
    <t>METAL</t>
  </si>
  <si>
    <t>610406821125</t>
  </si>
  <si>
    <t>Homey Cozy Homey Cozy Skylar Velvet Squar Turquoise 20x20</t>
  </si>
  <si>
    <t>71037-TURQUOISE</t>
  </si>
  <si>
    <t>20X20</t>
  </si>
  <si>
    <t>HOME ACCENT PILLOW INC</t>
  </si>
  <si>
    <t>POLYESTER VELVET</t>
  </si>
  <si>
    <t>96675467422</t>
  </si>
  <si>
    <t>SensorPEDIC 2 Pack SofLOFT Medium Density White Queen</t>
  </si>
  <si>
    <t>QUEEN</t>
  </si>
  <si>
    <t>655385597432</t>
  </si>
  <si>
    <t>Elite Home Luxury Satin Solid Sheet Sets Snow Leopard Queen</t>
  </si>
  <si>
    <t>MICSSQU358LUSA</t>
  </si>
  <si>
    <t>726895578348</t>
  </si>
  <si>
    <t>Martha Stewart Collection Solid Open Stock 400-Thread Co Carnation Pink Queen Fitted</t>
  </si>
  <si>
    <t>10021050QN</t>
  </si>
  <si>
    <t>QNBOTTOMFT</t>
  </si>
  <si>
    <t>96675639768</t>
  </si>
  <si>
    <t>SensorGel Cool Fusion Standard Pillow wi White Standard</t>
  </si>
  <si>
    <t>COVER: 300 THREAD COUNT COTTON; FILL: POLYESTER/GEL BEADS</t>
  </si>
  <si>
    <t>96675467415</t>
  </si>
  <si>
    <t>SensorPEDIC 2 Pack SofLOFT Medium Density White Standard</t>
  </si>
  <si>
    <t>22415657129</t>
  </si>
  <si>
    <t>Sealy 100 Cotton Extra Firm Support White Queen</t>
  </si>
  <si>
    <t>854130004625</t>
  </si>
  <si>
    <t>Morning Glamour Single Signature Box -Pretty F Gold</t>
  </si>
  <si>
    <t>SINGLESIGNATURE</t>
  </si>
  <si>
    <t>MORNING GLAMOUR/TCG CONTINUUM LLC</t>
  </si>
  <si>
    <t>883893686205</t>
  </si>
  <si>
    <t>Tommy Bahama Tommy Bahama Abalone King Comf Linen Gray King</t>
  </si>
  <si>
    <t>USHSA51161490</t>
  </si>
  <si>
    <t>MED GRAY</t>
  </si>
  <si>
    <t>TOMMY BAHAMA/REVMAN INTERNATIONAL</t>
  </si>
  <si>
    <t>883893694408</t>
  </si>
  <si>
    <t>Kenneth Cole New York Kenneth Cole New York Midwood White King</t>
  </si>
  <si>
    <t>USHSA51180451</t>
  </si>
  <si>
    <t>KENNETH COLE/REVMAN INTERNATIONAL</t>
  </si>
  <si>
    <t>733002270590</t>
  </si>
  <si>
    <t>Martha Stewart Collection Wedding Rings 100 Cotton Twin White Twin</t>
  </si>
  <si>
    <t>100115804TW</t>
  </si>
  <si>
    <t>PB SEASON BED</t>
  </si>
  <si>
    <t>MARTHA STEWART-MMG/COLLECTION 43417</t>
  </si>
  <si>
    <t>814168021346</t>
  </si>
  <si>
    <t>Hotel Laundry Hotel Laundry Medium Warmth Al White Queen</t>
  </si>
  <si>
    <t>CF-H020-3FQ</t>
  </si>
  <si>
    <t>RIO HOME FASHIONS</t>
  </si>
  <si>
    <t>86569373144</t>
  </si>
  <si>
    <t>MS DS MP WP K BASIC</t>
  </si>
  <si>
    <t>SLPSC2K10</t>
  </si>
  <si>
    <t>KGMATTRESS</t>
  </si>
  <si>
    <t>83013065037</t>
  </si>
  <si>
    <t>Croscill Phoebe Euro Sham Pillow Ivory European</t>
  </si>
  <si>
    <t>2A0-502O0-9934</t>
  </si>
  <si>
    <t>733002007646</t>
  </si>
  <si>
    <t>Hotel Collection Palmette Quilted Standard Sham White</t>
  </si>
  <si>
    <t>100113999SD</t>
  </si>
  <si>
    <t>HOTEL BY C CLUB-EDI/RWI/FA</t>
  </si>
  <si>
    <t>845951072405</t>
  </si>
  <si>
    <t>Olivia Gray Olivia Gray Lush Diamond Jacqu Blue 24 x 36</t>
  </si>
  <si>
    <t>RGL05508</t>
  </si>
  <si>
    <t>RT DESIGNERSCOLLECT/RAMALLAH TRADIN</t>
  </si>
  <si>
    <t>42694335532</t>
  </si>
  <si>
    <t>Mohawk Mohawk Royal 1 9 L X 2 10 White 21 x 34</t>
  </si>
  <si>
    <t>Y3199-901-021034</t>
  </si>
  <si>
    <t>AMERICAN RUG-MOHAWK INDUSTRIES</t>
  </si>
  <si>
    <t>845951072375</t>
  </si>
  <si>
    <t>Olivia Gray Olivia Gray Lush Diamond Jacqu Silver 17 x 24</t>
  </si>
  <si>
    <t>RGL05484</t>
  </si>
  <si>
    <t>784857925746</t>
  </si>
  <si>
    <t>DRAFT - Hearth Chenille Jacqua White 20x20</t>
  </si>
  <si>
    <t>YK700122</t>
  </si>
  <si>
    <t>IDEA NUOVA INC</t>
  </si>
  <si>
    <t>42075592943</t>
  </si>
  <si>
    <t>Michael Aram Iris Queen Duvet Linen Queen</t>
  </si>
  <si>
    <t>2-0152DQLE</t>
  </si>
  <si>
    <t>MICHAEL ARAM/CHF INDUSTRIES INC</t>
  </si>
  <si>
    <t>843669123174</t>
  </si>
  <si>
    <t>Home Weavers Fantasia Bath Rug 5 Pc Sage</t>
  </si>
  <si>
    <t>BFA5PCSA</t>
  </si>
  <si>
    <t>54X21</t>
  </si>
  <si>
    <t>HOME WEAVERS INC</t>
  </si>
  <si>
    <t>86569115140</t>
  </si>
  <si>
    <t>Natori N Natori Sakura Blossom King 3 Lilac King</t>
  </si>
  <si>
    <t>NS10-3256</t>
  </si>
  <si>
    <t>LT/PAS PUR</t>
  </si>
  <si>
    <t>NATORI/JLA HOME/E &amp; E CO LTD</t>
  </si>
  <si>
    <t>COTTON SATEEN</t>
  </si>
  <si>
    <t>883893611344</t>
  </si>
  <si>
    <t>Marimekko Fokus King Comforter Set Grey King</t>
  </si>
  <si>
    <t>USHSA51115317</t>
  </si>
  <si>
    <t>MARIMEKKO/REVMAN INTERNATIONAL</t>
  </si>
  <si>
    <t>883893442818</t>
  </si>
  <si>
    <t>Nautica Vessey Cotton King Quilt Grey King</t>
  </si>
  <si>
    <t>732997259825</t>
  </si>
  <si>
    <t>Hotel Collection Hotel Collection Italian Perca Silver King</t>
  </si>
  <si>
    <t>100068761KG</t>
  </si>
  <si>
    <t>HOTEL BY CHARTER CLUB-MMG</t>
  </si>
  <si>
    <t>693614014862</t>
  </si>
  <si>
    <t>Ella Jayne Luxury 2 Loft Down Plush Feat White Full</t>
  </si>
  <si>
    <t>EJHFTHRBED2</t>
  </si>
  <si>
    <t>SHELL: 100% COTTON,, FILL: TOP- 10OZ WHITE GOOSE DOWN, BOTTOM -154OZ WHITE GOOSE FEATHER</t>
  </si>
  <si>
    <t>732999788491</t>
  </si>
  <si>
    <t>Hotel Collection Parallel King Comforter, Creat Blue King</t>
  </si>
  <si>
    <t>100107263KG</t>
  </si>
  <si>
    <t>HOTEL COLLECTION-EDI/RWI/PACFUNG</t>
  </si>
  <si>
    <t>883893636613</t>
  </si>
  <si>
    <t>Vera Wang Vera Wang Diamond Velvet Queen Putty Queen</t>
  </si>
  <si>
    <t>USHSA91130459</t>
  </si>
  <si>
    <t>VERA WANG/REVMAN INTERNATIONAL</t>
  </si>
  <si>
    <t>800298605754</t>
  </si>
  <si>
    <t>DKNY Refresh Cotton Twin Duvet Mist Twin</t>
  </si>
  <si>
    <t>RFD001070DVA</t>
  </si>
  <si>
    <t>42075592967</t>
  </si>
  <si>
    <t>Michael Aram Iris Euro Sham Linen European Sham</t>
  </si>
  <si>
    <t>2-01520NLE</t>
  </si>
  <si>
    <t>706257404287</t>
  </si>
  <si>
    <t>Hotel Collection Cotton 680 Thread Count Extra- Sand Queen</t>
  </si>
  <si>
    <t>68D27QXFT</t>
  </si>
  <si>
    <t>840970158734</t>
  </si>
  <si>
    <t>Cathay Home Inc. Charming Ruched Rosette Duvet Mauve KingCalifornia King</t>
  </si>
  <si>
    <t>KKDV3-002-KCK</t>
  </si>
  <si>
    <t>819843017478</t>
  </si>
  <si>
    <t>Linum Home Unisex 100 Turkish Cotton Ter White SM</t>
  </si>
  <si>
    <t>TERRY-ROBE</t>
  </si>
  <si>
    <t>LINUM HOME TEXTILES LLC</t>
  </si>
  <si>
    <t>TURKISH COTTON</t>
  </si>
  <si>
    <t>636206071737</t>
  </si>
  <si>
    <t>Hotel Collection Dimensional 8 x 20 Decorativ Grey</t>
  </si>
  <si>
    <t>849203049344</t>
  </si>
  <si>
    <t>Rose Tree Geneve Euro Sage ONE SIZE</t>
  </si>
  <si>
    <t>671826966759</t>
  </si>
  <si>
    <t>PoloGear pologear Llama Faux Fur 20 De Natural</t>
  </si>
  <si>
    <t>LLAM-P20</t>
  </si>
  <si>
    <t>SISCOVERS/SIS ENTERPRISES INC</t>
  </si>
  <si>
    <t>809407118529</t>
  </si>
  <si>
    <t>Welhome Cabana 2-Pc. Beach Towel Set Navy Beach Towels</t>
  </si>
  <si>
    <t>ECBA-TW-BTW3-05</t>
  </si>
  <si>
    <t>WELSPUN USA INC</t>
  </si>
  <si>
    <t>100% TURKISH COTTON</t>
  </si>
  <si>
    <t>38992933860</t>
  </si>
  <si>
    <t>Waterford Danehill 11 x 20 Pillow Blue ONE SIZE</t>
  </si>
  <si>
    <t>DPDNHLW40011X20</t>
  </si>
  <si>
    <t>COVER: 100% POLYESTER. EMBROIDERY: 100% RAYON</t>
  </si>
  <si>
    <t>887719142890</t>
  </si>
  <si>
    <t>Goodnight Sleep 1200 TC Cotton Poly 6-PC SS So White Queen</t>
  </si>
  <si>
    <t>T1200SLDWHQN</t>
  </si>
  <si>
    <t>GOODFUL/WELSPUN USA INC</t>
  </si>
  <si>
    <t>29927566086</t>
  </si>
  <si>
    <t>Sun Zero Sun Zero Noir 52 x 96 Textur Cream 52x96</t>
  </si>
  <si>
    <t>784008134768</t>
  </si>
  <si>
    <t>Ella Jayne 2 Pack Cool N Comfort Gel Fib Blue Standard</t>
  </si>
  <si>
    <t>BMI13851L1</t>
  </si>
  <si>
    <t>POLYESTER, COOLMAX</t>
  </si>
  <si>
    <t>29927565324</t>
  </si>
  <si>
    <t>Archaeo Archaeo 52 x 63 Washed Cotto Ivory 52x63</t>
  </si>
  <si>
    <t>732997256343</t>
  </si>
  <si>
    <t>Hotel Collection Italian Percale Cotton 2-Pc. S Champagne Standard</t>
  </si>
  <si>
    <t>100068760SD</t>
  </si>
  <si>
    <t>655385026178</t>
  </si>
  <si>
    <t>Elite Home Revina 6-Pc. Queen Sheet Set Apricot Queen</t>
  </si>
  <si>
    <t>MICSSQU263RPEBS</t>
  </si>
  <si>
    <t>29927566963</t>
  </si>
  <si>
    <t>Sun Zero Sun Zero Cyrus 40 x 96 Therm Linen 40x96</t>
  </si>
  <si>
    <t>40X96/8</t>
  </si>
  <si>
    <t>766360449483</t>
  </si>
  <si>
    <t>Hotel Collection Turkish 30 x 56 Bath Towel White Bath Towels</t>
  </si>
  <si>
    <t>HTLTURBWHT</t>
  </si>
  <si>
    <t>732996250021</t>
  </si>
  <si>
    <t>Charter Club Superluxe 300-Thread Count Fir White King</t>
  </si>
  <si>
    <t>100069290KG</t>
  </si>
  <si>
    <t>733001891895</t>
  </si>
  <si>
    <t>Martha Stewart Collection Checker Floral 100 Cotton Sta Yellow Standard Sham</t>
  </si>
  <si>
    <t>100115802ST</t>
  </si>
  <si>
    <t>706254616546</t>
  </si>
  <si>
    <t>Hotel Collection Borderline 30 x 56 Bath Towe Celadon Bath Towels</t>
  </si>
  <si>
    <t>HTLBRDBCL</t>
  </si>
  <si>
    <t>636202045398</t>
  </si>
  <si>
    <t>Hotel Collection Hotel Collection Finest Elegan Mica Hand Towels</t>
  </si>
  <si>
    <t>HTLELITEHM</t>
  </si>
  <si>
    <t>COTTON/MODAL</t>
  </si>
  <si>
    <t>706255871753</t>
  </si>
  <si>
    <t>Martha Stewart Collection Quick Dry Reversible Hand Towe Ivory Hand Towels</t>
  </si>
  <si>
    <t>MSQDRHIV</t>
  </si>
  <si>
    <t>190945089366</t>
  </si>
  <si>
    <t>Levtex Ipanema Stripe Reversible King Blue King</t>
  </si>
  <si>
    <t>L18640KS</t>
  </si>
  <si>
    <t>814740025182</t>
  </si>
  <si>
    <t>Nanshing Nanshing America Annabella 3 P Purple Queen</t>
  </si>
  <si>
    <t>ANNABELLA3-Q</t>
  </si>
  <si>
    <t>193842115527</t>
  </si>
  <si>
    <t>J Queen New York Botticelli Tufted Round Decora Blue 15 x 15</t>
  </si>
  <si>
    <t>2635006TUFRD</t>
  </si>
  <si>
    <t>810026173806</t>
  </si>
  <si>
    <t>Cheer Collection Cheer Collection Hollow Fiber White 16 x 24</t>
  </si>
  <si>
    <t>CC-HFTVPLXL-WHT</t>
  </si>
  <si>
    <t>CHEER COLLECTION/DIGITALPRINTS USA</t>
  </si>
  <si>
    <t>732999832972</t>
  </si>
  <si>
    <t>Martha Stewart Collection Farmstead Floral Patchwork Twi Red TwinTwin XL</t>
  </si>
  <si>
    <t>100103967TW</t>
  </si>
  <si>
    <t>DARK RED</t>
  </si>
  <si>
    <t>193842115534</t>
  </si>
  <si>
    <t>J Queen New York Botticelli Square Decorative T Navy 18 x 18</t>
  </si>
  <si>
    <t>263501018SQ</t>
  </si>
  <si>
    <t>675716886981</t>
  </si>
  <si>
    <t>Madison Park Everett Palm Print 20 x 20 S Green 20 x 20</t>
  </si>
  <si>
    <t>MP31-4108</t>
  </si>
  <si>
    <t>732997906477</t>
  </si>
  <si>
    <t>Hotel Collection Hotel Collection Terra King Du Grey King</t>
  </si>
  <si>
    <t>100073973KG</t>
  </si>
  <si>
    <t>FRONT: COTTON/POLYESTER/VISCOSE BLEND, BACK: 100% COTTON</t>
  </si>
  <si>
    <t>732997706534</t>
  </si>
  <si>
    <t>Hotel Collection Classic Egyptian Cotton 400-Th Grey King</t>
  </si>
  <si>
    <t>100067147KG</t>
  </si>
  <si>
    <t>100% EGYPTIAN COTTON</t>
  </si>
  <si>
    <t>732994723701</t>
  </si>
  <si>
    <t>Charter Club Damask Designs Seersucker 150- White Grey King</t>
  </si>
  <si>
    <t>100023822KG</t>
  </si>
  <si>
    <t>MMG-CHARTER CLUB</t>
  </si>
  <si>
    <t>FABRIC: COTTON; THREAD COUNT: 150; POLYESTER FILL (COMFORTER)</t>
  </si>
  <si>
    <t>733001362999</t>
  </si>
  <si>
    <t>Martha Stewart Collection LAST ACT Medallion Tufted Vel Blush FullQueen</t>
  </si>
  <si>
    <t>100106021FQ</t>
  </si>
  <si>
    <t>783048007407</t>
  </si>
  <si>
    <t>Christian Siriano New York Christian Siriano Garden Bloom Multiple TwinTwin XL</t>
  </si>
  <si>
    <t>CS1802TXL-1500</t>
  </si>
  <si>
    <t>100% POLYESTER FACE WITH POLYESTER FILLING.</t>
  </si>
  <si>
    <t>706258633518</t>
  </si>
  <si>
    <t>Charter Club Damask Designs Diamond Dot 300 White FullQueen</t>
  </si>
  <si>
    <t>DCF2FQDOTW</t>
  </si>
  <si>
    <t>706258090618</t>
  </si>
  <si>
    <t>Charter Club Damask Stripe Supima Cotton 55 Glacier Light Green King</t>
  </si>
  <si>
    <t>DLLSTKDSGLA</t>
  </si>
  <si>
    <t>675716726515</t>
  </si>
  <si>
    <t>Madison Park Signature 1000-Thread Count Diamond Quil White California King</t>
  </si>
  <si>
    <t>MPS10-101</t>
  </si>
  <si>
    <t>732997256183</t>
  </si>
  <si>
    <t>Hotel Collection Hotel Collection Italian Perca Champagne King</t>
  </si>
  <si>
    <t>100068206KG</t>
  </si>
  <si>
    <t>KING FLAT</t>
  </si>
  <si>
    <t>733001448655</t>
  </si>
  <si>
    <t>Charter Club Damask Designs Garden Manor Co Red King</t>
  </si>
  <si>
    <t>100104274KG</t>
  </si>
  <si>
    <t>CHARTER CLUB-EDI/RWI/LAMEIRINHO</t>
  </si>
  <si>
    <t>732998305422</t>
  </si>
  <si>
    <t>Charter Club Damask Designs Blossom Cotton Coral King</t>
  </si>
  <si>
    <t>100079944KG</t>
  </si>
  <si>
    <t>FABRIC: 100% COTTON; THREAD COUNT: 300</t>
  </si>
  <si>
    <t>706257404348</t>
  </si>
  <si>
    <t>Hotel Collection Cotton 680 Thread Count King F White King</t>
  </si>
  <si>
    <t>68H22KGFT</t>
  </si>
  <si>
    <t>KGBOTTOMFT</t>
  </si>
  <si>
    <t>706257404676</t>
  </si>
  <si>
    <t>Hotel Collection Cotton 680 Thread Count King F Palladium King</t>
  </si>
  <si>
    <t>68P22KGFT</t>
  </si>
  <si>
    <t>810006715972</t>
  </si>
  <si>
    <t>Enchante Home Hooded Turkish Cotton Bathrobe Turquoise ONE SIZE</t>
  </si>
  <si>
    <t>HOODBLUE</t>
  </si>
  <si>
    <t>OSFA REG</t>
  </si>
  <si>
    <t>ENCHANTE HOME/TURKO TEXTILE LLC</t>
  </si>
  <si>
    <t>191790036857</t>
  </si>
  <si>
    <t>AQ Textiles Ultra Cool 700-Thread Count 4- White King</t>
  </si>
  <si>
    <t>25002104001AQT</t>
  </si>
  <si>
    <t>840073620350</t>
  </si>
  <si>
    <t>CLARA CLARK CLARA CLARK Premier 1800 Serie Beige California King</t>
  </si>
  <si>
    <t>MC-18-SHEET-CK</t>
  </si>
  <si>
    <t>SANDERS COLLECTION</t>
  </si>
  <si>
    <t>MICROFIBER POLYESTER</t>
  </si>
  <si>
    <t>706257253779</t>
  </si>
  <si>
    <t>Hotel Collection 680 Thread-Count Queen Bedskir White Queen</t>
  </si>
  <si>
    <t>68W19QBS</t>
  </si>
  <si>
    <t>842933164837</t>
  </si>
  <si>
    <t>ienjoy Home Lucid Dreams Patterned Duvet C Coral Aztec KingCalifornia King</t>
  </si>
  <si>
    <t>DUVAZTKIENJ</t>
  </si>
  <si>
    <t>MICROFIBER/POLYESTER</t>
  </si>
  <si>
    <t>636206071485</t>
  </si>
  <si>
    <t>Hotel Collection Dimensional Quilted European S Blue European Sham</t>
  </si>
  <si>
    <t>100041081ER</t>
  </si>
  <si>
    <t>633125813141</t>
  </si>
  <si>
    <t>Bath Bliss Bath Bliss 5 Tier Storage Shel Gray No Size</t>
  </si>
  <si>
    <t>F-0532-SAT</t>
  </si>
  <si>
    <t>LAURA ASHLEY/KENNEDY INTL INC</t>
  </si>
  <si>
    <t>782717609430</t>
  </si>
  <si>
    <t>FabricTech Fabric Tech Cooling Memory Fib White King</t>
  </si>
  <si>
    <t>FTMF943</t>
  </si>
  <si>
    <t>COTTON, POLYESTER</t>
  </si>
  <si>
    <t>86569069832</t>
  </si>
  <si>
    <t>Martha Stewart Collection Down Alternative Reverse to Pl Zinfandel FullQueen</t>
  </si>
  <si>
    <t>10028644FQ</t>
  </si>
  <si>
    <t>MARTHA STEWART-EDI/E &amp; E CO LTD</t>
  </si>
  <si>
    <t>734737592599</t>
  </si>
  <si>
    <t>Fairfield Square Collection Chelsea 8-Pc. Queen Comforter Multi Twin XL</t>
  </si>
  <si>
    <t>20553022A</t>
  </si>
  <si>
    <t>732997260012</t>
  </si>
  <si>
    <t>Hotel Collection Hotel Collection Italian Perca Silver European Sham</t>
  </si>
  <si>
    <t>100068763ER</t>
  </si>
  <si>
    <t>83013349854</t>
  </si>
  <si>
    <t>Croscill Alexander 20 Square Decorative Tan 20x20</t>
  </si>
  <si>
    <t>2A0-591C0-4789</t>
  </si>
  <si>
    <t>732997681053</t>
  </si>
  <si>
    <t>Hotel Collection Hotel Collection 1000 Thread C White Standard</t>
  </si>
  <si>
    <t>100013567SD</t>
  </si>
  <si>
    <t>HOTEL BY C CLUB-EDI/RWI/VTX</t>
  </si>
  <si>
    <t>810031411634</t>
  </si>
  <si>
    <t>Happycare Textiles Happycare Textiles Rustic Styl Orange NO SIZE</t>
  </si>
  <si>
    <t>BTL17097</t>
  </si>
  <si>
    <t>ORANGE</t>
  </si>
  <si>
    <t>HAPPYCARE TEXTILES INC</t>
  </si>
  <si>
    <t>100% ACRYLIC</t>
  </si>
  <si>
    <t>846339073151</t>
  </si>
  <si>
    <t>Oscar Oliver Flen Cotton Black European Sha Black European Sham</t>
  </si>
  <si>
    <t>2161045EURO</t>
  </si>
  <si>
    <t>636202045367</t>
  </si>
  <si>
    <t>Hotel Collection Hotel Collection Finest Elegan White Bath Towels</t>
  </si>
  <si>
    <t>HTLELITEBW</t>
  </si>
  <si>
    <t>732996728223</t>
  </si>
  <si>
    <t>Hotel Collection Faded Stone 22 x 36 Bath Rug Grey</t>
  </si>
  <si>
    <t>36"X22"</t>
  </si>
  <si>
    <t>PB-BTH-RUG/AC</t>
  </si>
  <si>
    <t>810031410323</t>
  </si>
  <si>
    <t>Battilo Battilo Home Knit Diamond Patt Yellow</t>
  </si>
  <si>
    <t>BTL15011-YELLOW</t>
  </si>
  <si>
    <t>784857925845</t>
  </si>
  <si>
    <t>Villa Luxe 2-Pc. Faux-Fur Memory Foam Bat White No Size</t>
  </si>
  <si>
    <t>YK700126</t>
  </si>
  <si>
    <t>733002201754</t>
  </si>
  <si>
    <t>Martha Stewart Collection Sailboat Yarn Dye Patchwork 10 Blue Standard Sham</t>
  </si>
  <si>
    <t>100115872ST</t>
  </si>
  <si>
    <t>54006632369</t>
  </si>
  <si>
    <t>Achim Darcy 58x36 TW Navywhite 58x36</t>
  </si>
  <si>
    <t>DRTV36NW12</t>
  </si>
  <si>
    <t>21166147491</t>
  </si>
  <si>
    <t>Seaside Resort Seaside Resort Ocean Postcards Beige King</t>
  </si>
  <si>
    <t>UNIVERSAL HOME FASH/WELCOME INDUST</t>
  </si>
  <si>
    <t>735837574188</t>
  </si>
  <si>
    <t>Hotel Collection European White Goose Down Medi White King</t>
  </si>
  <si>
    <t>HWGDKM06</t>
  </si>
  <si>
    <t>HOTEL BY C CLUB-EDI/PHOENIX DOWN</t>
  </si>
  <si>
    <t>SHELL: 100% COTTON; FILL: DOWN; 700 FILL POWER</t>
  </si>
  <si>
    <t>679610822427</t>
  </si>
  <si>
    <t>Hallmart Collectibles Dorine Gray 14 PC King Comfort Gray King</t>
  </si>
  <si>
    <t>733001363088</t>
  </si>
  <si>
    <t>Martha Stewart Collection LAST ACT Medallion Tufted Vel Ivory KingCalifornia King</t>
  </si>
  <si>
    <t>100106021KG</t>
  </si>
  <si>
    <t>732998330271</t>
  </si>
  <si>
    <t>Hotel Collection Hotel Collection Artisan Full White FullQueen</t>
  </si>
  <si>
    <t>100077692FQ</t>
  </si>
  <si>
    <t>FRONT: POLYESTER/COTTON BLEND, BACK: 100% COTTON</t>
  </si>
  <si>
    <t>733002201730</t>
  </si>
  <si>
    <t>Martha Stewart Collection Sailboat Yarn Dye Patchwork 10 Blue King</t>
  </si>
  <si>
    <t>100115872KG</t>
  </si>
  <si>
    <t>706257204634</t>
  </si>
  <si>
    <t>Hotel Collection Basic Cane Quilted King Coverl White King</t>
  </si>
  <si>
    <t>CVC23KC790</t>
  </si>
  <si>
    <t>883893657021</t>
  </si>
  <si>
    <t>City Scene Aquarelle FullQueen Comforter Navy FullQueen</t>
  </si>
  <si>
    <t>USHSA51145515</t>
  </si>
  <si>
    <t>POLYESTER, POLYESTER FILL</t>
  </si>
  <si>
    <t>750105134024</t>
  </si>
  <si>
    <t>Charter Club White Down Lightweight Twin Co White Twin</t>
  </si>
  <si>
    <t>FEDC0810WT</t>
  </si>
  <si>
    <t>SHELL: 100% COTTON; FILL: DOWN; 600 FILL POWER</t>
  </si>
  <si>
    <t>810033457975</t>
  </si>
  <si>
    <t>Olive and Linen Olive and Linen Pixel Towel Ro Black Medium</t>
  </si>
  <si>
    <t>RB-PIXEL-BLACK-M</t>
  </si>
  <si>
    <t>MEDIUM S/S</t>
  </si>
  <si>
    <t>OLIVE AND LINEN LLC</t>
  </si>
  <si>
    <t>732997493977</t>
  </si>
  <si>
    <t>Charter Club Damask Cotton 550-Thread Count Smoke Grey King</t>
  </si>
  <si>
    <t>100068875KG</t>
  </si>
  <si>
    <t>FABRIC: 100% COTTON THREAD COUNT: 550</t>
  </si>
  <si>
    <t>709271480237</t>
  </si>
  <si>
    <t>Calvin Klein Desert Moss Queen Sheet Set Mojave Queen</t>
  </si>
  <si>
    <t>1010204-QN-P2-D2</t>
  </si>
  <si>
    <t>CALVIN KLEIN HOME/HIMATSINGKA AMER</t>
  </si>
  <si>
    <t>100% COTTON 400 TC SATEEN</t>
  </si>
  <si>
    <t>655385015486</t>
  </si>
  <si>
    <t>Elite Home Imperial Cotton Extra Deep Poc White Queen</t>
  </si>
  <si>
    <t>400SSQU100EDPSS</t>
  </si>
  <si>
    <t>26865874518</t>
  </si>
  <si>
    <t>Elrene Highland Stripe IndoorOutdoor Navy 50x108</t>
  </si>
  <si>
    <t>18796NAV</t>
  </si>
  <si>
    <t>689192609927</t>
  </si>
  <si>
    <t>Ella Jayne Super Soft Triple Brushed Micr Charcoal King</t>
  </si>
  <si>
    <t>IYSMICRO90CH4</t>
  </si>
  <si>
    <t>SUPER SOFT TRIPLE BRUSHED MICROFIBER</t>
  </si>
  <si>
    <t>726895387216</t>
  </si>
  <si>
    <t>Charter Club Damask Stripe Supima Cotton 55 Pale Lilac Twin</t>
  </si>
  <si>
    <t>DLLSTTWSLIL</t>
  </si>
  <si>
    <t>SUPIMA® COTTON</t>
  </si>
  <si>
    <t>734737618961</t>
  </si>
  <si>
    <t>Lacoste Home Pinstripes Grey TXL Sheet Set Grey Twin XL</t>
  </si>
  <si>
    <t>LACOSTE/SUNHAM HOME FASHIONS</t>
  </si>
  <si>
    <t>816651022922</t>
  </si>
  <si>
    <t>ienjoy Home The Timeless Classics by Home Pale Blue Soft Wheat King</t>
  </si>
  <si>
    <t>4PWHEAKIENJ</t>
  </si>
  <si>
    <t>814760024264</t>
  </si>
  <si>
    <t>ienjoy Home Home Collection Premium Ultra Aqua King</t>
  </si>
  <si>
    <t>DUVSLDKIENJ</t>
  </si>
  <si>
    <t>732997394267</t>
  </si>
  <si>
    <t>Hotel Collection Primaloft 450-Thread Count Sof White King</t>
  </si>
  <si>
    <t>100083176KG</t>
  </si>
  <si>
    <t>HOTEL BY CHARTER CLUB-EDI/DOWNLITE</t>
  </si>
  <si>
    <t>OUTER COVER: COTTON; INNER SHELL: COTTON; FILL: POLYESTER FIBERFILL</t>
  </si>
  <si>
    <t>732997299487</t>
  </si>
  <si>
    <t>500TC SATEEN</t>
  </si>
  <si>
    <t>5WH61TFT79</t>
  </si>
  <si>
    <t>RTBOTTOMFT</t>
  </si>
  <si>
    <t>CHARTER CLUB-MMG</t>
  </si>
  <si>
    <t>PIMA COTTON</t>
  </si>
  <si>
    <t>646760120871</t>
  </si>
  <si>
    <t>French Connection French Connection Addison Deco White No Size</t>
  </si>
  <si>
    <t>FCMAP000117</t>
  </si>
  <si>
    <t>VALA82X15</t>
  </si>
  <si>
    <t>FRENCH CONNECTION/YMF CARPET INC</t>
  </si>
  <si>
    <t>842491124885</t>
  </si>
  <si>
    <t>Sweet Home Collection Sweet Home Collection 1800 Thr Teal Queen</t>
  </si>
  <si>
    <t>4PCSHEET-Q</t>
  </si>
  <si>
    <t>SWEET HOME COLLECTION/BED BATH N MO</t>
  </si>
  <si>
    <t>POLYESTER MICROFIBER</t>
  </si>
  <si>
    <t>96675807624</t>
  </si>
  <si>
    <t>SensorGel Dual Comfort, Gel-Infused Memo White Standard</t>
  </si>
  <si>
    <t>COVER: 400-THREAD COUNT COTTON; FILL: SENSORGEL® MEMORY FOAM/FIBER</t>
  </si>
  <si>
    <t>814942021678</t>
  </si>
  <si>
    <t>E by Design 16 Inch Gray and Yellow Decora Gray</t>
  </si>
  <si>
    <t>PGN360GY3YE6-16</t>
  </si>
  <si>
    <t>16X16</t>
  </si>
  <si>
    <t>E BY DESIGN LLC</t>
  </si>
  <si>
    <t>789323343079</t>
  </si>
  <si>
    <t>Saro Lifestyle Saro Lifestyle Wool Blend Herr Dark Gray 12x20</t>
  </si>
  <si>
    <t>4518-1220B</t>
  </si>
  <si>
    <t>SARO TRADING COMPANY</t>
  </si>
  <si>
    <t>WOOL, POLYESTER</t>
  </si>
  <si>
    <t>709271451954</t>
  </si>
  <si>
    <t>Calvin Klein Modern Cotton Harrison Twin Fi Grey Twin</t>
  </si>
  <si>
    <t>1310113-TW-G1-D3</t>
  </si>
  <si>
    <t>81806404872</t>
  </si>
  <si>
    <t>Keeco Heathered Velvet 18 Square De Gray No Size</t>
  </si>
  <si>
    <t>SZB02H3AEGRY</t>
  </si>
  <si>
    <t>KEECO LLC/GRASSI ASSOCIATES INC</t>
  </si>
  <si>
    <t>29927550245</t>
  </si>
  <si>
    <t>Sun Zero Oslo 52 x 84 Theater Grade E Pearl 52x84</t>
  </si>
  <si>
    <t>810549020854</t>
  </si>
  <si>
    <t>The Grand Mastertex The Grand Fitted Mat White FullQueen</t>
  </si>
  <si>
    <t>RIGHT CHOICE BEDDING CORP</t>
  </si>
  <si>
    <t>726895578744</t>
  </si>
  <si>
    <t>Martha Stewart Collection Solid Open Stock 400-Thread Co Carnation Pink Full Flat</t>
  </si>
  <si>
    <t>10021051FL</t>
  </si>
  <si>
    <t>REGFULFLAT</t>
  </si>
  <si>
    <t>706611966949</t>
  </si>
  <si>
    <t>Linum Home Greek Key Bath Mat White</t>
  </si>
  <si>
    <t>TR00-1GK</t>
  </si>
  <si>
    <t>842933139835</t>
  </si>
  <si>
    <t>ienjoy Home Home Collection Premium Pleate Light Gray Queen</t>
  </si>
  <si>
    <t>BDSKSLDQIENJ</t>
  </si>
  <si>
    <t>732996151915</t>
  </si>
  <si>
    <t>Charter Club Damask Designs Textured Paisle Cobalt</t>
  </si>
  <si>
    <t>100058480ER</t>
  </si>
  <si>
    <t>34086773947</t>
  </si>
  <si>
    <t>Serta Perfect Gel Pillow, Jumbo White Standard</t>
  </si>
  <si>
    <t>AMERICAN FIBER IND/SPRINGS IND</t>
  </si>
  <si>
    <t>733002270637</t>
  </si>
  <si>
    <t>Martha Stewart Collection Herring Stripe 3Pc Quilt Set K Blue King</t>
  </si>
  <si>
    <t>100120184KG</t>
  </si>
  <si>
    <t>86569392572</t>
  </si>
  <si>
    <t>Beautyrest Beautyrest Queen Temperature R Ivory Queen</t>
  </si>
  <si>
    <t>BR20-1884</t>
  </si>
  <si>
    <t>885308414793</t>
  </si>
  <si>
    <t>Eclipse Eclipse Caprese 52 x 95 Bl Taupe 52x95</t>
  </si>
  <si>
    <t>15522052095TAU</t>
  </si>
  <si>
    <t>733001083382</t>
  </si>
  <si>
    <t>Hotel Collection Contour 12 x 22 Decorative P Brown No Size</t>
  </si>
  <si>
    <t>28332734738</t>
  </si>
  <si>
    <t>Exclusive Home Exclusive Home Dorrie 1 Windo Brass 36-60in</t>
  </si>
  <si>
    <t>DORRIE3566ANTBRS</t>
  </si>
  <si>
    <t>MED YELLOW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</si>
</sst>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u/>
      <sz val="9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/>
    </xf>
    <xf numFmtId="4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1" fontId="3" fillId="0" borderId="0" xfId="0" applyNumberFormat="1" applyFont="1" applyAlignment="1">
      <alignment horizontal="center" wrapText="1"/>
    </xf>
    <xf numFmtId="8" fontId="3" fillId="0" borderId="0" xfId="0" applyNumberFormat="1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0" fontId="4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3BAE3-EC78-4378-A1FF-C358896DF380}">
  <dimension ref="A1:B11"/>
  <sheetViews>
    <sheetView tabSelected="1" workbookViewId="0">
      <selection activeCell="B11" sqref="B11"/>
    </sheetView>
  </sheetViews>
  <sheetFormatPr defaultRowHeight="15" x14ac:dyDescent="0.25"/>
  <cols>
    <col min="2" max="2" width="12.5703125" bestFit="1" customWidth="1"/>
  </cols>
  <sheetData>
    <row r="1" spans="1:2" x14ac:dyDescent="0.25">
      <c r="A1" s="1" t="s">
        <v>0</v>
      </c>
      <c r="B1" s="2" t="s">
        <v>1</v>
      </c>
    </row>
    <row r="2" spans="1:2" x14ac:dyDescent="0.25">
      <c r="A2" s="3">
        <v>65</v>
      </c>
      <c r="B2" s="4">
        <v>3362.41</v>
      </c>
    </row>
    <row r="3" spans="1:2" x14ac:dyDescent="0.25">
      <c r="A3" s="3">
        <v>34</v>
      </c>
      <c r="B3" s="4">
        <v>3799.16</v>
      </c>
    </row>
    <row r="4" spans="1:2" x14ac:dyDescent="0.25">
      <c r="A4" s="3">
        <v>41</v>
      </c>
      <c r="B4" s="4">
        <v>4156.59</v>
      </c>
    </row>
    <row r="5" spans="1:2" x14ac:dyDescent="0.25">
      <c r="A5" s="3">
        <v>26</v>
      </c>
      <c r="B5" s="4">
        <v>2642.76</v>
      </c>
    </row>
    <row r="6" spans="1:2" x14ac:dyDescent="0.25">
      <c r="A6" s="3">
        <v>39</v>
      </c>
      <c r="B6" s="4">
        <v>4467.6099999999997</v>
      </c>
    </row>
    <row r="7" spans="1:2" x14ac:dyDescent="0.25">
      <c r="A7" s="3">
        <v>47</v>
      </c>
      <c r="B7" s="4">
        <v>3413.53</v>
      </c>
    </row>
    <row r="8" spans="1:2" x14ac:dyDescent="0.25">
      <c r="A8" s="3">
        <v>53</v>
      </c>
      <c r="B8" s="4">
        <v>4506.63</v>
      </c>
    </row>
    <row r="9" spans="1:2" x14ac:dyDescent="0.25">
      <c r="A9" s="3">
        <v>45</v>
      </c>
      <c r="B9" s="4">
        <v>3869.57</v>
      </c>
    </row>
    <row r="10" spans="1:2" x14ac:dyDescent="0.25">
      <c r="A10" s="3">
        <v>57</v>
      </c>
      <c r="B10" s="4">
        <v>4324.71</v>
      </c>
    </row>
    <row r="11" spans="1:2" x14ac:dyDescent="0.25">
      <c r="A11" s="1">
        <f>SUM(A2:A10)</f>
        <v>407</v>
      </c>
      <c r="B11" s="2">
        <f>SUM(B2:B10)</f>
        <v>34542.97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387212-0DA6-4C19-8ACF-D9B8D80D49EF}">
  <dimension ref="A1:L56"/>
  <sheetViews>
    <sheetView workbookViewId="0"/>
  </sheetViews>
  <sheetFormatPr defaultRowHeight="39.950000000000003" customHeight="1" x14ac:dyDescent="0.25"/>
  <cols>
    <col min="1" max="1" width="14.28515625" customWidth="1"/>
    <col min="2" max="2" width="22.28515625" customWidth="1"/>
    <col min="3" max="3" width="15" customWidth="1"/>
    <col min="4" max="4" width="10.28515625" customWidth="1"/>
    <col min="5" max="5" width="17.140625" customWidth="1"/>
    <col min="6" max="6" width="11.42578125" customWidth="1"/>
    <col min="7" max="7" width="10.85546875" customWidth="1"/>
    <col min="8" max="8" width="12.140625" customWidth="1"/>
    <col min="9" max="9" width="36.5703125" bestFit="1" customWidth="1"/>
    <col min="10" max="11" width="20.7109375" customWidth="1"/>
    <col min="12" max="12" width="64.28515625" customWidth="1"/>
  </cols>
  <sheetData>
    <row r="1" spans="1:12" ht="39.950000000000003" customHeight="1" x14ac:dyDescent="0.25">
      <c r="A1" s="5" t="s">
        <v>2</v>
      </c>
      <c r="B1" s="5" t="s">
        <v>3</v>
      </c>
      <c r="C1" s="5" t="s">
        <v>4</v>
      </c>
      <c r="D1" s="5" t="s">
        <v>5</v>
      </c>
      <c r="E1" s="5" t="s">
        <v>6</v>
      </c>
      <c r="F1" s="5" t="s">
        <v>7</v>
      </c>
      <c r="G1" s="5" t="s">
        <v>8</v>
      </c>
      <c r="H1" s="5" t="s">
        <v>9</v>
      </c>
      <c r="I1" s="5" t="s">
        <v>10</v>
      </c>
      <c r="J1" s="5" t="s">
        <v>11</v>
      </c>
      <c r="K1" s="5" t="s">
        <v>12</v>
      </c>
      <c r="L1" s="5" t="s">
        <v>13</v>
      </c>
    </row>
    <row r="2" spans="1:12" ht="39.950000000000003" customHeight="1" x14ac:dyDescent="0.25">
      <c r="A2" s="6" t="s">
        <v>1080</v>
      </c>
      <c r="B2" s="7" t="s">
        <v>1081</v>
      </c>
      <c r="C2" s="8">
        <v>1</v>
      </c>
      <c r="D2" s="9">
        <v>439.99</v>
      </c>
      <c r="E2" s="8" t="s">
        <v>1082</v>
      </c>
      <c r="F2" s="7" t="s">
        <v>25</v>
      </c>
      <c r="G2" s="10" t="s">
        <v>78</v>
      </c>
      <c r="H2" s="7" t="s">
        <v>266</v>
      </c>
      <c r="I2" s="7" t="s">
        <v>1083</v>
      </c>
      <c r="J2" s="7" t="s">
        <v>20</v>
      </c>
      <c r="K2" s="7" t="s">
        <v>1084</v>
      </c>
      <c r="L2" s="11" t="str">
        <f>HYPERLINK("http://slimages.macys.com/is/image/MCY/3974565 ")</f>
        <v xml:space="preserve">http://slimages.macys.com/is/image/MCY/3974565 </v>
      </c>
    </row>
    <row r="3" spans="1:12" ht="39.950000000000003" customHeight="1" x14ac:dyDescent="0.25">
      <c r="A3" s="6" t="s">
        <v>1085</v>
      </c>
      <c r="B3" s="7" t="s">
        <v>1086</v>
      </c>
      <c r="C3" s="8">
        <v>1</v>
      </c>
      <c r="D3" s="9">
        <v>179.99</v>
      </c>
      <c r="E3" s="8">
        <v>82242</v>
      </c>
      <c r="F3" s="7" t="s">
        <v>778</v>
      </c>
      <c r="G3" s="10"/>
      <c r="H3" s="7" t="s">
        <v>36</v>
      </c>
      <c r="I3" s="7" t="s">
        <v>499</v>
      </c>
      <c r="J3" s="7"/>
      <c r="K3" s="7"/>
      <c r="L3" s="11" t="str">
        <f>HYPERLINK("http://slimages.macys.com/is/image/MCY/17257918 ")</f>
        <v xml:space="preserve">http://slimages.macys.com/is/image/MCY/17257918 </v>
      </c>
    </row>
    <row r="4" spans="1:12" ht="39.950000000000003" customHeight="1" x14ac:dyDescent="0.25">
      <c r="A4" s="6" t="s">
        <v>1087</v>
      </c>
      <c r="B4" s="7" t="s">
        <v>1088</v>
      </c>
      <c r="C4" s="8">
        <v>1</v>
      </c>
      <c r="D4" s="9">
        <v>179.99</v>
      </c>
      <c r="E4" s="8" t="s">
        <v>1089</v>
      </c>
      <c r="F4" s="7" t="s">
        <v>25</v>
      </c>
      <c r="G4" s="10"/>
      <c r="H4" s="7" t="s">
        <v>787</v>
      </c>
      <c r="I4" s="7" t="s">
        <v>788</v>
      </c>
      <c r="J4" s="7"/>
      <c r="K4" s="7"/>
      <c r="L4" s="11" t="str">
        <f>HYPERLINK("http://slimages.macys.com/is/image/MCY/17773240 ")</f>
        <v xml:space="preserve">http://slimages.macys.com/is/image/MCY/17773240 </v>
      </c>
    </row>
    <row r="5" spans="1:12" ht="39.950000000000003" customHeight="1" x14ac:dyDescent="0.25">
      <c r="A5" s="6" t="s">
        <v>1090</v>
      </c>
      <c r="B5" s="7" t="s">
        <v>1091</v>
      </c>
      <c r="C5" s="8">
        <v>1</v>
      </c>
      <c r="D5" s="9">
        <v>78.11</v>
      </c>
      <c r="E5" s="8" t="s">
        <v>1092</v>
      </c>
      <c r="F5" s="7"/>
      <c r="G5" s="10"/>
      <c r="H5" s="7" t="s">
        <v>67</v>
      </c>
      <c r="I5" s="7" t="s">
        <v>272</v>
      </c>
      <c r="J5" s="7" t="s">
        <v>20</v>
      </c>
      <c r="K5" s="7" t="s">
        <v>1093</v>
      </c>
      <c r="L5" s="11" t="str">
        <f>HYPERLINK("http://slimages.macys.com/is/image/MCY/16381596 ")</f>
        <v xml:space="preserve">http://slimages.macys.com/is/image/MCY/16381596 </v>
      </c>
    </row>
    <row r="6" spans="1:12" ht="39.950000000000003" customHeight="1" x14ac:dyDescent="0.25">
      <c r="A6" s="6" t="s">
        <v>1094</v>
      </c>
      <c r="B6" s="7" t="s">
        <v>1095</v>
      </c>
      <c r="C6" s="8">
        <v>2</v>
      </c>
      <c r="D6" s="9">
        <v>359.98</v>
      </c>
      <c r="E6" s="8" t="s">
        <v>1096</v>
      </c>
      <c r="F6" s="7" t="s">
        <v>52</v>
      </c>
      <c r="G6" s="10"/>
      <c r="H6" s="7" t="s">
        <v>787</v>
      </c>
      <c r="I6" s="7" t="s">
        <v>788</v>
      </c>
      <c r="J6" s="7"/>
      <c r="K6" s="7"/>
      <c r="L6" s="11" t="str">
        <f>HYPERLINK("http://slimages.macys.com/is/image/MCY/18513762 ")</f>
        <v xml:space="preserve">http://slimages.macys.com/is/image/MCY/18513762 </v>
      </c>
    </row>
    <row r="7" spans="1:12" ht="39.950000000000003" customHeight="1" x14ac:dyDescent="0.25">
      <c r="A7" s="6" t="s">
        <v>1097</v>
      </c>
      <c r="B7" s="7" t="s">
        <v>1098</v>
      </c>
      <c r="C7" s="8">
        <v>1</v>
      </c>
      <c r="D7" s="9">
        <v>249.99</v>
      </c>
      <c r="E7" s="8" t="s">
        <v>1099</v>
      </c>
      <c r="F7" s="7" t="s">
        <v>25</v>
      </c>
      <c r="G7" s="10"/>
      <c r="H7" s="7" t="s">
        <v>67</v>
      </c>
      <c r="I7" s="7" t="s">
        <v>348</v>
      </c>
      <c r="J7" s="7" t="s">
        <v>20</v>
      </c>
      <c r="K7" s="7"/>
      <c r="L7" s="11" t="str">
        <f>HYPERLINK("http://slimages.macys.com/is/image/MCY/8179774 ")</f>
        <v xml:space="preserve">http://slimages.macys.com/is/image/MCY/8179774 </v>
      </c>
    </row>
    <row r="8" spans="1:12" ht="39.950000000000003" customHeight="1" x14ac:dyDescent="0.25">
      <c r="A8" s="6" t="s">
        <v>1100</v>
      </c>
      <c r="B8" s="7" t="s">
        <v>1101</v>
      </c>
      <c r="C8" s="8">
        <v>1</v>
      </c>
      <c r="D8" s="9">
        <v>99.99</v>
      </c>
      <c r="E8" s="8" t="s">
        <v>1102</v>
      </c>
      <c r="F8" s="7" t="s">
        <v>231</v>
      </c>
      <c r="G8" s="10"/>
      <c r="H8" s="7" t="s">
        <v>242</v>
      </c>
      <c r="I8" s="7" t="s">
        <v>593</v>
      </c>
      <c r="J8" s="7" t="s">
        <v>20</v>
      </c>
      <c r="K8" s="7" t="s">
        <v>1103</v>
      </c>
      <c r="L8" s="11" t="str">
        <f>HYPERLINK("http://slimages.macys.com/is/image/MCY/16510854 ")</f>
        <v xml:space="preserve">http://slimages.macys.com/is/image/MCY/16510854 </v>
      </c>
    </row>
    <row r="9" spans="1:12" ht="39.950000000000003" customHeight="1" x14ac:dyDescent="0.25">
      <c r="A9" s="6" t="s">
        <v>1104</v>
      </c>
      <c r="B9" s="7" t="s">
        <v>1105</v>
      </c>
      <c r="C9" s="8">
        <v>1</v>
      </c>
      <c r="D9" s="9">
        <v>139.99</v>
      </c>
      <c r="E9" s="8" t="s">
        <v>1106</v>
      </c>
      <c r="F9" s="7" t="s">
        <v>25</v>
      </c>
      <c r="G9" s="10" t="s">
        <v>35</v>
      </c>
      <c r="H9" s="7" t="s">
        <v>266</v>
      </c>
      <c r="I9" s="7" t="s">
        <v>712</v>
      </c>
      <c r="J9" s="7" t="s">
        <v>521</v>
      </c>
      <c r="K9" s="7" t="s">
        <v>1107</v>
      </c>
      <c r="L9" s="11" t="str">
        <f>HYPERLINK("http://slimages.macys.com/is/image/MCY/3962569 ")</f>
        <v xml:space="preserve">http://slimages.macys.com/is/image/MCY/3962569 </v>
      </c>
    </row>
    <row r="10" spans="1:12" ht="39.950000000000003" customHeight="1" x14ac:dyDescent="0.25">
      <c r="A10" s="6" t="s">
        <v>1108</v>
      </c>
      <c r="B10" s="7" t="s">
        <v>1109</v>
      </c>
      <c r="C10" s="8">
        <v>1</v>
      </c>
      <c r="D10" s="9">
        <v>104.99</v>
      </c>
      <c r="E10" s="8" t="s">
        <v>1110</v>
      </c>
      <c r="F10" s="7" t="s">
        <v>176</v>
      </c>
      <c r="G10" s="10" t="s">
        <v>1111</v>
      </c>
      <c r="H10" s="7" t="s">
        <v>366</v>
      </c>
      <c r="I10" s="7" t="s">
        <v>1112</v>
      </c>
      <c r="J10" s="7"/>
      <c r="K10" s="7"/>
      <c r="L10" s="11" t="str">
        <f>HYPERLINK("http://slimages.macys.com/is/image/MCY/17142520 ")</f>
        <v xml:space="preserve">http://slimages.macys.com/is/image/MCY/17142520 </v>
      </c>
    </row>
    <row r="11" spans="1:12" ht="39.950000000000003" customHeight="1" x14ac:dyDescent="0.25">
      <c r="A11" s="6" t="s">
        <v>1113</v>
      </c>
      <c r="B11" s="7" t="s">
        <v>1114</v>
      </c>
      <c r="C11" s="8">
        <v>2</v>
      </c>
      <c r="D11" s="9">
        <v>299.98</v>
      </c>
      <c r="E11" s="8" t="s">
        <v>1115</v>
      </c>
      <c r="F11" s="7" t="s">
        <v>271</v>
      </c>
      <c r="G11" s="10"/>
      <c r="H11" s="7" t="s">
        <v>98</v>
      </c>
      <c r="I11" s="7" t="s">
        <v>99</v>
      </c>
      <c r="J11" s="7" t="s">
        <v>20</v>
      </c>
      <c r="K11" s="7" t="s">
        <v>1116</v>
      </c>
      <c r="L11" s="11" t="str">
        <f>HYPERLINK("http://slimages.macys.com/is/image/MCY/15389610 ")</f>
        <v xml:space="preserve">http://slimages.macys.com/is/image/MCY/15389610 </v>
      </c>
    </row>
    <row r="12" spans="1:12" ht="39.950000000000003" customHeight="1" x14ac:dyDescent="0.25">
      <c r="A12" s="6" t="s">
        <v>1117</v>
      </c>
      <c r="B12" s="7" t="s">
        <v>1118</v>
      </c>
      <c r="C12" s="8">
        <v>1</v>
      </c>
      <c r="D12" s="9">
        <v>89.99</v>
      </c>
      <c r="E12" s="8" t="s">
        <v>1119</v>
      </c>
      <c r="F12" s="7" t="s">
        <v>440</v>
      </c>
      <c r="G12" s="10"/>
      <c r="H12" s="7" t="s">
        <v>225</v>
      </c>
      <c r="I12" s="7" t="s">
        <v>1120</v>
      </c>
      <c r="J12" s="7" t="s">
        <v>20</v>
      </c>
      <c r="K12" s="7" t="s">
        <v>1121</v>
      </c>
      <c r="L12" s="11" t="str">
        <f>HYPERLINK("http://slimages.macys.com/is/image/MCY/14824339 ")</f>
        <v xml:space="preserve">http://slimages.macys.com/is/image/MCY/14824339 </v>
      </c>
    </row>
    <row r="13" spans="1:12" ht="39.950000000000003" customHeight="1" x14ac:dyDescent="0.25">
      <c r="A13" s="6" t="s">
        <v>1122</v>
      </c>
      <c r="B13" s="7" t="s">
        <v>1123</v>
      </c>
      <c r="C13" s="8">
        <v>1</v>
      </c>
      <c r="D13" s="9">
        <v>67.989999999999995</v>
      </c>
      <c r="E13" s="8" t="s">
        <v>1124</v>
      </c>
      <c r="F13" s="7" t="s">
        <v>25</v>
      </c>
      <c r="G13" s="10"/>
      <c r="H13" s="7" t="s">
        <v>18</v>
      </c>
      <c r="I13" s="7" t="s">
        <v>86</v>
      </c>
      <c r="J13" s="7" t="s">
        <v>20</v>
      </c>
      <c r="K13" s="7" t="s">
        <v>109</v>
      </c>
      <c r="L13" s="11" t="str">
        <f>HYPERLINK("http://slimages.macys.com/is/image/MCY/13300640 ")</f>
        <v xml:space="preserve">http://slimages.macys.com/is/image/MCY/13300640 </v>
      </c>
    </row>
    <row r="14" spans="1:12" ht="39.950000000000003" customHeight="1" x14ac:dyDescent="0.25">
      <c r="A14" s="6" t="s">
        <v>1125</v>
      </c>
      <c r="B14" s="7" t="s">
        <v>1126</v>
      </c>
      <c r="C14" s="8">
        <v>1</v>
      </c>
      <c r="D14" s="9">
        <v>64.989999999999995</v>
      </c>
      <c r="E14" s="8" t="s">
        <v>1127</v>
      </c>
      <c r="F14" s="7" t="s">
        <v>52</v>
      </c>
      <c r="G14" s="10"/>
      <c r="H14" s="7" t="s">
        <v>42</v>
      </c>
      <c r="I14" s="7" t="s">
        <v>139</v>
      </c>
      <c r="J14" s="7" t="s">
        <v>20</v>
      </c>
      <c r="K14" s="7" t="s">
        <v>44</v>
      </c>
      <c r="L14" s="11" t="str">
        <f>HYPERLINK("http://slimages.macys.com/is/image/MCY/9175053 ")</f>
        <v xml:space="preserve">http://slimages.macys.com/is/image/MCY/9175053 </v>
      </c>
    </row>
    <row r="15" spans="1:12" ht="39.950000000000003" customHeight="1" x14ac:dyDescent="0.25">
      <c r="A15" s="6" t="s">
        <v>1128</v>
      </c>
      <c r="B15" s="7" t="s">
        <v>1129</v>
      </c>
      <c r="C15" s="8">
        <v>1</v>
      </c>
      <c r="D15" s="9">
        <v>35.99</v>
      </c>
      <c r="E15" s="8" t="s">
        <v>1130</v>
      </c>
      <c r="F15" s="7" t="s">
        <v>34</v>
      </c>
      <c r="G15" s="10"/>
      <c r="H15" s="7" t="s">
        <v>18</v>
      </c>
      <c r="I15" s="7" t="s">
        <v>28</v>
      </c>
      <c r="J15" s="7" t="s">
        <v>20</v>
      </c>
      <c r="K15" s="7" t="s">
        <v>1131</v>
      </c>
      <c r="L15" s="11" t="str">
        <f>HYPERLINK("http://slimages.macys.com/is/image/MCY/11798422 ")</f>
        <v xml:space="preserve">http://slimages.macys.com/is/image/MCY/11798422 </v>
      </c>
    </row>
    <row r="16" spans="1:12" ht="39.950000000000003" customHeight="1" x14ac:dyDescent="0.25">
      <c r="A16" s="6" t="s">
        <v>1132</v>
      </c>
      <c r="B16" s="7" t="s">
        <v>1133</v>
      </c>
      <c r="C16" s="8">
        <v>1</v>
      </c>
      <c r="D16" s="9">
        <v>39.99</v>
      </c>
      <c r="E16" s="8" t="s">
        <v>1134</v>
      </c>
      <c r="F16" s="7" t="s">
        <v>831</v>
      </c>
      <c r="G16" s="10"/>
      <c r="H16" s="7" t="s">
        <v>98</v>
      </c>
      <c r="I16" s="7" t="s">
        <v>99</v>
      </c>
      <c r="J16" s="7" t="s">
        <v>20</v>
      </c>
      <c r="K16" s="7" t="s">
        <v>1135</v>
      </c>
      <c r="L16" s="11" t="str">
        <f>HYPERLINK("http://slimages.macys.com/is/image/MCY/11607139 ")</f>
        <v xml:space="preserve">http://slimages.macys.com/is/image/MCY/11607139 </v>
      </c>
    </row>
    <row r="17" spans="1:12" ht="39.950000000000003" customHeight="1" x14ac:dyDescent="0.25">
      <c r="A17" s="6" t="s">
        <v>1136</v>
      </c>
      <c r="B17" s="7" t="s">
        <v>1137</v>
      </c>
      <c r="C17" s="8">
        <v>1</v>
      </c>
      <c r="D17" s="9">
        <v>49.99</v>
      </c>
      <c r="E17" s="8">
        <v>21392938</v>
      </c>
      <c r="F17" s="7" t="s">
        <v>34</v>
      </c>
      <c r="G17" s="10"/>
      <c r="H17" s="7" t="s">
        <v>242</v>
      </c>
      <c r="I17" s="7" t="s">
        <v>1138</v>
      </c>
      <c r="J17" s="7" t="s">
        <v>20</v>
      </c>
      <c r="K17" s="7" t="s">
        <v>87</v>
      </c>
      <c r="L17" s="11" t="str">
        <f>HYPERLINK("http://slimages.macys.com/is/image/MCY/14699082 ")</f>
        <v xml:space="preserve">http://slimages.macys.com/is/image/MCY/14699082 </v>
      </c>
    </row>
    <row r="18" spans="1:12" ht="39.950000000000003" customHeight="1" x14ac:dyDescent="0.25">
      <c r="A18" s="6" t="s">
        <v>1139</v>
      </c>
      <c r="B18" s="7" t="s">
        <v>1140</v>
      </c>
      <c r="C18" s="8">
        <v>1</v>
      </c>
      <c r="D18" s="9">
        <v>41.99</v>
      </c>
      <c r="E18" s="8" t="s">
        <v>1141</v>
      </c>
      <c r="F18" s="7" t="s">
        <v>138</v>
      </c>
      <c r="G18" s="10"/>
      <c r="H18" s="7" t="s">
        <v>18</v>
      </c>
      <c r="I18" s="7" t="s">
        <v>58</v>
      </c>
      <c r="J18" s="7" t="s">
        <v>20</v>
      </c>
      <c r="K18" s="7" t="s">
        <v>59</v>
      </c>
      <c r="L18" s="11" t="str">
        <f>HYPERLINK("http://slimages.macys.com/is/image/MCY/10682326 ")</f>
        <v xml:space="preserve">http://slimages.macys.com/is/image/MCY/10682326 </v>
      </c>
    </row>
    <row r="19" spans="1:12" ht="39.950000000000003" customHeight="1" x14ac:dyDescent="0.25">
      <c r="A19" s="6" t="s">
        <v>1142</v>
      </c>
      <c r="B19" s="7" t="s">
        <v>1143</v>
      </c>
      <c r="C19" s="8">
        <v>1</v>
      </c>
      <c r="D19" s="9">
        <v>37.99</v>
      </c>
      <c r="E19" s="8" t="s">
        <v>1144</v>
      </c>
      <c r="F19" s="7" t="s">
        <v>97</v>
      </c>
      <c r="G19" s="10"/>
      <c r="H19" s="7" t="s">
        <v>18</v>
      </c>
      <c r="I19" s="7" t="s">
        <v>58</v>
      </c>
      <c r="J19" s="7" t="s">
        <v>20</v>
      </c>
      <c r="K19" s="7" t="s">
        <v>59</v>
      </c>
      <c r="L19" s="11" t="str">
        <f>HYPERLINK("http://slimages.macys.com/is/image/MCY/10681835 ")</f>
        <v xml:space="preserve">http://slimages.macys.com/is/image/MCY/10681835 </v>
      </c>
    </row>
    <row r="20" spans="1:12" ht="39.950000000000003" customHeight="1" x14ac:dyDescent="0.25">
      <c r="A20" s="6" t="s">
        <v>1145</v>
      </c>
      <c r="B20" s="7" t="s">
        <v>1146</v>
      </c>
      <c r="C20" s="8">
        <v>2</v>
      </c>
      <c r="D20" s="9">
        <v>129.97999999999999</v>
      </c>
      <c r="E20" s="8" t="s">
        <v>1147</v>
      </c>
      <c r="F20" s="7" t="s">
        <v>25</v>
      </c>
      <c r="G20" s="10" t="s">
        <v>26</v>
      </c>
      <c r="H20" s="7" t="s">
        <v>519</v>
      </c>
      <c r="I20" s="7" t="s">
        <v>1148</v>
      </c>
      <c r="J20" s="7" t="s">
        <v>521</v>
      </c>
      <c r="K20" s="7" t="s">
        <v>1149</v>
      </c>
      <c r="L20" s="11" t="str">
        <f>HYPERLINK("http://slimages.macys.com/is/image/MCY/13368404 ")</f>
        <v xml:space="preserve">http://slimages.macys.com/is/image/MCY/13368404 </v>
      </c>
    </row>
    <row r="21" spans="1:12" ht="39.950000000000003" customHeight="1" x14ac:dyDescent="0.25">
      <c r="A21" s="6" t="s">
        <v>1150</v>
      </c>
      <c r="B21" s="7" t="s">
        <v>1151</v>
      </c>
      <c r="C21" s="8">
        <v>1</v>
      </c>
      <c r="D21" s="9">
        <v>75</v>
      </c>
      <c r="E21" s="8" t="s">
        <v>1152</v>
      </c>
      <c r="F21" s="7" t="s">
        <v>25</v>
      </c>
      <c r="G21" s="10" t="s">
        <v>1153</v>
      </c>
      <c r="H21" s="7" t="s">
        <v>67</v>
      </c>
      <c r="I21" s="7" t="s">
        <v>1154</v>
      </c>
      <c r="J21" s="7" t="s">
        <v>220</v>
      </c>
      <c r="K21" s="7" t="s">
        <v>1155</v>
      </c>
      <c r="L21" s="11" t="str">
        <f>HYPERLINK("http://images.bloomingdales.com/is/image/BLM/9119230 ")</f>
        <v xml:space="preserve">http://images.bloomingdales.com/is/image/BLM/9119230 </v>
      </c>
    </row>
    <row r="22" spans="1:12" ht="39.950000000000003" customHeight="1" x14ac:dyDescent="0.25">
      <c r="A22" s="6" t="s">
        <v>1156</v>
      </c>
      <c r="B22" s="7" t="s">
        <v>1157</v>
      </c>
      <c r="C22" s="8">
        <v>1</v>
      </c>
      <c r="D22" s="9">
        <v>39.99</v>
      </c>
      <c r="E22" s="8" t="s">
        <v>1158</v>
      </c>
      <c r="F22" s="7" t="s">
        <v>25</v>
      </c>
      <c r="G22" s="10" t="s">
        <v>1159</v>
      </c>
      <c r="H22" s="7" t="s">
        <v>242</v>
      </c>
      <c r="I22" s="7" t="s">
        <v>1160</v>
      </c>
      <c r="J22" s="7" t="s">
        <v>20</v>
      </c>
      <c r="K22" s="7" t="s">
        <v>127</v>
      </c>
      <c r="L22" s="11" t="str">
        <f>HYPERLINK("http://slimages.macys.com/is/image/MCY/11624453 ")</f>
        <v xml:space="preserve">http://slimages.macys.com/is/image/MCY/11624453 </v>
      </c>
    </row>
    <row r="23" spans="1:12" ht="39.950000000000003" customHeight="1" x14ac:dyDescent="0.25">
      <c r="A23" s="6" t="s">
        <v>1161</v>
      </c>
      <c r="B23" s="7" t="s">
        <v>1162</v>
      </c>
      <c r="C23" s="8">
        <v>1</v>
      </c>
      <c r="D23" s="9">
        <v>34.99</v>
      </c>
      <c r="E23" s="8" t="s">
        <v>1163</v>
      </c>
      <c r="F23" s="7" t="s">
        <v>613</v>
      </c>
      <c r="G23" s="10"/>
      <c r="H23" s="7" t="s">
        <v>18</v>
      </c>
      <c r="I23" s="7" t="s">
        <v>1164</v>
      </c>
      <c r="J23" s="7" t="s">
        <v>20</v>
      </c>
      <c r="K23" s="7" t="s">
        <v>1165</v>
      </c>
      <c r="L23" s="11" t="str">
        <f>HYPERLINK("http://slimages.macys.com/is/image/MCY/12744263 ")</f>
        <v xml:space="preserve">http://slimages.macys.com/is/image/MCY/12744263 </v>
      </c>
    </row>
    <row r="24" spans="1:12" ht="39.950000000000003" customHeight="1" x14ac:dyDescent="0.25">
      <c r="A24" s="6" t="s">
        <v>1166</v>
      </c>
      <c r="B24" s="7" t="s">
        <v>1167</v>
      </c>
      <c r="C24" s="8">
        <v>1</v>
      </c>
      <c r="D24" s="9">
        <v>44.99</v>
      </c>
      <c r="E24" s="8">
        <v>80762</v>
      </c>
      <c r="F24" s="7" t="s">
        <v>25</v>
      </c>
      <c r="G24" s="10"/>
      <c r="H24" s="7" t="s">
        <v>27</v>
      </c>
      <c r="I24" s="7" t="s">
        <v>617</v>
      </c>
      <c r="J24" s="7" t="s">
        <v>521</v>
      </c>
      <c r="K24" s="7" t="s">
        <v>1168</v>
      </c>
      <c r="L24" s="11" t="str">
        <f>HYPERLINK("http://slimages.macys.com/is/image/MCY/3208067 ")</f>
        <v xml:space="preserve">http://slimages.macys.com/is/image/MCY/3208067 </v>
      </c>
    </row>
    <row r="25" spans="1:12" ht="39.950000000000003" customHeight="1" x14ac:dyDescent="0.25">
      <c r="A25" s="6" t="s">
        <v>1169</v>
      </c>
      <c r="B25" s="7" t="s">
        <v>1170</v>
      </c>
      <c r="C25" s="8">
        <v>2</v>
      </c>
      <c r="D25" s="9">
        <v>93.98</v>
      </c>
      <c r="E25" s="8" t="s">
        <v>1171</v>
      </c>
      <c r="F25" s="7" t="s">
        <v>34</v>
      </c>
      <c r="G25" s="10" t="s">
        <v>1172</v>
      </c>
      <c r="H25" s="7" t="s">
        <v>42</v>
      </c>
      <c r="I25" s="7" t="s">
        <v>1173</v>
      </c>
      <c r="J25" s="7" t="s">
        <v>521</v>
      </c>
      <c r="K25" s="7" t="s">
        <v>44</v>
      </c>
      <c r="L25" s="11" t="str">
        <f>HYPERLINK("http://slimages.macys.com/is/image/MCY/10208207 ")</f>
        <v xml:space="preserve">http://slimages.macys.com/is/image/MCY/10208207 </v>
      </c>
    </row>
    <row r="26" spans="1:12" ht="39.950000000000003" customHeight="1" x14ac:dyDescent="0.25">
      <c r="A26" s="6" t="s">
        <v>1055</v>
      </c>
      <c r="B26" s="7" t="s">
        <v>1056</v>
      </c>
      <c r="C26" s="8">
        <v>1</v>
      </c>
      <c r="D26" s="9">
        <v>39.99</v>
      </c>
      <c r="E26" s="8" t="s">
        <v>1057</v>
      </c>
      <c r="F26" s="7" t="s">
        <v>176</v>
      </c>
      <c r="G26" s="10"/>
      <c r="H26" s="7" t="s">
        <v>92</v>
      </c>
      <c r="I26" s="7" t="s">
        <v>556</v>
      </c>
      <c r="J26" s="7" t="s">
        <v>20</v>
      </c>
      <c r="K26" s="7"/>
      <c r="L26" s="11" t="str">
        <f>HYPERLINK("http://slimages.macys.com/is/image/MCY/9936654 ")</f>
        <v xml:space="preserve">http://slimages.macys.com/is/image/MCY/9936654 </v>
      </c>
    </row>
    <row r="27" spans="1:12" ht="39.950000000000003" customHeight="1" x14ac:dyDescent="0.25">
      <c r="A27" s="6" t="s">
        <v>1174</v>
      </c>
      <c r="B27" s="7" t="s">
        <v>1175</v>
      </c>
      <c r="C27" s="8">
        <v>1</v>
      </c>
      <c r="D27" s="9">
        <v>39.99</v>
      </c>
      <c r="E27" s="8" t="s">
        <v>1176</v>
      </c>
      <c r="F27" s="7" t="s">
        <v>271</v>
      </c>
      <c r="G27" s="10"/>
      <c r="H27" s="7" t="s">
        <v>42</v>
      </c>
      <c r="I27" s="7" t="s">
        <v>1177</v>
      </c>
      <c r="J27" s="7" t="s">
        <v>20</v>
      </c>
      <c r="K27" s="7" t="s">
        <v>1178</v>
      </c>
      <c r="L27" s="11" t="str">
        <f>HYPERLINK("http://slimages.macys.com/is/image/MCY/14832475 ")</f>
        <v xml:space="preserve">http://slimages.macys.com/is/image/MCY/14832475 </v>
      </c>
    </row>
    <row r="28" spans="1:12" ht="39.950000000000003" customHeight="1" x14ac:dyDescent="0.25">
      <c r="A28" s="6" t="s">
        <v>1179</v>
      </c>
      <c r="B28" s="7" t="s">
        <v>1180</v>
      </c>
      <c r="C28" s="8">
        <v>1</v>
      </c>
      <c r="D28" s="9">
        <v>30</v>
      </c>
      <c r="E28" s="8" t="s">
        <v>1181</v>
      </c>
      <c r="F28" s="7" t="s">
        <v>34</v>
      </c>
      <c r="G28" s="10" t="s">
        <v>1153</v>
      </c>
      <c r="H28" s="7" t="s">
        <v>225</v>
      </c>
      <c r="I28" s="7" t="s">
        <v>1120</v>
      </c>
      <c r="J28" s="7" t="s">
        <v>20</v>
      </c>
      <c r="K28" s="7"/>
      <c r="L28" s="11" t="str">
        <f>HYPERLINK("http://slimages.macys.com/is/image/MCY/9418195 ")</f>
        <v xml:space="preserve">http://slimages.macys.com/is/image/MCY/9418195 </v>
      </c>
    </row>
    <row r="29" spans="1:12" ht="39.950000000000003" customHeight="1" x14ac:dyDescent="0.25">
      <c r="A29" s="6" t="s">
        <v>1182</v>
      </c>
      <c r="B29" s="7" t="s">
        <v>1183</v>
      </c>
      <c r="C29" s="8">
        <v>1</v>
      </c>
      <c r="D29" s="9">
        <v>78.11</v>
      </c>
      <c r="E29" s="8" t="s">
        <v>1184</v>
      </c>
      <c r="F29" s="7" t="s">
        <v>34</v>
      </c>
      <c r="G29" s="10" t="s">
        <v>113</v>
      </c>
      <c r="H29" s="7" t="s">
        <v>42</v>
      </c>
      <c r="I29" s="7" t="s">
        <v>1185</v>
      </c>
      <c r="J29" s="7" t="s">
        <v>20</v>
      </c>
      <c r="K29" s="7"/>
      <c r="L29" s="11" t="str">
        <f>HYPERLINK("http://slimages.macys.com/is/image/MCY/9944669 ")</f>
        <v xml:space="preserve">http://slimages.macys.com/is/image/MCY/9944669 </v>
      </c>
    </row>
    <row r="30" spans="1:12" ht="39.950000000000003" customHeight="1" x14ac:dyDescent="0.25">
      <c r="A30" s="6" t="s">
        <v>1186</v>
      </c>
      <c r="B30" s="7" t="s">
        <v>1187</v>
      </c>
      <c r="C30" s="8">
        <v>3</v>
      </c>
      <c r="D30" s="9">
        <v>89.97</v>
      </c>
      <c r="E30" s="8">
        <v>55024</v>
      </c>
      <c r="F30" s="7" t="s">
        <v>163</v>
      </c>
      <c r="G30" s="10"/>
      <c r="H30" s="7" t="s">
        <v>42</v>
      </c>
      <c r="I30" s="7" t="s">
        <v>164</v>
      </c>
      <c r="J30" s="7" t="s">
        <v>20</v>
      </c>
      <c r="K30" s="7" t="s">
        <v>44</v>
      </c>
      <c r="L30" s="11" t="str">
        <f>HYPERLINK("http://slimages.macys.com/is/image/MCY/12936265 ")</f>
        <v xml:space="preserve">http://slimages.macys.com/is/image/MCY/12936265 </v>
      </c>
    </row>
    <row r="31" spans="1:12" ht="39.950000000000003" customHeight="1" x14ac:dyDescent="0.25">
      <c r="A31" s="6" t="s">
        <v>1188</v>
      </c>
      <c r="B31" s="7" t="s">
        <v>1189</v>
      </c>
      <c r="C31" s="8">
        <v>1</v>
      </c>
      <c r="D31" s="9">
        <v>28.99</v>
      </c>
      <c r="E31" s="8">
        <v>2085</v>
      </c>
      <c r="F31" s="7" t="s">
        <v>25</v>
      </c>
      <c r="G31" s="10"/>
      <c r="H31" s="7" t="s">
        <v>27</v>
      </c>
      <c r="I31" s="7" t="s">
        <v>1190</v>
      </c>
      <c r="J31" s="7"/>
      <c r="K31" s="7"/>
      <c r="L31" s="11" t="str">
        <f>HYPERLINK("http://slimages.macys.com/is/image/MCY/16854527 ")</f>
        <v xml:space="preserve">http://slimages.macys.com/is/image/MCY/16854527 </v>
      </c>
    </row>
    <row r="32" spans="1:12" ht="39.950000000000003" customHeight="1" x14ac:dyDescent="0.25">
      <c r="A32" s="6" t="s">
        <v>911</v>
      </c>
      <c r="B32" s="7" t="s">
        <v>912</v>
      </c>
      <c r="C32" s="8">
        <v>4</v>
      </c>
      <c r="D32" s="9">
        <v>119.96</v>
      </c>
      <c r="E32" s="8" t="s">
        <v>913</v>
      </c>
      <c r="F32" s="7" t="s">
        <v>25</v>
      </c>
      <c r="G32" s="10" t="s">
        <v>187</v>
      </c>
      <c r="H32" s="7" t="s">
        <v>103</v>
      </c>
      <c r="I32" s="7" t="s">
        <v>104</v>
      </c>
      <c r="J32" s="7" t="s">
        <v>20</v>
      </c>
      <c r="K32" s="7" t="s">
        <v>298</v>
      </c>
      <c r="L32" s="11" t="str">
        <f>HYPERLINK("http://slimages.macys.com/is/image/MCY/13285480 ")</f>
        <v xml:space="preserve">http://slimages.macys.com/is/image/MCY/13285480 </v>
      </c>
    </row>
    <row r="33" spans="1:12" ht="39.950000000000003" customHeight="1" x14ac:dyDescent="0.25">
      <c r="A33" s="6" t="s">
        <v>1191</v>
      </c>
      <c r="B33" s="7" t="s">
        <v>1192</v>
      </c>
      <c r="C33" s="8">
        <v>1</v>
      </c>
      <c r="D33" s="9">
        <v>19.989999999999998</v>
      </c>
      <c r="E33" s="8" t="s">
        <v>1193</v>
      </c>
      <c r="F33" s="7" t="s">
        <v>498</v>
      </c>
      <c r="G33" s="10" t="s">
        <v>1194</v>
      </c>
      <c r="H33" s="7" t="s">
        <v>426</v>
      </c>
      <c r="I33" s="7" t="s">
        <v>427</v>
      </c>
      <c r="J33" s="7" t="s">
        <v>20</v>
      </c>
      <c r="K33" s="7" t="s">
        <v>298</v>
      </c>
      <c r="L33" s="11" t="str">
        <f>HYPERLINK("http://slimages.macys.com/is/image/MCY/9962009 ")</f>
        <v xml:space="preserve">http://slimages.macys.com/is/image/MCY/9962009 </v>
      </c>
    </row>
    <row r="34" spans="1:12" ht="39.950000000000003" customHeight="1" x14ac:dyDescent="0.25">
      <c r="A34" s="6" t="s">
        <v>1195</v>
      </c>
      <c r="B34" s="7" t="s">
        <v>1196</v>
      </c>
      <c r="C34" s="8">
        <v>2</v>
      </c>
      <c r="D34" s="9">
        <v>43.98</v>
      </c>
      <c r="E34" s="8" t="s">
        <v>1197</v>
      </c>
      <c r="F34" s="7" t="s">
        <v>25</v>
      </c>
      <c r="G34" s="10" t="s">
        <v>187</v>
      </c>
      <c r="H34" s="7" t="s">
        <v>366</v>
      </c>
      <c r="I34" s="7" t="s">
        <v>871</v>
      </c>
      <c r="J34" s="7" t="s">
        <v>20</v>
      </c>
      <c r="K34" s="7" t="s">
        <v>872</v>
      </c>
      <c r="L34" s="11" t="str">
        <f>HYPERLINK("http://slimages.macys.com/is/image/MCY/10753521 ")</f>
        <v xml:space="preserve">http://slimages.macys.com/is/image/MCY/10753521 </v>
      </c>
    </row>
    <row r="35" spans="1:12" ht="39.950000000000003" customHeight="1" x14ac:dyDescent="0.25">
      <c r="A35" s="6" t="s">
        <v>1198</v>
      </c>
      <c r="B35" s="7" t="s">
        <v>1199</v>
      </c>
      <c r="C35" s="8">
        <v>1</v>
      </c>
      <c r="D35" s="9">
        <v>19.989999999999998</v>
      </c>
      <c r="E35" s="8" t="s">
        <v>1200</v>
      </c>
      <c r="F35" s="7" t="s">
        <v>271</v>
      </c>
      <c r="G35" s="10"/>
      <c r="H35" s="7" t="s">
        <v>18</v>
      </c>
      <c r="I35" s="7" t="s">
        <v>58</v>
      </c>
      <c r="J35" s="7" t="s">
        <v>20</v>
      </c>
      <c r="K35" s="7" t="s">
        <v>59</v>
      </c>
      <c r="L35" s="11" t="str">
        <f>HYPERLINK("http://slimages.macys.com/is/image/MCY/10681745 ")</f>
        <v xml:space="preserve">http://slimages.macys.com/is/image/MCY/10681745 </v>
      </c>
    </row>
    <row r="36" spans="1:12" ht="39.950000000000003" customHeight="1" x14ac:dyDescent="0.25">
      <c r="A36" s="6" t="s">
        <v>1201</v>
      </c>
      <c r="B36" s="7" t="s">
        <v>1202</v>
      </c>
      <c r="C36" s="8">
        <v>1</v>
      </c>
      <c r="D36" s="9">
        <v>39.99</v>
      </c>
      <c r="E36" s="8" t="s">
        <v>1203</v>
      </c>
      <c r="F36" s="7" t="s">
        <v>52</v>
      </c>
      <c r="G36" s="10"/>
      <c r="H36" s="7" t="s">
        <v>699</v>
      </c>
      <c r="I36" s="7" t="s">
        <v>964</v>
      </c>
      <c r="J36" s="7" t="s">
        <v>20</v>
      </c>
      <c r="K36" s="7" t="s">
        <v>109</v>
      </c>
      <c r="L36" s="11" t="str">
        <f>HYPERLINK("http://slimages.macys.com/is/image/MCY/12873905 ")</f>
        <v xml:space="preserve">http://slimages.macys.com/is/image/MCY/12873905 </v>
      </c>
    </row>
    <row r="37" spans="1:12" ht="39.950000000000003" customHeight="1" x14ac:dyDescent="0.25">
      <c r="A37" s="6" t="s">
        <v>1204</v>
      </c>
      <c r="B37" s="7" t="s">
        <v>1205</v>
      </c>
      <c r="C37" s="8">
        <v>2</v>
      </c>
      <c r="D37" s="9">
        <v>21.98</v>
      </c>
      <c r="E37" s="8">
        <v>1640653</v>
      </c>
      <c r="F37" s="7" t="s">
        <v>25</v>
      </c>
      <c r="G37" s="10"/>
      <c r="H37" s="7" t="s">
        <v>27</v>
      </c>
      <c r="I37" s="7" t="s">
        <v>1206</v>
      </c>
      <c r="J37" s="7"/>
      <c r="K37" s="7"/>
      <c r="L37" s="11" t="str">
        <f>HYPERLINK("http://slimages.macys.com/is/image/MCY/16946992 ")</f>
        <v xml:space="preserve">http://slimages.macys.com/is/image/MCY/16946992 </v>
      </c>
    </row>
    <row r="38" spans="1:12" ht="39.950000000000003" customHeight="1" x14ac:dyDescent="0.25">
      <c r="A38" s="6" t="s">
        <v>1207</v>
      </c>
      <c r="B38" s="7" t="s">
        <v>1208</v>
      </c>
      <c r="C38" s="8">
        <v>2</v>
      </c>
      <c r="D38" s="9">
        <v>299.98</v>
      </c>
      <c r="E38" s="8" t="s">
        <v>1209</v>
      </c>
      <c r="F38" s="7" t="s">
        <v>52</v>
      </c>
      <c r="G38" s="10"/>
      <c r="H38" s="7" t="s">
        <v>787</v>
      </c>
      <c r="I38" s="7" t="s">
        <v>788</v>
      </c>
      <c r="J38" s="7"/>
      <c r="K38" s="7"/>
      <c r="L38" s="11"/>
    </row>
    <row r="39" spans="1:12" ht="39.950000000000003" customHeight="1" x14ac:dyDescent="0.25">
      <c r="A39" s="6" t="s">
        <v>207</v>
      </c>
      <c r="B39" s="7" t="s">
        <v>208</v>
      </c>
      <c r="C39" s="8">
        <v>2</v>
      </c>
      <c r="D39" s="9">
        <v>80</v>
      </c>
      <c r="E39" s="8"/>
      <c r="F39" s="7" t="s">
        <v>209</v>
      </c>
      <c r="G39" s="10" t="s">
        <v>113</v>
      </c>
      <c r="H39" s="7" t="s">
        <v>210</v>
      </c>
      <c r="I39" s="7" t="s">
        <v>211</v>
      </c>
      <c r="J39" s="7"/>
      <c r="K39" s="7"/>
      <c r="L39" s="11"/>
    </row>
    <row r="40" spans="1:12" ht="39.950000000000003" customHeight="1" x14ac:dyDescent="0.25">
      <c r="A40" s="6" t="s">
        <v>1210</v>
      </c>
      <c r="B40" s="7" t="s">
        <v>1211</v>
      </c>
      <c r="C40" s="8">
        <v>1</v>
      </c>
      <c r="D40" s="9">
        <v>64.989999999999995</v>
      </c>
      <c r="E40" s="8" t="s">
        <v>1212</v>
      </c>
      <c r="F40" s="7" t="s">
        <v>57</v>
      </c>
      <c r="G40" s="10"/>
      <c r="H40" s="7" t="s">
        <v>18</v>
      </c>
      <c r="I40" s="7" t="s">
        <v>385</v>
      </c>
      <c r="J40" s="7"/>
      <c r="K40" s="7"/>
      <c r="L40" s="11"/>
    </row>
    <row r="41" spans="1:12" ht="39.950000000000003" customHeight="1" x14ac:dyDescent="0.25">
      <c r="A41" s="6" t="s">
        <v>1213</v>
      </c>
      <c r="B41" s="7" t="s">
        <v>1214</v>
      </c>
      <c r="C41" s="8">
        <v>2</v>
      </c>
      <c r="D41" s="9">
        <v>155.97999999999999</v>
      </c>
      <c r="E41" s="8" t="s">
        <v>1215</v>
      </c>
      <c r="F41" s="7" t="s">
        <v>163</v>
      </c>
      <c r="G41" s="10"/>
      <c r="H41" s="7" t="s">
        <v>42</v>
      </c>
      <c r="I41" s="7" t="s">
        <v>1185</v>
      </c>
      <c r="J41" s="7"/>
      <c r="K41" s="7"/>
      <c r="L41" s="11"/>
    </row>
    <row r="42" spans="1:12" ht="39.950000000000003" customHeight="1" x14ac:dyDescent="0.25">
      <c r="A42" s="6" t="s">
        <v>1216</v>
      </c>
      <c r="B42" s="7" t="s">
        <v>1217</v>
      </c>
      <c r="C42" s="8">
        <v>1</v>
      </c>
      <c r="D42" s="9">
        <v>89.99</v>
      </c>
      <c r="E42" s="8">
        <v>10009991600</v>
      </c>
      <c r="F42" s="7" t="s">
        <v>186</v>
      </c>
      <c r="G42" s="10"/>
      <c r="H42" s="7" t="s">
        <v>67</v>
      </c>
      <c r="I42" s="7" t="s">
        <v>272</v>
      </c>
      <c r="J42" s="7"/>
      <c r="K42" s="7"/>
      <c r="L42" s="11"/>
    </row>
    <row r="43" spans="1:12" ht="39.950000000000003" customHeight="1" x14ac:dyDescent="0.25">
      <c r="A43" s="6" t="s">
        <v>1218</v>
      </c>
      <c r="B43" s="7" t="s">
        <v>1219</v>
      </c>
      <c r="C43" s="8">
        <v>2</v>
      </c>
      <c r="D43" s="9">
        <v>79.98</v>
      </c>
      <c r="E43" s="8" t="s">
        <v>1220</v>
      </c>
      <c r="F43" s="7" t="s">
        <v>1221</v>
      </c>
      <c r="G43" s="10"/>
      <c r="H43" s="7" t="s">
        <v>42</v>
      </c>
      <c r="I43" s="7" t="s">
        <v>376</v>
      </c>
      <c r="J43" s="7"/>
      <c r="K43" s="7"/>
      <c r="L43" s="11"/>
    </row>
    <row r="44" spans="1:12" ht="39.950000000000003" customHeight="1" x14ac:dyDescent="0.25">
      <c r="A44" s="6"/>
      <c r="B44" s="7"/>
      <c r="C44" s="8"/>
      <c r="D44" s="9"/>
      <c r="E44" s="8"/>
      <c r="F44" s="7"/>
      <c r="G44" s="10"/>
      <c r="H44" s="7"/>
      <c r="I44" s="7"/>
      <c r="J44" s="7"/>
      <c r="K44" s="7"/>
      <c r="L44" s="11"/>
    </row>
    <row r="45" spans="1:12" ht="39.950000000000003" customHeight="1" x14ac:dyDescent="0.25">
      <c r="A45" s="6"/>
      <c r="B45" s="7"/>
      <c r="C45" s="8"/>
      <c r="D45" s="9"/>
      <c r="E45" s="8"/>
      <c r="F45" s="7"/>
      <c r="G45" s="10"/>
      <c r="H45" s="7"/>
      <c r="I45" s="7"/>
      <c r="J45" s="7"/>
      <c r="K45" s="7"/>
      <c r="L45" s="11"/>
    </row>
    <row r="46" spans="1:12" ht="39.950000000000003" customHeight="1" x14ac:dyDescent="0.25">
      <c r="A46" s="6"/>
      <c r="B46" s="7"/>
      <c r="C46" s="8"/>
      <c r="D46" s="9"/>
      <c r="E46" s="8"/>
      <c r="F46" s="7"/>
      <c r="G46" s="10"/>
      <c r="H46" s="7"/>
      <c r="I46" s="7"/>
      <c r="J46" s="7"/>
      <c r="K46" s="7"/>
      <c r="L46" s="11"/>
    </row>
    <row r="47" spans="1:12" ht="39.950000000000003" customHeight="1" x14ac:dyDescent="0.25">
      <c r="A47" s="6"/>
      <c r="B47" s="7"/>
      <c r="C47" s="8"/>
      <c r="D47" s="9"/>
      <c r="E47" s="8"/>
      <c r="F47" s="7"/>
      <c r="G47" s="10"/>
      <c r="H47" s="7"/>
      <c r="I47" s="7"/>
      <c r="J47" s="7"/>
      <c r="K47" s="7"/>
      <c r="L47" s="11"/>
    </row>
    <row r="48" spans="1:12" ht="39.950000000000003" customHeight="1" x14ac:dyDescent="0.25">
      <c r="A48" s="6"/>
      <c r="B48" s="7"/>
      <c r="C48" s="8"/>
      <c r="D48" s="9"/>
      <c r="E48" s="8"/>
      <c r="F48" s="7"/>
      <c r="G48" s="10"/>
      <c r="H48" s="7"/>
      <c r="I48" s="7"/>
      <c r="J48" s="7"/>
      <c r="K48" s="7"/>
      <c r="L48" s="11"/>
    </row>
    <row r="49" spans="1:12" ht="39.950000000000003" customHeight="1" x14ac:dyDescent="0.25">
      <c r="A49" s="6"/>
      <c r="B49" s="7"/>
      <c r="C49" s="8"/>
      <c r="D49" s="9"/>
      <c r="E49" s="8"/>
      <c r="F49" s="7"/>
      <c r="G49" s="10"/>
      <c r="H49" s="7"/>
      <c r="I49" s="7"/>
      <c r="J49" s="7"/>
      <c r="K49" s="7"/>
      <c r="L49" s="11"/>
    </row>
    <row r="50" spans="1:12" ht="39.950000000000003" customHeight="1" x14ac:dyDescent="0.25">
      <c r="A50" s="6"/>
      <c r="B50" s="7"/>
      <c r="C50" s="8"/>
      <c r="D50" s="9"/>
      <c r="E50" s="8"/>
      <c r="F50" s="7"/>
      <c r="G50" s="10"/>
      <c r="H50" s="7"/>
      <c r="I50" s="7"/>
      <c r="J50" s="7"/>
      <c r="K50" s="7"/>
      <c r="L50" s="11"/>
    </row>
    <row r="51" spans="1:12" ht="39.950000000000003" customHeight="1" x14ac:dyDescent="0.25">
      <c r="A51" s="6"/>
      <c r="B51" s="7"/>
      <c r="C51" s="8"/>
      <c r="D51" s="9"/>
      <c r="E51" s="8"/>
      <c r="F51" s="7"/>
      <c r="G51" s="10"/>
      <c r="H51" s="7"/>
      <c r="I51" s="7"/>
      <c r="J51" s="7"/>
      <c r="K51" s="7"/>
      <c r="L51" s="11"/>
    </row>
    <row r="52" spans="1:12" ht="39.950000000000003" customHeight="1" x14ac:dyDescent="0.25">
      <c r="A52" s="6"/>
      <c r="B52" s="7"/>
      <c r="C52" s="8"/>
      <c r="D52" s="9"/>
      <c r="E52" s="8"/>
      <c r="F52" s="7"/>
      <c r="G52" s="10"/>
      <c r="H52" s="7"/>
      <c r="I52" s="7"/>
      <c r="J52" s="7"/>
      <c r="K52" s="7"/>
      <c r="L52" s="11"/>
    </row>
    <row r="53" spans="1:12" ht="39.950000000000003" customHeight="1" x14ac:dyDescent="0.25">
      <c r="A53" s="6"/>
      <c r="B53" s="7"/>
      <c r="C53" s="8"/>
      <c r="D53" s="9"/>
      <c r="E53" s="8"/>
      <c r="F53" s="7"/>
      <c r="G53" s="10"/>
      <c r="H53" s="7"/>
      <c r="I53" s="7"/>
      <c r="J53" s="7"/>
      <c r="K53" s="7"/>
      <c r="L53" s="11"/>
    </row>
    <row r="54" spans="1:12" ht="39.950000000000003" customHeight="1" x14ac:dyDescent="0.25">
      <c r="A54" s="6"/>
      <c r="B54" s="7"/>
      <c r="C54" s="8"/>
      <c r="D54" s="9"/>
      <c r="E54" s="8"/>
      <c r="F54" s="7"/>
      <c r="G54" s="10"/>
      <c r="H54" s="7"/>
      <c r="I54" s="7"/>
      <c r="J54" s="7"/>
      <c r="K54" s="7"/>
      <c r="L54" s="11"/>
    </row>
    <row r="55" spans="1:12" ht="39.950000000000003" customHeight="1" x14ac:dyDescent="0.25">
      <c r="A55" s="6"/>
      <c r="B55" s="7"/>
      <c r="C55" s="8"/>
      <c r="D55" s="9"/>
      <c r="E55" s="8"/>
      <c r="F55" s="7"/>
      <c r="G55" s="10"/>
      <c r="H55" s="7"/>
      <c r="I55" s="7"/>
      <c r="J55" s="7"/>
      <c r="K55" s="7"/>
      <c r="L55" s="11"/>
    </row>
    <row r="56" spans="1:12" ht="39.950000000000003" customHeight="1" x14ac:dyDescent="0.25">
      <c r="A56" s="6"/>
      <c r="B56" s="7"/>
      <c r="C56" s="8"/>
      <c r="D56" s="9"/>
      <c r="E56" s="8"/>
      <c r="F56" s="7"/>
      <c r="G56" s="10"/>
      <c r="H56" s="7"/>
      <c r="I56" s="7"/>
      <c r="J56" s="7"/>
      <c r="K56" s="7"/>
      <c r="L56" s="1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C9FA4-C6E7-4B15-B459-B0A1337ECD99}">
  <dimension ref="A1:L65"/>
  <sheetViews>
    <sheetView workbookViewId="0"/>
  </sheetViews>
  <sheetFormatPr defaultRowHeight="39.950000000000003" customHeight="1" x14ac:dyDescent="0.25"/>
  <cols>
    <col min="1" max="1" width="14.28515625" customWidth="1"/>
    <col min="2" max="2" width="22.28515625" customWidth="1"/>
    <col min="3" max="3" width="15" customWidth="1"/>
    <col min="4" max="4" width="10.28515625" customWidth="1"/>
    <col min="5" max="5" width="17.140625" customWidth="1"/>
    <col min="6" max="6" width="11.42578125" customWidth="1"/>
    <col min="7" max="7" width="10.85546875" customWidth="1"/>
    <col min="8" max="8" width="12.140625" customWidth="1"/>
    <col min="9" max="9" width="36.5703125" bestFit="1" customWidth="1"/>
    <col min="10" max="11" width="20.7109375" customWidth="1"/>
    <col min="12" max="12" width="64.28515625" customWidth="1"/>
  </cols>
  <sheetData>
    <row r="1" spans="1:12" ht="39.950000000000003" customHeight="1" x14ac:dyDescent="0.25">
      <c r="A1" s="5" t="s">
        <v>2</v>
      </c>
      <c r="B1" s="5" t="s">
        <v>3</v>
      </c>
      <c r="C1" s="5" t="s">
        <v>4</v>
      </c>
      <c r="D1" s="5" t="s">
        <v>5</v>
      </c>
      <c r="E1" s="5" t="s">
        <v>6</v>
      </c>
      <c r="F1" s="5" t="s">
        <v>7</v>
      </c>
      <c r="G1" s="5" t="s">
        <v>8</v>
      </c>
      <c r="H1" s="5" t="s">
        <v>9</v>
      </c>
      <c r="I1" s="5" t="s">
        <v>10</v>
      </c>
      <c r="J1" s="5" t="s">
        <v>11</v>
      </c>
      <c r="K1" s="5" t="s">
        <v>12</v>
      </c>
      <c r="L1" s="5" t="s">
        <v>13</v>
      </c>
    </row>
    <row r="2" spans="1:12" ht="39.950000000000003" customHeight="1" x14ac:dyDescent="0.25">
      <c r="A2" s="6" t="s">
        <v>14</v>
      </c>
      <c r="B2" s="7" t="s">
        <v>15</v>
      </c>
      <c r="C2" s="8">
        <v>1</v>
      </c>
      <c r="D2" s="9">
        <v>247.99</v>
      </c>
      <c r="E2" s="8" t="s">
        <v>16</v>
      </c>
      <c r="F2" s="7" t="s">
        <v>17</v>
      </c>
      <c r="G2" s="10"/>
      <c r="H2" s="7" t="s">
        <v>18</v>
      </c>
      <c r="I2" s="7" t="s">
        <v>19</v>
      </c>
      <c r="J2" s="7" t="s">
        <v>20</v>
      </c>
      <c r="K2" s="7" t="s">
        <v>21</v>
      </c>
      <c r="L2" s="11" t="str">
        <f>HYPERLINK("http://slimages.macys.com/is/image/MCY/11836452 ")</f>
        <v xml:space="preserve">http://slimages.macys.com/is/image/MCY/11836452 </v>
      </c>
    </row>
    <row r="3" spans="1:12" ht="39.950000000000003" customHeight="1" x14ac:dyDescent="0.25">
      <c r="A3" s="6" t="s">
        <v>22</v>
      </c>
      <c r="B3" s="7" t="s">
        <v>23</v>
      </c>
      <c r="C3" s="8">
        <v>1</v>
      </c>
      <c r="D3" s="9">
        <v>159.99</v>
      </c>
      <c r="E3" s="8" t="s">
        <v>24</v>
      </c>
      <c r="F3" s="7" t="s">
        <v>25</v>
      </c>
      <c r="G3" s="10" t="s">
        <v>26</v>
      </c>
      <c r="H3" s="7" t="s">
        <v>27</v>
      </c>
      <c r="I3" s="7" t="s">
        <v>28</v>
      </c>
      <c r="J3" s="7" t="s">
        <v>29</v>
      </c>
      <c r="K3" s="7" t="s">
        <v>30</v>
      </c>
      <c r="L3" s="11" t="str">
        <f>HYPERLINK("http://slimages.macys.com/is/image/MCY/11798206 ")</f>
        <v xml:space="preserve">http://slimages.macys.com/is/image/MCY/11798206 </v>
      </c>
    </row>
    <row r="4" spans="1:12" ht="39.950000000000003" customHeight="1" x14ac:dyDescent="0.25">
      <c r="A4" s="6" t="s">
        <v>31</v>
      </c>
      <c r="B4" s="7" t="s">
        <v>32</v>
      </c>
      <c r="C4" s="8">
        <v>2</v>
      </c>
      <c r="D4" s="9">
        <v>353.98</v>
      </c>
      <c r="E4" s="8" t="s">
        <v>33</v>
      </c>
      <c r="F4" s="7" t="s">
        <v>34</v>
      </c>
      <c r="G4" s="10" t="s">
        <v>35</v>
      </c>
      <c r="H4" s="7" t="s">
        <v>36</v>
      </c>
      <c r="I4" s="7" t="s">
        <v>37</v>
      </c>
      <c r="J4" s="7" t="s">
        <v>20</v>
      </c>
      <c r="K4" s="7" t="s">
        <v>38</v>
      </c>
      <c r="L4" s="11" t="str">
        <f>HYPERLINK("http://slimages.macys.com/is/image/MCY/10785002 ")</f>
        <v xml:space="preserve">http://slimages.macys.com/is/image/MCY/10785002 </v>
      </c>
    </row>
    <row r="5" spans="1:12" ht="39.950000000000003" customHeight="1" x14ac:dyDescent="0.25">
      <c r="A5" s="6" t="s">
        <v>39</v>
      </c>
      <c r="B5" s="7" t="s">
        <v>40</v>
      </c>
      <c r="C5" s="8">
        <v>1</v>
      </c>
      <c r="D5" s="9">
        <v>158.99</v>
      </c>
      <c r="E5" s="8" t="s">
        <v>41</v>
      </c>
      <c r="F5" s="7" t="s">
        <v>34</v>
      </c>
      <c r="G5" s="10"/>
      <c r="H5" s="7" t="s">
        <v>42</v>
      </c>
      <c r="I5" s="7" t="s">
        <v>43</v>
      </c>
      <c r="J5" s="7" t="s">
        <v>20</v>
      </c>
      <c r="K5" s="7" t="s">
        <v>44</v>
      </c>
      <c r="L5" s="11" t="str">
        <f>HYPERLINK("http://slimages.macys.com/is/image/MCY/12929465 ")</f>
        <v xml:space="preserve">http://slimages.macys.com/is/image/MCY/12929465 </v>
      </c>
    </row>
    <row r="6" spans="1:12" ht="39.950000000000003" customHeight="1" x14ac:dyDescent="0.25">
      <c r="A6" s="6" t="s">
        <v>45</v>
      </c>
      <c r="B6" s="7" t="s">
        <v>46</v>
      </c>
      <c r="C6" s="8">
        <v>1</v>
      </c>
      <c r="D6" s="9">
        <v>129.99</v>
      </c>
      <c r="E6" s="8" t="s">
        <v>47</v>
      </c>
      <c r="F6" s="7" t="s">
        <v>25</v>
      </c>
      <c r="G6" s="10"/>
      <c r="H6" s="7" t="s">
        <v>42</v>
      </c>
      <c r="I6" s="7" t="s">
        <v>48</v>
      </c>
      <c r="J6" s="7" t="s">
        <v>20</v>
      </c>
      <c r="K6" s="7" t="s">
        <v>44</v>
      </c>
      <c r="L6" s="11" t="str">
        <f>HYPERLINK("http://slimages.macys.com/is/image/MCY/15504747 ")</f>
        <v xml:space="preserve">http://slimages.macys.com/is/image/MCY/15504747 </v>
      </c>
    </row>
    <row r="7" spans="1:12" ht="39.950000000000003" customHeight="1" x14ac:dyDescent="0.25">
      <c r="A7" s="6" t="s">
        <v>49</v>
      </c>
      <c r="B7" s="7" t="s">
        <v>50</v>
      </c>
      <c r="C7" s="8">
        <v>1</v>
      </c>
      <c r="D7" s="9">
        <v>69.989999999999995</v>
      </c>
      <c r="E7" s="8" t="s">
        <v>51</v>
      </c>
      <c r="F7" s="7" t="s">
        <v>52</v>
      </c>
      <c r="G7" s="10"/>
      <c r="H7" s="7" t="s">
        <v>42</v>
      </c>
      <c r="I7" s="7" t="s">
        <v>53</v>
      </c>
      <c r="J7" s="7"/>
      <c r="K7" s="7"/>
      <c r="L7" s="11" t="str">
        <f>HYPERLINK("http://slimages.macys.com/is/image/MCY/17322712 ")</f>
        <v xml:space="preserve">http://slimages.macys.com/is/image/MCY/17322712 </v>
      </c>
    </row>
    <row r="8" spans="1:12" ht="39.950000000000003" customHeight="1" x14ac:dyDescent="0.25">
      <c r="A8" s="6" t="s">
        <v>54</v>
      </c>
      <c r="B8" s="7" t="s">
        <v>55</v>
      </c>
      <c r="C8" s="8">
        <v>3</v>
      </c>
      <c r="D8" s="9">
        <v>257.97000000000003</v>
      </c>
      <c r="E8" s="8" t="s">
        <v>56</v>
      </c>
      <c r="F8" s="7" t="s">
        <v>57</v>
      </c>
      <c r="G8" s="10"/>
      <c r="H8" s="7" t="s">
        <v>18</v>
      </c>
      <c r="I8" s="7" t="s">
        <v>58</v>
      </c>
      <c r="J8" s="7" t="s">
        <v>20</v>
      </c>
      <c r="K8" s="7" t="s">
        <v>59</v>
      </c>
      <c r="L8" s="11" t="str">
        <f>HYPERLINK("http://slimages.macys.com/is/image/MCY/10683459 ")</f>
        <v xml:space="preserve">http://slimages.macys.com/is/image/MCY/10683459 </v>
      </c>
    </row>
    <row r="9" spans="1:12" ht="39.950000000000003" customHeight="1" x14ac:dyDescent="0.25">
      <c r="A9" s="6" t="s">
        <v>60</v>
      </c>
      <c r="B9" s="7" t="s">
        <v>61</v>
      </c>
      <c r="C9" s="8">
        <v>1</v>
      </c>
      <c r="D9" s="9">
        <v>109.99</v>
      </c>
      <c r="E9" s="8" t="s">
        <v>62</v>
      </c>
      <c r="F9" s="7" t="s">
        <v>52</v>
      </c>
      <c r="G9" s="10"/>
      <c r="H9" s="7" t="s">
        <v>36</v>
      </c>
      <c r="I9" s="7" t="s">
        <v>63</v>
      </c>
      <c r="J9" s="7" t="s">
        <v>20</v>
      </c>
      <c r="K9" s="7" t="s">
        <v>44</v>
      </c>
      <c r="L9" s="11" t="str">
        <f>HYPERLINK("http://slimages.macys.com/is/image/MCY/16650708 ")</f>
        <v xml:space="preserve">http://slimages.macys.com/is/image/MCY/16650708 </v>
      </c>
    </row>
    <row r="10" spans="1:12" ht="39.950000000000003" customHeight="1" x14ac:dyDescent="0.25">
      <c r="A10" s="6" t="s">
        <v>64</v>
      </c>
      <c r="B10" s="7" t="s">
        <v>65</v>
      </c>
      <c r="C10" s="8">
        <v>1</v>
      </c>
      <c r="D10" s="9">
        <v>149.99</v>
      </c>
      <c r="E10" s="8" t="s">
        <v>66</v>
      </c>
      <c r="F10" s="7" t="s">
        <v>25</v>
      </c>
      <c r="G10" s="10"/>
      <c r="H10" s="7" t="s">
        <v>67</v>
      </c>
      <c r="I10" s="7" t="s">
        <v>68</v>
      </c>
      <c r="J10" s="7" t="s">
        <v>20</v>
      </c>
      <c r="K10" s="7" t="s">
        <v>69</v>
      </c>
      <c r="L10" s="11" t="str">
        <f>HYPERLINK("http://slimages.macys.com/is/image/MCY/3573212 ")</f>
        <v xml:space="preserve">http://slimages.macys.com/is/image/MCY/3573212 </v>
      </c>
    </row>
    <row r="11" spans="1:12" ht="39.950000000000003" customHeight="1" x14ac:dyDescent="0.25">
      <c r="A11" s="6" t="s">
        <v>70</v>
      </c>
      <c r="B11" s="7" t="s">
        <v>71</v>
      </c>
      <c r="C11" s="8">
        <v>1</v>
      </c>
      <c r="D11" s="9">
        <v>79.989999999999995</v>
      </c>
      <c r="E11" s="8" t="s">
        <v>72</v>
      </c>
      <c r="F11" s="7" t="s">
        <v>17</v>
      </c>
      <c r="G11" s="10"/>
      <c r="H11" s="7" t="s">
        <v>73</v>
      </c>
      <c r="I11" s="7" t="s">
        <v>74</v>
      </c>
      <c r="J11" s="7" t="s">
        <v>20</v>
      </c>
      <c r="K11" s="7" t="s">
        <v>75</v>
      </c>
      <c r="L11" s="11" t="str">
        <f>HYPERLINK("http://slimages.macys.com/is/image/MCY/12345860 ")</f>
        <v xml:space="preserve">http://slimages.macys.com/is/image/MCY/12345860 </v>
      </c>
    </row>
    <row r="12" spans="1:12" ht="39.950000000000003" customHeight="1" x14ac:dyDescent="0.25">
      <c r="A12" s="6" t="s">
        <v>76</v>
      </c>
      <c r="B12" s="7" t="s">
        <v>77</v>
      </c>
      <c r="C12" s="8">
        <v>1</v>
      </c>
      <c r="D12" s="9">
        <v>49.99</v>
      </c>
      <c r="E12" s="8">
        <v>4403</v>
      </c>
      <c r="F12" s="7" t="s">
        <v>25</v>
      </c>
      <c r="G12" s="10" t="s">
        <v>78</v>
      </c>
      <c r="H12" s="7" t="s">
        <v>79</v>
      </c>
      <c r="I12" s="7" t="s">
        <v>80</v>
      </c>
      <c r="J12" s="7" t="s">
        <v>20</v>
      </c>
      <c r="K12" s="7" t="s">
        <v>81</v>
      </c>
      <c r="L12" s="11" t="str">
        <f>HYPERLINK("http://slimages.macys.com/is/image/MCY/9873929 ")</f>
        <v xml:space="preserve">http://slimages.macys.com/is/image/MCY/9873929 </v>
      </c>
    </row>
    <row r="13" spans="1:12" ht="39.950000000000003" customHeight="1" x14ac:dyDescent="0.25">
      <c r="A13" s="6" t="s">
        <v>82</v>
      </c>
      <c r="B13" s="7" t="s">
        <v>83</v>
      </c>
      <c r="C13" s="8">
        <v>1</v>
      </c>
      <c r="D13" s="9">
        <v>64.989999999999995</v>
      </c>
      <c r="E13" s="8" t="s">
        <v>84</v>
      </c>
      <c r="F13" s="7" t="s">
        <v>85</v>
      </c>
      <c r="G13" s="10"/>
      <c r="H13" s="7" t="s">
        <v>18</v>
      </c>
      <c r="I13" s="7" t="s">
        <v>86</v>
      </c>
      <c r="J13" s="7" t="s">
        <v>20</v>
      </c>
      <c r="K13" s="7" t="s">
        <v>87</v>
      </c>
      <c r="L13" s="11" t="str">
        <f>HYPERLINK("http://slimages.macys.com/is/image/MCY/12056304 ")</f>
        <v xml:space="preserve">http://slimages.macys.com/is/image/MCY/12056304 </v>
      </c>
    </row>
    <row r="14" spans="1:12" ht="39.950000000000003" customHeight="1" x14ac:dyDescent="0.25">
      <c r="A14" s="6" t="s">
        <v>88</v>
      </c>
      <c r="B14" s="7" t="s">
        <v>89</v>
      </c>
      <c r="C14" s="8">
        <v>1</v>
      </c>
      <c r="D14" s="9">
        <v>79.989999999999995</v>
      </c>
      <c r="E14" s="8" t="s">
        <v>90</v>
      </c>
      <c r="F14" s="7" t="s">
        <v>91</v>
      </c>
      <c r="G14" s="10"/>
      <c r="H14" s="7" t="s">
        <v>92</v>
      </c>
      <c r="I14" s="7" t="s">
        <v>93</v>
      </c>
      <c r="J14" s="7"/>
      <c r="K14" s="7"/>
      <c r="L14" s="11" t="str">
        <f>HYPERLINK("http://slimages.macys.com/is/image/MCY/17136196 ")</f>
        <v xml:space="preserve">http://slimages.macys.com/is/image/MCY/17136196 </v>
      </c>
    </row>
    <row r="15" spans="1:12" ht="39.950000000000003" customHeight="1" x14ac:dyDescent="0.25">
      <c r="A15" s="6" t="s">
        <v>94</v>
      </c>
      <c r="B15" s="7" t="s">
        <v>95</v>
      </c>
      <c r="C15" s="8">
        <v>1</v>
      </c>
      <c r="D15" s="9">
        <v>69.989999999999995</v>
      </c>
      <c r="E15" s="8" t="s">
        <v>96</v>
      </c>
      <c r="F15" s="7" t="s">
        <v>97</v>
      </c>
      <c r="G15" s="10"/>
      <c r="H15" s="7" t="s">
        <v>98</v>
      </c>
      <c r="I15" s="7" t="s">
        <v>99</v>
      </c>
      <c r="J15" s="7" t="s">
        <v>20</v>
      </c>
      <c r="K15" s="7" t="s">
        <v>100</v>
      </c>
      <c r="L15" s="11" t="str">
        <f>HYPERLINK("http://slimages.macys.com/is/image/MCY/11607139 ")</f>
        <v xml:space="preserve">http://slimages.macys.com/is/image/MCY/11607139 </v>
      </c>
    </row>
    <row r="16" spans="1:12" ht="39.950000000000003" customHeight="1" x14ac:dyDescent="0.25">
      <c r="A16" s="6" t="s">
        <v>101</v>
      </c>
      <c r="B16" s="7" t="s">
        <v>102</v>
      </c>
      <c r="C16" s="8">
        <v>1</v>
      </c>
      <c r="D16" s="9">
        <v>79.989999999999995</v>
      </c>
      <c r="E16" s="8">
        <v>1002341900</v>
      </c>
      <c r="F16" s="7" t="s">
        <v>57</v>
      </c>
      <c r="G16" s="10"/>
      <c r="H16" s="7" t="s">
        <v>103</v>
      </c>
      <c r="I16" s="7" t="s">
        <v>104</v>
      </c>
      <c r="J16" s="7" t="s">
        <v>20</v>
      </c>
      <c r="K16" s="7" t="s">
        <v>87</v>
      </c>
      <c r="L16" s="11" t="str">
        <f>HYPERLINK("http://slimages.macys.com/is/image/MCY/9971657 ")</f>
        <v xml:space="preserve">http://slimages.macys.com/is/image/MCY/9971657 </v>
      </c>
    </row>
    <row r="17" spans="1:12" ht="39.950000000000003" customHeight="1" x14ac:dyDescent="0.25">
      <c r="A17" s="6" t="s">
        <v>105</v>
      </c>
      <c r="B17" s="7" t="s">
        <v>106</v>
      </c>
      <c r="C17" s="8">
        <v>1</v>
      </c>
      <c r="D17" s="9">
        <v>55.99</v>
      </c>
      <c r="E17" s="8" t="s">
        <v>107</v>
      </c>
      <c r="F17" s="7" t="s">
        <v>52</v>
      </c>
      <c r="G17" s="10"/>
      <c r="H17" s="7" t="s">
        <v>73</v>
      </c>
      <c r="I17" s="7" t="s">
        <v>108</v>
      </c>
      <c r="J17" s="7" t="s">
        <v>20</v>
      </c>
      <c r="K17" s="7" t="s">
        <v>109</v>
      </c>
      <c r="L17" s="11" t="str">
        <f>HYPERLINK("http://slimages.macys.com/is/image/MCY/14977829 ")</f>
        <v xml:space="preserve">http://slimages.macys.com/is/image/MCY/14977829 </v>
      </c>
    </row>
    <row r="18" spans="1:12" ht="39.950000000000003" customHeight="1" x14ac:dyDescent="0.25">
      <c r="A18" s="6" t="s">
        <v>110</v>
      </c>
      <c r="B18" s="7" t="s">
        <v>111</v>
      </c>
      <c r="C18" s="8">
        <v>1</v>
      </c>
      <c r="D18" s="9">
        <v>60.99</v>
      </c>
      <c r="E18" s="8" t="s">
        <v>112</v>
      </c>
      <c r="F18" s="7" t="s">
        <v>34</v>
      </c>
      <c r="G18" s="10" t="s">
        <v>113</v>
      </c>
      <c r="H18" s="7" t="s">
        <v>27</v>
      </c>
      <c r="I18" s="7" t="s">
        <v>114</v>
      </c>
      <c r="J18" s="7" t="s">
        <v>20</v>
      </c>
      <c r="K18" s="7" t="s">
        <v>115</v>
      </c>
      <c r="L18" s="11" t="str">
        <f>HYPERLINK("http://slimages.macys.com/is/image/MCY/12681371 ")</f>
        <v xml:space="preserve">http://slimages.macys.com/is/image/MCY/12681371 </v>
      </c>
    </row>
    <row r="19" spans="1:12" ht="39.950000000000003" customHeight="1" x14ac:dyDescent="0.25">
      <c r="A19" s="6" t="s">
        <v>116</v>
      </c>
      <c r="B19" s="7" t="s">
        <v>117</v>
      </c>
      <c r="C19" s="8">
        <v>1</v>
      </c>
      <c r="D19" s="9">
        <v>57.99</v>
      </c>
      <c r="E19" s="8" t="s">
        <v>118</v>
      </c>
      <c r="F19" s="7" t="s">
        <v>25</v>
      </c>
      <c r="G19" s="10"/>
      <c r="H19" s="7" t="s">
        <v>79</v>
      </c>
      <c r="I19" s="7" t="s">
        <v>28</v>
      </c>
      <c r="J19" s="7" t="s">
        <v>20</v>
      </c>
      <c r="K19" s="7" t="s">
        <v>44</v>
      </c>
      <c r="L19" s="11" t="str">
        <f>HYPERLINK("http://slimages.macys.com/is/image/MCY/11798558 ")</f>
        <v xml:space="preserve">http://slimages.macys.com/is/image/MCY/11798558 </v>
      </c>
    </row>
    <row r="20" spans="1:12" ht="39.950000000000003" customHeight="1" x14ac:dyDescent="0.25">
      <c r="A20" s="6" t="s">
        <v>119</v>
      </c>
      <c r="B20" s="7" t="s">
        <v>120</v>
      </c>
      <c r="C20" s="8">
        <v>1</v>
      </c>
      <c r="D20" s="9">
        <v>59.99</v>
      </c>
      <c r="E20" s="8" t="s">
        <v>121</v>
      </c>
      <c r="F20" s="7" t="s">
        <v>52</v>
      </c>
      <c r="G20" s="10"/>
      <c r="H20" s="7" t="s">
        <v>36</v>
      </c>
      <c r="I20" s="7" t="s">
        <v>63</v>
      </c>
      <c r="J20" s="7" t="s">
        <v>20</v>
      </c>
      <c r="K20" s="7" t="s">
        <v>122</v>
      </c>
      <c r="L20" s="11" t="str">
        <f>HYPERLINK("http://slimages.macys.com/is/image/MCY/9492570 ")</f>
        <v xml:space="preserve">http://slimages.macys.com/is/image/MCY/9492570 </v>
      </c>
    </row>
    <row r="21" spans="1:12" ht="39.950000000000003" customHeight="1" x14ac:dyDescent="0.25">
      <c r="A21" s="6" t="s">
        <v>123</v>
      </c>
      <c r="B21" s="7" t="s">
        <v>124</v>
      </c>
      <c r="C21" s="8">
        <v>1</v>
      </c>
      <c r="D21" s="9">
        <v>53.99</v>
      </c>
      <c r="E21" s="8" t="s">
        <v>125</v>
      </c>
      <c r="F21" s="7" t="s">
        <v>25</v>
      </c>
      <c r="G21" s="10" t="s">
        <v>126</v>
      </c>
      <c r="H21" s="7" t="s">
        <v>27</v>
      </c>
      <c r="I21" s="7" t="s">
        <v>28</v>
      </c>
      <c r="J21" s="7" t="s">
        <v>20</v>
      </c>
      <c r="K21" s="7" t="s">
        <v>127</v>
      </c>
      <c r="L21" s="11" t="str">
        <f>HYPERLINK("http://slimages.macys.com/is/image/MCY/11798755 ")</f>
        <v xml:space="preserve">http://slimages.macys.com/is/image/MCY/11798755 </v>
      </c>
    </row>
    <row r="22" spans="1:12" ht="39.950000000000003" customHeight="1" x14ac:dyDescent="0.25">
      <c r="A22" s="6" t="s">
        <v>128</v>
      </c>
      <c r="B22" s="7" t="s">
        <v>129</v>
      </c>
      <c r="C22" s="8">
        <v>1</v>
      </c>
      <c r="D22" s="9">
        <v>59.99</v>
      </c>
      <c r="E22" s="8">
        <v>22331222</v>
      </c>
      <c r="F22" s="7" t="s">
        <v>52</v>
      </c>
      <c r="G22" s="10"/>
      <c r="H22" s="7" t="s">
        <v>36</v>
      </c>
      <c r="I22" s="7" t="s">
        <v>130</v>
      </c>
      <c r="J22" s="7"/>
      <c r="K22" s="7"/>
      <c r="L22" s="11" t="str">
        <f>HYPERLINK("http://slimages.macys.com/is/image/MCY/17086908 ")</f>
        <v xml:space="preserve">http://slimages.macys.com/is/image/MCY/17086908 </v>
      </c>
    </row>
    <row r="23" spans="1:12" ht="39.950000000000003" customHeight="1" x14ac:dyDescent="0.25">
      <c r="A23" s="6" t="s">
        <v>131</v>
      </c>
      <c r="B23" s="7" t="s">
        <v>132</v>
      </c>
      <c r="C23" s="8">
        <v>1</v>
      </c>
      <c r="D23" s="9">
        <v>49.99</v>
      </c>
      <c r="E23" s="8" t="s">
        <v>133</v>
      </c>
      <c r="F23" s="7" t="s">
        <v>25</v>
      </c>
      <c r="G23" s="10"/>
      <c r="H23" s="7" t="s">
        <v>36</v>
      </c>
      <c r="I23" s="7" t="s">
        <v>130</v>
      </c>
      <c r="J23" s="7" t="s">
        <v>20</v>
      </c>
      <c r="K23" s="7" t="s">
        <v>134</v>
      </c>
      <c r="L23" s="11" t="str">
        <f>HYPERLINK("http://slimages.macys.com/is/image/MCY/9330026 ")</f>
        <v xml:space="preserve">http://slimages.macys.com/is/image/MCY/9330026 </v>
      </c>
    </row>
    <row r="24" spans="1:12" ht="39.950000000000003" customHeight="1" x14ac:dyDescent="0.25">
      <c r="A24" s="6" t="s">
        <v>135</v>
      </c>
      <c r="B24" s="7" t="s">
        <v>136</v>
      </c>
      <c r="C24" s="8">
        <v>1</v>
      </c>
      <c r="D24" s="9">
        <v>41.99</v>
      </c>
      <c r="E24" s="8" t="s">
        <v>137</v>
      </c>
      <c r="F24" s="7" t="s">
        <v>138</v>
      </c>
      <c r="G24" s="10"/>
      <c r="H24" s="7" t="s">
        <v>42</v>
      </c>
      <c r="I24" s="7" t="s">
        <v>139</v>
      </c>
      <c r="J24" s="7" t="s">
        <v>20</v>
      </c>
      <c r="K24" s="7"/>
      <c r="L24" s="11" t="str">
        <f>HYPERLINK("http://slimages.macys.com/is/image/MCY/9167404 ")</f>
        <v xml:space="preserve">http://slimages.macys.com/is/image/MCY/9167404 </v>
      </c>
    </row>
    <row r="25" spans="1:12" ht="39.950000000000003" customHeight="1" x14ac:dyDescent="0.25">
      <c r="A25" s="6" t="s">
        <v>140</v>
      </c>
      <c r="B25" s="7" t="s">
        <v>141</v>
      </c>
      <c r="C25" s="8">
        <v>1</v>
      </c>
      <c r="D25" s="9">
        <v>44.99</v>
      </c>
      <c r="E25" s="8" t="s">
        <v>142</v>
      </c>
      <c r="F25" s="7" t="s">
        <v>25</v>
      </c>
      <c r="G25" s="10" t="s">
        <v>143</v>
      </c>
      <c r="H25" s="7" t="s">
        <v>27</v>
      </c>
      <c r="I25" s="7" t="s">
        <v>28</v>
      </c>
      <c r="J25" s="7" t="s">
        <v>29</v>
      </c>
      <c r="K25" s="7" t="s">
        <v>30</v>
      </c>
      <c r="L25" s="11" t="str">
        <f>HYPERLINK("http://slimages.macys.com/is/image/MCY/11798174 ")</f>
        <v xml:space="preserve">http://slimages.macys.com/is/image/MCY/11798174 </v>
      </c>
    </row>
    <row r="26" spans="1:12" ht="39.950000000000003" customHeight="1" x14ac:dyDescent="0.25">
      <c r="A26" s="6" t="s">
        <v>144</v>
      </c>
      <c r="B26" s="7" t="s">
        <v>145</v>
      </c>
      <c r="C26" s="8">
        <v>1</v>
      </c>
      <c r="D26" s="9">
        <v>29.99</v>
      </c>
      <c r="E26" s="8" t="s">
        <v>146</v>
      </c>
      <c r="F26" s="7"/>
      <c r="G26" s="10"/>
      <c r="H26" s="7" t="s">
        <v>42</v>
      </c>
      <c r="I26" s="7" t="s">
        <v>147</v>
      </c>
      <c r="J26" s="7"/>
      <c r="K26" s="7"/>
      <c r="L26" s="11" t="str">
        <f>HYPERLINK("http://slimages.macys.com/is/image/MCY/15185848 ")</f>
        <v xml:space="preserve">http://slimages.macys.com/is/image/MCY/15185848 </v>
      </c>
    </row>
    <row r="27" spans="1:12" ht="39.950000000000003" customHeight="1" x14ac:dyDescent="0.25">
      <c r="A27" s="6" t="s">
        <v>148</v>
      </c>
      <c r="B27" s="7" t="s">
        <v>149</v>
      </c>
      <c r="C27" s="8">
        <v>1</v>
      </c>
      <c r="D27" s="9">
        <v>44.99</v>
      </c>
      <c r="E27" s="8" t="s">
        <v>150</v>
      </c>
      <c r="F27" s="7" t="s">
        <v>25</v>
      </c>
      <c r="G27" s="10" t="s">
        <v>126</v>
      </c>
      <c r="H27" s="7" t="s">
        <v>27</v>
      </c>
      <c r="I27" s="7" t="s">
        <v>151</v>
      </c>
      <c r="J27" s="7" t="s">
        <v>20</v>
      </c>
      <c r="K27" s="7"/>
      <c r="L27" s="11" t="str">
        <f>HYPERLINK("http://slimages.macys.com/is/image/MCY/9756471 ")</f>
        <v xml:space="preserve">http://slimages.macys.com/is/image/MCY/9756471 </v>
      </c>
    </row>
    <row r="28" spans="1:12" ht="39.950000000000003" customHeight="1" x14ac:dyDescent="0.25">
      <c r="A28" s="6" t="s">
        <v>152</v>
      </c>
      <c r="B28" s="7" t="s">
        <v>153</v>
      </c>
      <c r="C28" s="8">
        <v>1</v>
      </c>
      <c r="D28" s="9">
        <v>39.99</v>
      </c>
      <c r="E28" s="8" t="s">
        <v>154</v>
      </c>
      <c r="F28" s="7" t="s">
        <v>17</v>
      </c>
      <c r="G28" s="10"/>
      <c r="H28" s="7" t="s">
        <v>42</v>
      </c>
      <c r="I28" s="7" t="s">
        <v>155</v>
      </c>
      <c r="J28" s="7" t="s">
        <v>20</v>
      </c>
      <c r="K28" s="7" t="s">
        <v>156</v>
      </c>
      <c r="L28" s="11" t="str">
        <f>HYPERLINK("http://slimages.macys.com/is/image/MCY/13767915 ")</f>
        <v xml:space="preserve">http://slimages.macys.com/is/image/MCY/13767915 </v>
      </c>
    </row>
    <row r="29" spans="1:12" ht="39.950000000000003" customHeight="1" x14ac:dyDescent="0.25">
      <c r="A29" s="6" t="s">
        <v>157</v>
      </c>
      <c r="B29" s="7" t="s">
        <v>158</v>
      </c>
      <c r="C29" s="8">
        <v>1</v>
      </c>
      <c r="D29" s="9">
        <v>34.99</v>
      </c>
      <c r="E29" s="8" t="s">
        <v>159</v>
      </c>
      <c r="F29" s="7" t="s">
        <v>25</v>
      </c>
      <c r="G29" s="10"/>
      <c r="H29" s="7" t="s">
        <v>92</v>
      </c>
      <c r="I29" s="7" t="s">
        <v>93</v>
      </c>
      <c r="J29" s="7" t="s">
        <v>20</v>
      </c>
      <c r="K29" s="7" t="s">
        <v>160</v>
      </c>
      <c r="L29" s="11" t="str">
        <f>HYPERLINK("http://slimages.macys.com/is/image/MCY/9312033 ")</f>
        <v xml:space="preserve">http://slimages.macys.com/is/image/MCY/9312033 </v>
      </c>
    </row>
    <row r="30" spans="1:12" ht="39.950000000000003" customHeight="1" x14ac:dyDescent="0.25">
      <c r="A30" s="6" t="s">
        <v>161</v>
      </c>
      <c r="B30" s="7" t="s">
        <v>162</v>
      </c>
      <c r="C30" s="8">
        <v>1</v>
      </c>
      <c r="D30" s="9">
        <v>29.99</v>
      </c>
      <c r="E30" s="8">
        <v>58436</v>
      </c>
      <c r="F30" s="7" t="s">
        <v>163</v>
      </c>
      <c r="G30" s="10"/>
      <c r="H30" s="7" t="s">
        <v>42</v>
      </c>
      <c r="I30" s="7" t="s">
        <v>164</v>
      </c>
      <c r="J30" s="7"/>
      <c r="K30" s="7"/>
      <c r="L30" s="11" t="str">
        <f>HYPERLINK("http://slimages.macys.com/is/image/MCY/18061222 ")</f>
        <v xml:space="preserve">http://slimages.macys.com/is/image/MCY/18061222 </v>
      </c>
    </row>
    <row r="31" spans="1:12" ht="39.950000000000003" customHeight="1" x14ac:dyDescent="0.25">
      <c r="A31" s="6" t="s">
        <v>165</v>
      </c>
      <c r="B31" s="7" t="s">
        <v>166</v>
      </c>
      <c r="C31" s="8">
        <v>1</v>
      </c>
      <c r="D31" s="9">
        <v>29.99</v>
      </c>
      <c r="E31" s="8" t="s">
        <v>167</v>
      </c>
      <c r="F31" s="7" t="s">
        <v>168</v>
      </c>
      <c r="G31" s="10"/>
      <c r="H31" s="7" t="s">
        <v>36</v>
      </c>
      <c r="I31" s="7" t="s">
        <v>130</v>
      </c>
      <c r="J31" s="7" t="s">
        <v>20</v>
      </c>
      <c r="K31" s="7" t="s">
        <v>134</v>
      </c>
      <c r="L31" s="11" t="str">
        <f>HYPERLINK("http://slimages.macys.com/is/image/MCY/9700679 ")</f>
        <v xml:space="preserve">http://slimages.macys.com/is/image/MCY/9700679 </v>
      </c>
    </row>
    <row r="32" spans="1:12" ht="39.950000000000003" customHeight="1" x14ac:dyDescent="0.25">
      <c r="A32" s="6" t="s">
        <v>169</v>
      </c>
      <c r="B32" s="7" t="s">
        <v>170</v>
      </c>
      <c r="C32" s="8">
        <v>1</v>
      </c>
      <c r="D32" s="9">
        <v>29.99</v>
      </c>
      <c r="E32" s="8" t="s">
        <v>171</v>
      </c>
      <c r="F32" s="7" t="s">
        <v>172</v>
      </c>
      <c r="G32" s="10"/>
      <c r="H32" s="7" t="s">
        <v>18</v>
      </c>
      <c r="I32" s="7" t="s">
        <v>173</v>
      </c>
      <c r="J32" s="7"/>
      <c r="K32" s="7"/>
      <c r="L32" s="11" t="str">
        <f>HYPERLINK("http://slimages.macys.com/is/image/MCY/17449336 ")</f>
        <v xml:space="preserve">http://slimages.macys.com/is/image/MCY/17449336 </v>
      </c>
    </row>
    <row r="33" spans="1:12" ht="39.950000000000003" customHeight="1" x14ac:dyDescent="0.25">
      <c r="A33" s="6" t="s">
        <v>174</v>
      </c>
      <c r="B33" s="7" t="s">
        <v>175</v>
      </c>
      <c r="C33" s="8">
        <v>2</v>
      </c>
      <c r="D33" s="9">
        <v>79.98</v>
      </c>
      <c r="E33" s="8">
        <v>130361</v>
      </c>
      <c r="F33" s="7" t="s">
        <v>176</v>
      </c>
      <c r="G33" s="10" t="s">
        <v>35</v>
      </c>
      <c r="H33" s="7" t="s">
        <v>79</v>
      </c>
      <c r="I33" s="7" t="s">
        <v>80</v>
      </c>
      <c r="J33" s="7" t="s">
        <v>20</v>
      </c>
      <c r="K33" s="7" t="s">
        <v>44</v>
      </c>
      <c r="L33" s="11" t="str">
        <f>HYPERLINK("http://slimages.macys.com/is/image/MCY/3895749 ")</f>
        <v xml:space="preserve">http://slimages.macys.com/is/image/MCY/3895749 </v>
      </c>
    </row>
    <row r="34" spans="1:12" ht="39.950000000000003" customHeight="1" x14ac:dyDescent="0.25">
      <c r="A34" s="6" t="s">
        <v>177</v>
      </c>
      <c r="B34" s="7" t="s">
        <v>178</v>
      </c>
      <c r="C34" s="8">
        <v>2</v>
      </c>
      <c r="D34" s="9">
        <v>37.979999999999997</v>
      </c>
      <c r="E34" s="8" t="s">
        <v>179</v>
      </c>
      <c r="F34" s="7" t="s">
        <v>138</v>
      </c>
      <c r="G34" s="10" t="s">
        <v>180</v>
      </c>
      <c r="H34" s="7" t="s">
        <v>73</v>
      </c>
      <c r="I34" s="7" t="s">
        <v>181</v>
      </c>
      <c r="J34" s="7" t="s">
        <v>20</v>
      </c>
      <c r="K34" s="7" t="s">
        <v>182</v>
      </c>
      <c r="L34" s="11" t="str">
        <f>HYPERLINK("http://slimages.macys.com/is/image/MCY/14348808 ")</f>
        <v xml:space="preserve">http://slimages.macys.com/is/image/MCY/14348808 </v>
      </c>
    </row>
    <row r="35" spans="1:12" ht="39.950000000000003" customHeight="1" x14ac:dyDescent="0.25">
      <c r="A35" s="6" t="s">
        <v>183</v>
      </c>
      <c r="B35" s="7" t="s">
        <v>184</v>
      </c>
      <c r="C35" s="8">
        <v>2</v>
      </c>
      <c r="D35" s="9">
        <v>33.979999999999997</v>
      </c>
      <c r="E35" s="8" t="s">
        <v>185</v>
      </c>
      <c r="F35" s="7" t="s">
        <v>186</v>
      </c>
      <c r="G35" s="10" t="s">
        <v>187</v>
      </c>
      <c r="H35" s="7" t="s">
        <v>103</v>
      </c>
      <c r="I35" s="7" t="s">
        <v>104</v>
      </c>
      <c r="J35" s="7" t="s">
        <v>20</v>
      </c>
      <c r="K35" s="7" t="s">
        <v>87</v>
      </c>
      <c r="L35" s="11" t="str">
        <f>HYPERLINK("http://slimages.macys.com/is/image/MCY/12737864 ")</f>
        <v xml:space="preserve">http://slimages.macys.com/is/image/MCY/12737864 </v>
      </c>
    </row>
    <row r="36" spans="1:12" ht="39.950000000000003" customHeight="1" x14ac:dyDescent="0.25">
      <c r="A36" s="6" t="s">
        <v>188</v>
      </c>
      <c r="B36" s="7" t="s">
        <v>189</v>
      </c>
      <c r="C36" s="8">
        <v>5</v>
      </c>
      <c r="D36" s="9">
        <v>39.950000000000003</v>
      </c>
      <c r="E36" s="8" t="s">
        <v>190</v>
      </c>
      <c r="F36" s="7" t="s">
        <v>34</v>
      </c>
      <c r="G36" s="10" t="s">
        <v>187</v>
      </c>
      <c r="H36" s="7" t="s">
        <v>103</v>
      </c>
      <c r="I36" s="7" t="s">
        <v>191</v>
      </c>
      <c r="J36" s="7" t="s">
        <v>20</v>
      </c>
      <c r="K36" s="7" t="s">
        <v>87</v>
      </c>
      <c r="L36" s="11" t="str">
        <f>HYPERLINK("http://slimages.macys.com/is/image/MCY/12723264 ")</f>
        <v xml:space="preserve">http://slimages.macys.com/is/image/MCY/12723264 </v>
      </c>
    </row>
    <row r="37" spans="1:12" ht="39.950000000000003" customHeight="1" x14ac:dyDescent="0.25">
      <c r="A37" s="6" t="s">
        <v>192</v>
      </c>
      <c r="B37" s="7" t="s">
        <v>193</v>
      </c>
      <c r="C37" s="8">
        <v>6</v>
      </c>
      <c r="D37" s="9">
        <v>47.94</v>
      </c>
      <c r="E37" s="8" t="s">
        <v>194</v>
      </c>
      <c r="F37" s="7" t="s">
        <v>195</v>
      </c>
      <c r="G37" s="10" t="s">
        <v>187</v>
      </c>
      <c r="H37" s="7" t="s">
        <v>103</v>
      </c>
      <c r="I37" s="7" t="s">
        <v>191</v>
      </c>
      <c r="J37" s="7" t="s">
        <v>20</v>
      </c>
      <c r="K37" s="7" t="s">
        <v>87</v>
      </c>
      <c r="L37" s="11" t="str">
        <f>HYPERLINK("http://slimages.macys.com/is/image/MCY/12723264 ")</f>
        <v xml:space="preserve">http://slimages.macys.com/is/image/MCY/12723264 </v>
      </c>
    </row>
    <row r="38" spans="1:12" ht="39.950000000000003" customHeight="1" x14ac:dyDescent="0.25">
      <c r="A38" s="6" t="s">
        <v>196</v>
      </c>
      <c r="B38" s="7" t="s">
        <v>197</v>
      </c>
      <c r="C38" s="8">
        <v>1</v>
      </c>
      <c r="D38" s="9">
        <v>12.99</v>
      </c>
      <c r="E38" s="8" t="s">
        <v>198</v>
      </c>
      <c r="F38" s="7" t="s">
        <v>186</v>
      </c>
      <c r="G38" s="10" t="s">
        <v>199</v>
      </c>
      <c r="H38" s="7" t="s">
        <v>103</v>
      </c>
      <c r="I38" s="7" t="s">
        <v>104</v>
      </c>
      <c r="J38" s="7" t="s">
        <v>20</v>
      </c>
      <c r="K38" s="7" t="s">
        <v>87</v>
      </c>
      <c r="L38" s="11" t="str">
        <f>HYPERLINK("http://slimages.macys.com/is/image/MCY/12737814 ")</f>
        <v xml:space="preserve">http://slimages.macys.com/is/image/MCY/12737814 </v>
      </c>
    </row>
    <row r="39" spans="1:12" ht="39.950000000000003" customHeight="1" x14ac:dyDescent="0.25">
      <c r="A39" s="6" t="s">
        <v>200</v>
      </c>
      <c r="B39" s="7" t="s">
        <v>201</v>
      </c>
      <c r="C39" s="8">
        <v>4</v>
      </c>
      <c r="D39" s="9">
        <v>23.96</v>
      </c>
      <c r="E39" s="8">
        <v>1009787500</v>
      </c>
      <c r="F39" s="7" t="s">
        <v>195</v>
      </c>
      <c r="G39" s="10" t="s">
        <v>187</v>
      </c>
      <c r="H39" s="7" t="s">
        <v>103</v>
      </c>
      <c r="I39" s="7" t="s">
        <v>202</v>
      </c>
      <c r="J39" s="7"/>
      <c r="K39" s="7"/>
      <c r="L39" s="11" t="str">
        <f>HYPERLINK("http://slimages.macys.com/is/image/MCY/16520310 ")</f>
        <v xml:space="preserve">http://slimages.macys.com/is/image/MCY/16520310 </v>
      </c>
    </row>
    <row r="40" spans="1:12" ht="39.950000000000003" customHeight="1" x14ac:dyDescent="0.25">
      <c r="A40" s="6" t="s">
        <v>203</v>
      </c>
      <c r="B40" s="7" t="s">
        <v>204</v>
      </c>
      <c r="C40" s="8">
        <v>2</v>
      </c>
      <c r="D40" s="9">
        <v>15.98</v>
      </c>
      <c r="E40" s="8" t="s">
        <v>205</v>
      </c>
      <c r="F40" s="7" t="s">
        <v>186</v>
      </c>
      <c r="G40" s="10" t="s">
        <v>206</v>
      </c>
      <c r="H40" s="7" t="s">
        <v>103</v>
      </c>
      <c r="I40" s="7" t="s">
        <v>104</v>
      </c>
      <c r="J40" s="7" t="s">
        <v>20</v>
      </c>
      <c r="K40" s="7" t="s">
        <v>87</v>
      </c>
      <c r="L40" s="11" t="str">
        <f>HYPERLINK("http://slimages.macys.com/is/image/MCY/12737732 ")</f>
        <v xml:space="preserve">http://slimages.macys.com/is/image/MCY/12737732 </v>
      </c>
    </row>
    <row r="41" spans="1:12" ht="39.950000000000003" customHeight="1" x14ac:dyDescent="0.25">
      <c r="A41" s="6" t="s">
        <v>207</v>
      </c>
      <c r="B41" s="7" t="s">
        <v>208</v>
      </c>
      <c r="C41" s="8">
        <v>7</v>
      </c>
      <c r="D41" s="9">
        <v>280</v>
      </c>
      <c r="E41" s="8"/>
      <c r="F41" s="7" t="s">
        <v>209</v>
      </c>
      <c r="G41" s="10" t="s">
        <v>113</v>
      </c>
      <c r="H41" s="7" t="s">
        <v>210</v>
      </c>
      <c r="I41" s="7" t="s">
        <v>211</v>
      </c>
      <c r="J41" s="7"/>
      <c r="K41" s="7"/>
      <c r="L41" s="11"/>
    </row>
    <row r="42" spans="1:12" ht="39.950000000000003" customHeight="1" x14ac:dyDescent="0.25">
      <c r="A42" s="6"/>
      <c r="B42" s="7"/>
      <c r="C42" s="8"/>
      <c r="D42" s="9"/>
      <c r="E42" s="8"/>
      <c r="F42" s="7"/>
      <c r="G42" s="10"/>
      <c r="H42" s="7"/>
      <c r="I42" s="7"/>
      <c r="J42" s="7"/>
      <c r="K42" s="7"/>
      <c r="L42" s="11"/>
    </row>
    <row r="43" spans="1:12" ht="39.950000000000003" customHeight="1" x14ac:dyDescent="0.25">
      <c r="A43" s="6"/>
      <c r="B43" s="7"/>
      <c r="C43" s="8"/>
      <c r="D43" s="9"/>
      <c r="E43" s="8"/>
      <c r="F43" s="7"/>
      <c r="G43" s="10"/>
      <c r="H43" s="7"/>
      <c r="I43" s="7"/>
      <c r="J43" s="7"/>
      <c r="K43" s="7"/>
      <c r="L43" s="11"/>
    </row>
    <row r="44" spans="1:12" ht="39.950000000000003" customHeight="1" x14ac:dyDescent="0.25">
      <c r="A44" s="6"/>
      <c r="B44" s="7"/>
      <c r="C44" s="8"/>
      <c r="D44" s="9"/>
      <c r="E44" s="8"/>
      <c r="F44" s="7"/>
      <c r="G44" s="10"/>
      <c r="H44" s="7"/>
      <c r="I44" s="7"/>
      <c r="J44" s="7"/>
      <c r="K44" s="7"/>
      <c r="L44" s="11"/>
    </row>
    <row r="45" spans="1:12" ht="39.950000000000003" customHeight="1" x14ac:dyDescent="0.25">
      <c r="A45" s="6"/>
      <c r="B45" s="7"/>
      <c r="C45" s="8"/>
      <c r="D45" s="9"/>
      <c r="E45" s="8"/>
      <c r="F45" s="7"/>
      <c r="G45" s="10"/>
      <c r="H45" s="7"/>
      <c r="I45" s="7"/>
      <c r="J45" s="7"/>
      <c r="K45" s="7"/>
      <c r="L45" s="11"/>
    </row>
    <row r="46" spans="1:12" ht="39.950000000000003" customHeight="1" x14ac:dyDescent="0.25">
      <c r="A46" s="6"/>
      <c r="B46" s="7"/>
      <c r="C46" s="8"/>
      <c r="D46" s="9"/>
      <c r="E46" s="8"/>
      <c r="F46" s="7"/>
      <c r="G46" s="10"/>
      <c r="H46" s="7"/>
      <c r="I46" s="7"/>
      <c r="J46" s="7"/>
      <c r="K46" s="7"/>
      <c r="L46" s="11"/>
    </row>
    <row r="47" spans="1:12" ht="39.950000000000003" customHeight="1" x14ac:dyDescent="0.25">
      <c r="A47" s="6"/>
      <c r="B47" s="7"/>
      <c r="C47" s="8"/>
      <c r="D47" s="9"/>
      <c r="E47" s="8"/>
      <c r="F47" s="7"/>
      <c r="G47" s="10"/>
      <c r="H47" s="7"/>
      <c r="I47" s="7"/>
      <c r="J47" s="7"/>
      <c r="K47" s="7"/>
      <c r="L47" s="11"/>
    </row>
    <row r="48" spans="1:12" ht="39.950000000000003" customHeight="1" x14ac:dyDescent="0.25">
      <c r="A48" s="6"/>
      <c r="B48" s="7"/>
      <c r="C48" s="8"/>
      <c r="D48" s="9"/>
      <c r="E48" s="8"/>
      <c r="F48" s="7"/>
      <c r="G48" s="10"/>
      <c r="H48" s="7"/>
      <c r="I48" s="7"/>
      <c r="J48" s="7"/>
      <c r="K48" s="7"/>
      <c r="L48" s="11"/>
    </row>
    <row r="49" spans="1:12" ht="39.950000000000003" customHeight="1" x14ac:dyDescent="0.25">
      <c r="A49" s="6"/>
      <c r="B49" s="7"/>
      <c r="C49" s="8"/>
      <c r="D49" s="9"/>
      <c r="E49" s="8"/>
      <c r="F49" s="7"/>
      <c r="G49" s="10"/>
      <c r="H49" s="7"/>
      <c r="I49" s="7"/>
      <c r="J49" s="7"/>
      <c r="K49" s="7"/>
      <c r="L49" s="11"/>
    </row>
    <row r="50" spans="1:12" ht="39.950000000000003" customHeight="1" x14ac:dyDescent="0.25">
      <c r="A50" s="6"/>
      <c r="B50" s="7"/>
      <c r="C50" s="8"/>
      <c r="D50" s="9"/>
      <c r="E50" s="8"/>
      <c r="F50" s="7"/>
      <c r="G50" s="10"/>
      <c r="H50" s="7"/>
      <c r="I50" s="7"/>
      <c r="J50" s="7"/>
      <c r="K50" s="7"/>
      <c r="L50" s="11"/>
    </row>
    <row r="51" spans="1:12" ht="39.950000000000003" customHeight="1" x14ac:dyDescent="0.25">
      <c r="A51" s="6"/>
      <c r="B51" s="7"/>
      <c r="C51" s="8"/>
      <c r="D51" s="9"/>
      <c r="E51" s="8"/>
      <c r="F51" s="7"/>
      <c r="G51" s="10"/>
      <c r="H51" s="7"/>
      <c r="I51" s="7"/>
      <c r="J51" s="7"/>
      <c r="K51" s="7"/>
      <c r="L51" s="11"/>
    </row>
    <row r="52" spans="1:12" ht="39.950000000000003" customHeight="1" x14ac:dyDescent="0.25">
      <c r="A52" s="6"/>
      <c r="B52" s="7"/>
      <c r="C52" s="8"/>
      <c r="D52" s="9"/>
      <c r="E52" s="8"/>
      <c r="F52" s="7"/>
      <c r="G52" s="10"/>
      <c r="H52" s="7"/>
      <c r="I52" s="7"/>
      <c r="J52" s="7"/>
      <c r="K52" s="7"/>
      <c r="L52" s="11"/>
    </row>
    <row r="53" spans="1:12" ht="39.950000000000003" customHeight="1" x14ac:dyDescent="0.25">
      <c r="A53" s="6"/>
      <c r="B53" s="7"/>
      <c r="C53" s="8"/>
      <c r="D53" s="9"/>
      <c r="E53" s="8"/>
      <c r="F53" s="7"/>
      <c r="G53" s="10"/>
      <c r="H53" s="7"/>
      <c r="I53" s="7"/>
      <c r="J53" s="7"/>
      <c r="K53" s="7"/>
      <c r="L53" s="11"/>
    </row>
    <row r="54" spans="1:12" ht="39.950000000000003" customHeight="1" x14ac:dyDescent="0.25">
      <c r="A54" s="6"/>
      <c r="B54" s="7"/>
      <c r="C54" s="8"/>
      <c r="D54" s="9"/>
      <c r="E54" s="8"/>
      <c r="F54" s="7"/>
      <c r="G54" s="10"/>
      <c r="H54" s="7"/>
      <c r="I54" s="7"/>
      <c r="J54" s="7"/>
      <c r="K54" s="7"/>
      <c r="L54" s="11"/>
    </row>
    <row r="55" spans="1:12" ht="39.950000000000003" customHeight="1" x14ac:dyDescent="0.25">
      <c r="A55" s="6"/>
      <c r="B55" s="7"/>
      <c r="C55" s="8"/>
      <c r="D55" s="9"/>
      <c r="E55" s="8"/>
      <c r="F55" s="7"/>
      <c r="G55" s="10"/>
      <c r="H55" s="7"/>
      <c r="I55" s="7"/>
      <c r="J55" s="7"/>
      <c r="K55" s="7"/>
      <c r="L55" s="11"/>
    </row>
    <row r="56" spans="1:12" ht="39.950000000000003" customHeight="1" x14ac:dyDescent="0.25">
      <c r="A56" s="6"/>
      <c r="B56" s="7"/>
      <c r="C56" s="8"/>
      <c r="D56" s="9"/>
      <c r="E56" s="8"/>
      <c r="F56" s="7"/>
      <c r="G56" s="10"/>
      <c r="H56" s="7"/>
      <c r="I56" s="7"/>
      <c r="J56" s="7"/>
      <c r="K56" s="7"/>
      <c r="L56" s="11"/>
    </row>
    <row r="65" customFormat="1" ht="39.950000000000003" customHeight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4F550-9F22-40A5-AABB-2C4D8494FF73}">
  <dimension ref="A1:L56"/>
  <sheetViews>
    <sheetView workbookViewId="0"/>
  </sheetViews>
  <sheetFormatPr defaultRowHeight="39.950000000000003" customHeight="1" x14ac:dyDescent="0.25"/>
  <cols>
    <col min="1" max="1" width="14.28515625" customWidth="1"/>
    <col min="2" max="2" width="22.28515625" customWidth="1"/>
    <col min="3" max="3" width="15" customWidth="1"/>
    <col min="4" max="4" width="10.28515625" customWidth="1"/>
    <col min="5" max="5" width="17.140625" customWidth="1"/>
    <col min="6" max="6" width="11.42578125" customWidth="1"/>
    <col min="7" max="7" width="10.85546875" customWidth="1"/>
    <col min="8" max="8" width="12.140625" customWidth="1"/>
    <col min="9" max="9" width="36.5703125" bestFit="1" customWidth="1"/>
    <col min="10" max="11" width="20.7109375" customWidth="1"/>
    <col min="12" max="12" width="64.28515625" customWidth="1"/>
  </cols>
  <sheetData>
    <row r="1" spans="1:12" ht="39.950000000000003" customHeight="1" x14ac:dyDescent="0.25">
      <c r="A1" s="5" t="s">
        <v>2</v>
      </c>
      <c r="B1" s="5" t="s">
        <v>3</v>
      </c>
      <c r="C1" s="5" t="s">
        <v>4</v>
      </c>
      <c r="D1" s="5" t="s">
        <v>5</v>
      </c>
      <c r="E1" s="5" t="s">
        <v>6</v>
      </c>
      <c r="F1" s="5" t="s">
        <v>7</v>
      </c>
      <c r="G1" s="5" t="s">
        <v>8</v>
      </c>
      <c r="H1" s="5" t="s">
        <v>9</v>
      </c>
      <c r="I1" s="5" t="s">
        <v>10</v>
      </c>
      <c r="J1" s="5" t="s">
        <v>11</v>
      </c>
      <c r="K1" s="5" t="s">
        <v>12</v>
      </c>
      <c r="L1" s="5" t="s">
        <v>13</v>
      </c>
    </row>
    <row r="2" spans="1:12" ht="39.950000000000003" customHeight="1" x14ac:dyDescent="0.25">
      <c r="A2" s="6" t="s">
        <v>212</v>
      </c>
      <c r="B2" s="7" t="s">
        <v>213</v>
      </c>
      <c r="C2" s="8">
        <v>2</v>
      </c>
      <c r="D2" s="9">
        <v>849.98</v>
      </c>
      <c r="E2" s="8">
        <v>9813245</v>
      </c>
      <c r="F2" s="7" t="s">
        <v>214</v>
      </c>
      <c r="G2" s="10"/>
      <c r="H2" s="7" t="s">
        <v>92</v>
      </c>
      <c r="I2" s="7" t="s">
        <v>215</v>
      </c>
      <c r="J2" s="7"/>
      <c r="K2" s="7"/>
      <c r="L2" s="11" t="str">
        <f>HYPERLINK("http://slimages.macys.com/is/image/MCY/17328457 ")</f>
        <v xml:space="preserve">http://slimages.macys.com/is/image/MCY/17328457 </v>
      </c>
    </row>
    <row r="3" spans="1:12" ht="39.950000000000003" customHeight="1" x14ac:dyDescent="0.25">
      <c r="A3" s="6" t="s">
        <v>216</v>
      </c>
      <c r="B3" s="7" t="s">
        <v>217</v>
      </c>
      <c r="C3" s="8">
        <v>1</v>
      </c>
      <c r="D3" s="9">
        <v>279.99</v>
      </c>
      <c r="E3" s="8" t="s">
        <v>218</v>
      </c>
      <c r="F3" s="7" t="s">
        <v>52</v>
      </c>
      <c r="G3" s="10"/>
      <c r="H3" s="7" t="s">
        <v>92</v>
      </c>
      <c r="I3" s="7" t="s">
        <v>219</v>
      </c>
      <c r="J3" s="7" t="s">
        <v>220</v>
      </c>
      <c r="K3" s="7" t="s">
        <v>221</v>
      </c>
      <c r="L3" s="11" t="str">
        <f>HYPERLINK("http://images.bloomingdales.com/is/image/BLM/9749543 ")</f>
        <v xml:space="preserve">http://images.bloomingdales.com/is/image/BLM/9749543 </v>
      </c>
    </row>
    <row r="4" spans="1:12" ht="39.950000000000003" customHeight="1" x14ac:dyDescent="0.25">
      <c r="A4" s="6" t="s">
        <v>222</v>
      </c>
      <c r="B4" s="7" t="s">
        <v>223</v>
      </c>
      <c r="C4" s="8">
        <v>1</v>
      </c>
      <c r="D4" s="9">
        <v>179.99</v>
      </c>
      <c r="E4" s="8" t="s">
        <v>224</v>
      </c>
      <c r="F4" s="7" t="s">
        <v>25</v>
      </c>
      <c r="G4" s="10"/>
      <c r="H4" s="7" t="s">
        <v>225</v>
      </c>
      <c r="I4" s="7" t="s">
        <v>226</v>
      </c>
      <c r="J4" s="7" t="s">
        <v>20</v>
      </c>
      <c r="K4" s="7" t="s">
        <v>227</v>
      </c>
      <c r="L4" s="11" t="str">
        <f>HYPERLINK("http://slimages.macys.com/is/image/MCY/9705269 ")</f>
        <v xml:space="preserve">http://slimages.macys.com/is/image/MCY/9705269 </v>
      </c>
    </row>
    <row r="5" spans="1:12" ht="39.950000000000003" customHeight="1" x14ac:dyDescent="0.25">
      <c r="A5" s="6" t="s">
        <v>228</v>
      </c>
      <c r="B5" s="7" t="s">
        <v>229</v>
      </c>
      <c r="C5" s="8">
        <v>1</v>
      </c>
      <c r="D5" s="9">
        <v>179.99</v>
      </c>
      <c r="E5" s="8" t="s">
        <v>230</v>
      </c>
      <c r="F5" s="7" t="s">
        <v>231</v>
      </c>
      <c r="G5" s="10"/>
      <c r="H5" s="7" t="s">
        <v>92</v>
      </c>
      <c r="I5" s="7" t="s">
        <v>232</v>
      </c>
      <c r="J5" s="7" t="s">
        <v>20</v>
      </c>
      <c r="K5" s="7" t="s">
        <v>233</v>
      </c>
      <c r="L5" s="11" t="str">
        <f>HYPERLINK("http://slimages.macys.com/is/image/MCY/16582610 ")</f>
        <v xml:space="preserve">http://slimages.macys.com/is/image/MCY/16582610 </v>
      </c>
    </row>
    <row r="6" spans="1:12" ht="39.950000000000003" customHeight="1" x14ac:dyDescent="0.25">
      <c r="A6" s="6" t="s">
        <v>234</v>
      </c>
      <c r="B6" s="7" t="s">
        <v>235</v>
      </c>
      <c r="C6" s="8">
        <v>1</v>
      </c>
      <c r="D6" s="9">
        <v>235.99</v>
      </c>
      <c r="E6" s="8" t="s">
        <v>236</v>
      </c>
      <c r="F6" s="7" t="s">
        <v>34</v>
      </c>
      <c r="G6" s="10"/>
      <c r="H6" s="7" t="s">
        <v>42</v>
      </c>
      <c r="I6" s="7" t="s">
        <v>237</v>
      </c>
      <c r="J6" s="7" t="s">
        <v>20</v>
      </c>
      <c r="K6" s="7" t="s">
        <v>238</v>
      </c>
      <c r="L6" s="11" t="str">
        <f>HYPERLINK("http://slimages.macys.com/is/image/MCY/15932459 ")</f>
        <v xml:space="preserve">http://slimages.macys.com/is/image/MCY/15932459 </v>
      </c>
    </row>
    <row r="7" spans="1:12" ht="39.950000000000003" customHeight="1" x14ac:dyDescent="0.25">
      <c r="A7" s="6" t="s">
        <v>239</v>
      </c>
      <c r="B7" s="7" t="s">
        <v>240</v>
      </c>
      <c r="C7" s="8">
        <v>1</v>
      </c>
      <c r="D7" s="9">
        <v>159.99</v>
      </c>
      <c r="E7" s="8" t="s">
        <v>241</v>
      </c>
      <c r="F7" s="7" t="s">
        <v>52</v>
      </c>
      <c r="G7" s="10"/>
      <c r="H7" s="7" t="s">
        <v>242</v>
      </c>
      <c r="I7" s="7" t="s">
        <v>243</v>
      </c>
      <c r="J7" s="7"/>
      <c r="K7" s="7"/>
      <c r="L7" s="11" t="str">
        <f>HYPERLINK("http://slimages.macys.com/is/image/MCY/18281970 ")</f>
        <v xml:space="preserve">http://slimages.macys.com/is/image/MCY/18281970 </v>
      </c>
    </row>
    <row r="8" spans="1:12" ht="39.950000000000003" customHeight="1" x14ac:dyDescent="0.25">
      <c r="A8" s="6" t="s">
        <v>244</v>
      </c>
      <c r="B8" s="7" t="s">
        <v>245</v>
      </c>
      <c r="C8" s="8">
        <v>1</v>
      </c>
      <c r="D8" s="9">
        <v>157.99</v>
      </c>
      <c r="E8" s="8" t="s">
        <v>246</v>
      </c>
      <c r="F8" s="7" t="s">
        <v>247</v>
      </c>
      <c r="G8" s="10"/>
      <c r="H8" s="7" t="s">
        <v>36</v>
      </c>
      <c r="I8" s="7" t="s">
        <v>248</v>
      </c>
      <c r="J8" s="7"/>
      <c r="K8" s="7"/>
      <c r="L8" s="11" t="str">
        <f>HYPERLINK("http://slimages.macys.com/is/image/MCY/18033773 ")</f>
        <v xml:space="preserve">http://slimages.macys.com/is/image/MCY/18033773 </v>
      </c>
    </row>
    <row r="9" spans="1:12" ht="39.950000000000003" customHeight="1" x14ac:dyDescent="0.25">
      <c r="A9" s="6" t="s">
        <v>249</v>
      </c>
      <c r="B9" s="7" t="s">
        <v>250</v>
      </c>
      <c r="C9" s="8">
        <v>1</v>
      </c>
      <c r="D9" s="9">
        <v>137.49</v>
      </c>
      <c r="E9" s="8" t="s">
        <v>251</v>
      </c>
      <c r="F9" s="7" t="s">
        <v>52</v>
      </c>
      <c r="G9" s="10"/>
      <c r="H9" s="7" t="s">
        <v>36</v>
      </c>
      <c r="I9" s="7" t="s">
        <v>252</v>
      </c>
      <c r="J9" s="7"/>
      <c r="K9" s="7"/>
      <c r="L9" s="11" t="str">
        <f>HYPERLINK("http://slimages.macys.com/is/image/MCY/17781209 ")</f>
        <v xml:space="preserve">http://slimages.macys.com/is/image/MCY/17781209 </v>
      </c>
    </row>
    <row r="10" spans="1:12" ht="39.950000000000003" customHeight="1" x14ac:dyDescent="0.25">
      <c r="A10" s="6" t="s">
        <v>253</v>
      </c>
      <c r="B10" s="7" t="s">
        <v>254</v>
      </c>
      <c r="C10" s="8">
        <v>1</v>
      </c>
      <c r="D10" s="9">
        <v>119.99</v>
      </c>
      <c r="E10" s="8" t="s">
        <v>255</v>
      </c>
      <c r="F10" s="7" t="s">
        <v>25</v>
      </c>
      <c r="G10" s="10"/>
      <c r="H10" s="7" t="s">
        <v>98</v>
      </c>
      <c r="I10" s="7" t="s">
        <v>256</v>
      </c>
      <c r="J10" s="7" t="s">
        <v>20</v>
      </c>
      <c r="K10" s="7"/>
      <c r="L10" s="11" t="str">
        <f>HYPERLINK("http://slimages.macys.com/is/image/MCY/10015969 ")</f>
        <v xml:space="preserve">http://slimages.macys.com/is/image/MCY/10015969 </v>
      </c>
    </row>
    <row r="11" spans="1:12" ht="39.950000000000003" customHeight="1" x14ac:dyDescent="0.25">
      <c r="A11" s="6" t="s">
        <v>257</v>
      </c>
      <c r="B11" s="7" t="s">
        <v>258</v>
      </c>
      <c r="C11" s="8">
        <v>1</v>
      </c>
      <c r="D11" s="9">
        <v>103.99</v>
      </c>
      <c r="E11" s="8" t="s">
        <v>259</v>
      </c>
      <c r="F11" s="7" t="s">
        <v>25</v>
      </c>
      <c r="G11" s="10"/>
      <c r="H11" s="7" t="s">
        <v>79</v>
      </c>
      <c r="I11" s="7" t="s">
        <v>80</v>
      </c>
      <c r="J11" s="7" t="s">
        <v>20</v>
      </c>
      <c r="K11" s="7" t="s">
        <v>109</v>
      </c>
      <c r="L11" s="11" t="str">
        <f>HYPERLINK("http://slimages.macys.com/is/image/MCY/16560076 ")</f>
        <v xml:space="preserve">http://slimages.macys.com/is/image/MCY/16560076 </v>
      </c>
    </row>
    <row r="12" spans="1:12" ht="39.950000000000003" customHeight="1" x14ac:dyDescent="0.25">
      <c r="A12" s="6" t="s">
        <v>260</v>
      </c>
      <c r="B12" s="7" t="s">
        <v>261</v>
      </c>
      <c r="C12" s="8">
        <v>1</v>
      </c>
      <c r="D12" s="9">
        <v>99.99</v>
      </c>
      <c r="E12" s="8" t="s">
        <v>262</v>
      </c>
      <c r="F12" s="7" t="s">
        <v>97</v>
      </c>
      <c r="G12" s="10"/>
      <c r="H12" s="7" t="s">
        <v>98</v>
      </c>
      <c r="I12" s="7" t="s">
        <v>99</v>
      </c>
      <c r="J12" s="7" t="s">
        <v>20</v>
      </c>
      <c r="K12" s="7" t="s">
        <v>100</v>
      </c>
      <c r="L12" s="11" t="str">
        <f>HYPERLINK("http://slimages.macys.com/is/image/MCY/11607139 ")</f>
        <v xml:space="preserve">http://slimages.macys.com/is/image/MCY/11607139 </v>
      </c>
    </row>
    <row r="13" spans="1:12" ht="39.950000000000003" customHeight="1" x14ac:dyDescent="0.25">
      <c r="A13" s="6" t="s">
        <v>263</v>
      </c>
      <c r="B13" s="7" t="s">
        <v>264</v>
      </c>
      <c r="C13" s="8">
        <v>1</v>
      </c>
      <c r="D13" s="9">
        <v>99.99</v>
      </c>
      <c r="E13" s="8" t="s">
        <v>265</v>
      </c>
      <c r="F13" s="7" t="s">
        <v>25</v>
      </c>
      <c r="G13" s="10"/>
      <c r="H13" s="7" t="s">
        <v>266</v>
      </c>
      <c r="I13" s="7" t="s">
        <v>267</v>
      </c>
      <c r="J13" s="7"/>
      <c r="K13" s="7"/>
      <c r="L13" s="11" t="str">
        <f>HYPERLINK("http://slimages.macys.com/is/image/MCY/17594680 ")</f>
        <v xml:space="preserve">http://slimages.macys.com/is/image/MCY/17594680 </v>
      </c>
    </row>
    <row r="14" spans="1:12" ht="39.950000000000003" customHeight="1" x14ac:dyDescent="0.25">
      <c r="A14" s="6" t="s">
        <v>268</v>
      </c>
      <c r="B14" s="7" t="s">
        <v>269</v>
      </c>
      <c r="C14" s="8">
        <v>1</v>
      </c>
      <c r="D14" s="9">
        <v>99.99</v>
      </c>
      <c r="E14" s="8" t="s">
        <v>270</v>
      </c>
      <c r="F14" s="7" t="s">
        <v>271</v>
      </c>
      <c r="G14" s="10"/>
      <c r="H14" s="7" t="s">
        <v>67</v>
      </c>
      <c r="I14" s="7" t="s">
        <v>272</v>
      </c>
      <c r="J14" s="7" t="s">
        <v>20</v>
      </c>
      <c r="K14" s="7" t="s">
        <v>273</v>
      </c>
      <c r="L14" s="11" t="str">
        <f>HYPERLINK("http://slimages.macys.com/is/image/MCY/16355704 ")</f>
        <v xml:space="preserve">http://slimages.macys.com/is/image/MCY/16355704 </v>
      </c>
    </row>
    <row r="15" spans="1:12" ht="39.950000000000003" customHeight="1" x14ac:dyDescent="0.25">
      <c r="A15" s="6" t="s">
        <v>274</v>
      </c>
      <c r="B15" s="7" t="s">
        <v>275</v>
      </c>
      <c r="C15" s="8">
        <v>1</v>
      </c>
      <c r="D15" s="9">
        <v>69.989999999999995</v>
      </c>
      <c r="E15" s="8" t="s">
        <v>276</v>
      </c>
      <c r="F15" s="7" t="s">
        <v>25</v>
      </c>
      <c r="G15" s="10"/>
      <c r="H15" s="7" t="s">
        <v>98</v>
      </c>
      <c r="I15" s="7" t="s">
        <v>99</v>
      </c>
      <c r="J15" s="7" t="s">
        <v>20</v>
      </c>
      <c r="K15" s="7" t="s">
        <v>100</v>
      </c>
      <c r="L15" s="11" t="str">
        <f>HYPERLINK("http://slimages.macys.com/is/image/MCY/11607139 ")</f>
        <v xml:space="preserve">http://slimages.macys.com/is/image/MCY/11607139 </v>
      </c>
    </row>
    <row r="16" spans="1:12" ht="39.950000000000003" customHeight="1" x14ac:dyDescent="0.25">
      <c r="A16" s="6" t="s">
        <v>277</v>
      </c>
      <c r="B16" s="7" t="s">
        <v>278</v>
      </c>
      <c r="C16" s="8">
        <v>1</v>
      </c>
      <c r="D16" s="9">
        <v>69.989999999999995</v>
      </c>
      <c r="E16" s="8" t="s">
        <v>279</v>
      </c>
      <c r="F16" s="7" t="s">
        <v>280</v>
      </c>
      <c r="G16" s="10"/>
      <c r="H16" s="7" t="s">
        <v>92</v>
      </c>
      <c r="I16" s="7" t="s">
        <v>93</v>
      </c>
      <c r="J16" s="7" t="s">
        <v>20</v>
      </c>
      <c r="K16" s="7" t="s">
        <v>127</v>
      </c>
      <c r="L16" s="11" t="str">
        <f>HYPERLINK("http://slimages.macys.com/is/image/MCY/12937183 ")</f>
        <v xml:space="preserve">http://slimages.macys.com/is/image/MCY/12937183 </v>
      </c>
    </row>
    <row r="17" spans="1:12" ht="39.950000000000003" customHeight="1" x14ac:dyDescent="0.25">
      <c r="A17" s="6" t="s">
        <v>281</v>
      </c>
      <c r="B17" s="7" t="s">
        <v>23</v>
      </c>
      <c r="C17" s="8">
        <v>4</v>
      </c>
      <c r="D17" s="9">
        <v>351.96</v>
      </c>
      <c r="E17" s="8" t="s">
        <v>282</v>
      </c>
      <c r="F17" s="7" t="s">
        <v>25</v>
      </c>
      <c r="G17" s="10" t="s">
        <v>26</v>
      </c>
      <c r="H17" s="7" t="s">
        <v>27</v>
      </c>
      <c r="I17" s="7" t="s">
        <v>28</v>
      </c>
      <c r="J17" s="7" t="s">
        <v>29</v>
      </c>
      <c r="K17" s="7" t="s">
        <v>30</v>
      </c>
      <c r="L17" s="11" t="str">
        <f>HYPERLINK("http://slimages.macys.com/is/image/MCY/11798194 ")</f>
        <v xml:space="preserve">http://slimages.macys.com/is/image/MCY/11798194 </v>
      </c>
    </row>
    <row r="18" spans="1:12" ht="39.950000000000003" customHeight="1" x14ac:dyDescent="0.25">
      <c r="A18" s="6" t="s">
        <v>283</v>
      </c>
      <c r="B18" s="7" t="s">
        <v>284</v>
      </c>
      <c r="C18" s="8">
        <v>1</v>
      </c>
      <c r="D18" s="9">
        <v>49.99</v>
      </c>
      <c r="E18" s="8">
        <v>19570329</v>
      </c>
      <c r="F18" s="7" t="s">
        <v>25</v>
      </c>
      <c r="G18" s="10"/>
      <c r="H18" s="7" t="s">
        <v>36</v>
      </c>
      <c r="I18" s="7" t="s">
        <v>130</v>
      </c>
      <c r="J18" s="7" t="s">
        <v>20</v>
      </c>
      <c r="K18" s="7" t="s">
        <v>160</v>
      </c>
      <c r="L18" s="11" t="str">
        <f>HYPERLINK("http://slimages.macys.com/is/image/MCY/10069077 ")</f>
        <v xml:space="preserve">http://slimages.macys.com/is/image/MCY/10069077 </v>
      </c>
    </row>
    <row r="19" spans="1:12" ht="39.950000000000003" customHeight="1" x14ac:dyDescent="0.25">
      <c r="A19" s="6" t="s">
        <v>285</v>
      </c>
      <c r="B19" s="7" t="s">
        <v>286</v>
      </c>
      <c r="C19" s="8">
        <v>1</v>
      </c>
      <c r="D19" s="9">
        <v>49.99</v>
      </c>
      <c r="E19" s="8" t="s">
        <v>287</v>
      </c>
      <c r="F19" s="7" t="s">
        <v>52</v>
      </c>
      <c r="G19" s="10"/>
      <c r="H19" s="7" t="s">
        <v>36</v>
      </c>
      <c r="I19" s="7" t="s">
        <v>130</v>
      </c>
      <c r="J19" s="7" t="s">
        <v>20</v>
      </c>
      <c r="K19" s="7" t="s">
        <v>44</v>
      </c>
      <c r="L19" s="11" t="str">
        <f>HYPERLINK("http://slimages.macys.com/is/image/MCY/8347198 ")</f>
        <v xml:space="preserve">http://slimages.macys.com/is/image/MCY/8347198 </v>
      </c>
    </row>
    <row r="20" spans="1:12" ht="39.950000000000003" customHeight="1" x14ac:dyDescent="0.25">
      <c r="A20" s="6" t="s">
        <v>288</v>
      </c>
      <c r="B20" s="7" t="s">
        <v>289</v>
      </c>
      <c r="C20" s="8">
        <v>1</v>
      </c>
      <c r="D20" s="9">
        <v>59.99</v>
      </c>
      <c r="E20" s="8" t="s">
        <v>290</v>
      </c>
      <c r="F20" s="7" t="s">
        <v>52</v>
      </c>
      <c r="G20" s="10"/>
      <c r="H20" s="7" t="s">
        <v>36</v>
      </c>
      <c r="I20" s="7" t="s">
        <v>63</v>
      </c>
      <c r="J20" s="7" t="s">
        <v>20</v>
      </c>
      <c r="K20" s="7" t="s">
        <v>291</v>
      </c>
      <c r="L20" s="11" t="str">
        <f>HYPERLINK("http://slimages.macys.com/is/image/MCY/9505519 ")</f>
        <v xml:space="preserve">http://slimages.macys.com/is/image/MCY/9505519 </v>
      </c>
    </row>
    <row r="21" spans="1:12" ht="39.950000000000003" customHeight="1" x14ac:dyDescent="0.25">
      <c r="A21" s="6" t="s">
        <v>292</v>
      </c>
      <c r="B21" s="7" t="s">
        <v>141</v>
      </c>
      <c r="C21" s="8">
        <v>2</v>
      </c>
      <c r="D21" s="9">
        <v>135.97999999999999</v>
      </c>
      <c r="E21" s="8" t="s">
        <v>293</v>
      </c>
      <c r="F21" s="7" t="s">
        <v>25</v>
      </c>
      <c r="G21" s="10" t="s">
        <v>143</v>
      </c>
      <c r="H21" s="7" t="s">
        <v>27</v>
      </c>
      <c r="I21" s="7" t="s">
        <v>28</v>
      </c>
      <c r="J21" s="7" t="s">
        <v>29</v>
      </c>
      <c r="K21" s="7" t="s">
        <v>30</v>
      </c>
      <c r="L21" s="11" t="str">
        <f>HYPERLINK("http://slimages.macys.com/is/image/MCY/11798186 ")</f>
        <v xml:space="preserve">http://slimages.macys.com/is/image/MCY/11798186 </v>
      </c>
    </row>
    <row r="22" spans="1:12" ht="39.950000000000003" customHeight="1" x14ac:dyDescent="0.25">
      <c r="A22" s="6" t="s">
        <v>294</v>
      </c>
      <c r="B22" s="7" t="s">
        <v>295</v>
      </c>
      <c r="C22" s="8">
        <v>1</v>
      </c>
      <c r="D22" s="9">
        <v>38.99</v>
      </c>
      <c r="E22" s="8">
        <v>52501438547</v>
      </c>
      <c r="F22" s="7" t="s">
        <v>25</v>
      </c>
      <c r="G22" s="10" t="s">
        <v>113</v>
      </c>
      <c r="H22" s="7" t="s">
        <v>296</v>
      </c>
      <c r="I22" s="7" t="s">
        <v>297</v>
      </c>
      <c r="J22" s="7" t="s">
        <v>20</v>
      </c>
      <c r="K22" s="7" t="s">
        <v>298</v>
      </c>
      <c r="L22" s="11" t="str">
        <f>HYPERLINK("http://slimages.macys.com/is/image/MCY/12913034 ")</f>
        <v xml:space="preserve">http://slimages.macys.com/is/image/MCY/12913034 </v>
      </c>
    </row>
    <row r="23" spans="1:12" ht="39.950000000000003" customHeight="1" x14ac:dyDescent="0.25">
      <c r="A23" s="6" t="s">
        <v>299</v>
      </c>
      <c r="B23" s="7" t="s">
        <v>300</v>
      </c>
      <c r="C23" s="8">
        <v>2</v>
      </c>
      <c r="D23" s="9">
        <v>79.98</v>
      </c>
      <c r="E23" s="8">
        <v>130119</v>
      </c>
      <c r="F23" s="7" t="s">
        <v>25</v>
      </c>
      <c r="G23" s="10" t="s">
        <v>78</v>
      </c>
      <c r="H23" s="7" t="s">
        <v>79</v>
      </c>
      <c r="I23" s="7" t="s">
        <v>80</v>
      </c>
      <c r="J23" s="7" t="s">
        <v>20</v>
      </c>
      <c r="K23" s="7" t="s">
        <v>301</v>
      </c>
      <c r="L23" s="11" t="str">
        <f>HYPERLINK("http://slimages.macys.com/is/image/MCY/3895749 ")</f>
        <v xml:space="preserve">http://slimages.macys.com/is/image/MCY/3895749 </v>
      </c>
    </row>
    <row r="24" spans="1:12" ht="39.950000000000003" customHeight="1" x14ac:dyDescent="0.25">
      <c r="A24" s="6" t="s">
        <v>302</v>
      </c>
      <c r="B24" s="7" t="s">
        <v>303</v>
      </c>
      <c r="C24" s="8">
        <v>1</v>
      </c>
      <c r="D24" s="9">
        <v>31.99</v>
      </c>
      <c r="E24" s="8" t="s">
        <v>304</v>
      </c>
      <c r="F24" s="7" t="s">
        <v>138</v>
      </c>
      <c r="G24" s="10" t="s">
        <v>305</v>
      </c>
      <c r="H24" s="7" t="s">
        <v>42</v>
      </c>
      <c r="I24" s="7" t="s">
        <v>306</v>
      </c>
      <c r="J24" s="7" t="s">
        <v>20</v>
      </c>
      <c r="K24" s="7"/>
      <c r="L24" s="11" t="str">
        <f>HYPERLINK("http://slimages.macys.com/is/image/MCY/8501242 ")</f>
        <v xml:space="preserve">http://slimages.macys.com/is/image/MCY/8501242 </v>
      </c>
    </row>
    <row r="25" spans="1:12" ht="39.950000000000003" customHeight="1" x14ac:dyDescent="0.25">
      <c r="A25" s="6" t="s">
        <v>307</v>
      </c>
      <c r="B25" s="7" t="s">
        <v>308</v>
      </c>
      <c r="C25" s="8">
        <v>1</v>
      </c>
      <c r="D25" s="9">
        <v>29.99</v>
      </c>
      <c r="E25" s="8">
        <v>56259</v>
      </c>
      <c r="F25" s="7" t="s">
        <v>52</v>
      </c>
      <c r="G25" s="10"/>
      <c r="H25" s="7" t="s">
        <v>42</v>
      </c>
      <c r="I25" s="7" t="s">
        <v>164</v>
      </c>
      <c r="J25" s="7" t="s">
        <v>20</v>
      </c>
      <c r="K25" s="7" t="s">
        <v>44</v>
      </c>
      <c r="L25" s="11" t="str">
        <f>HYPERLINK("http://slimages.macys.com/is/image/MCY/16059876 ")</f>
        <v xml:space="preserve">http://slimages.macys.com/is/image/MCY/16059876 </v>
      </c>
    </row>
    <row r="26" spans="1:12" ht="39.950000000000003" customHeight="1" x14ac:dyDescent="0.25">
      <c r="A26" s="6" t="s">
        <v>309</v>
      </c>
      <c r="B26" s="7" t="s">
        <v>310</v>
      </c>
      <c r="C26" s="8">
        <v>1</v>
      </c>
      <c r="D26" s="9">
        <v>29.99</v>
      </c>
      <c r="E26" s="8" t="s">
        <v>311</v>
      </c>
      <c r="F26" s="7" t="s">
        <v>214</v>
      </c>
      <c r="G26" s="10"/>
      <c r="H26" s="7" t="s">
        <v>92</v>
      </c>
      <c r="I26" s="7" t="s">
        <v>232</v>
      </c>
      <c r="J26" s="7"/>
      <c r="K26" s="7"/>
      <c r="L26" s="11" t="str">
        <f>HYPERLINK("http://slimages.macys.com/is/image/MCY/17601175 ")</f>
        <v xml:space="preserve">http://slimages.macys.com/is/image/MCY/17601175 </v>
      </c>
    </row>
    <row r="27" spans="1:12" ht="39.950000000000003" customHeight="1" x14ac:dyDescent="0.25">
      <c r="A27" s="6" t="s">
        <v>312</v>
      </c>
      <c r="B27" s="7" t="s">
        <v>313</v>
      </c>
      <c r="C27" s="8">
        <v>1</v>
      </c>
      <c r="D27" s="9">
        <v>39.99</v>
      </c>
      <c r="E27" s="8">
        <v>130308</v>
      </c>
      <c r="F27" s="7" t="s">
        <v>25</v>
      </c>
      <c r="G27" s="10"/>
      <c r="H27" s="7" t="s">
        <v>79</v>
      </c>
      <c r="I27" s="7" t="s">
        <v>80</v>
      </c>
      <c r="J27" s="7" t="s">
        <v>20</v>
      </c>
      <c r="K27" s="7" t="s">
        <v>301</v>
      </c>
      <c r="L27" s="11" t="str">
        <f>HYPERLINK("http://slimages.macys.com/is/image/MCY/3895749 ")</f>
        <v xml:space="preserve">http://slimages.macys.com/is/image/MCY/3895749 </v>
      </c>
    </row>
    <row r="28" spans="1:12" ht="39.950000000000003" customHeight="1" x14ac:dyDescent="0.25">
      <c r="A28" s="6" t="s">
        <v>314</v>
      </c>
      <c r="B28" s="7" t="s">
        <v>315</v>
      </c>
      <c r="C28" s="8">
        <v>1</v>
      </c>
      <c r="D28" s="9">
        <v>29.99</v>
      </c>
      <c r="E28" s="8" t="s">
        <v>316</v>
      </c>
      <c r="F28" s="7"/>
      <c r="G28" s="10"/>
      <c r="H28" s="7" t="s">
        <v>36</v>
      </c>
      <c r="I28" s="7" t="s">
        <v>317</v>
      </c>
      <c r="J28" s="7"/>
      <c r="K28" s="7"/>
      <c r="L28" s="11" t="str">
        <f>HYPERLINK("http://slimages.macys.com/is/image/MCY/17597079 ")</f>
        <v xml:space="preserve">http://slimages.macys.com/is/image/MCY/17597079 </v>
      </c>
    </row>
    <row r="29" spans="1:12" ht="39.950000000000003" customHeight="1" x14ac:dyDescent="0.25">
      <c r="A29" s="6" t="s">
        <v>318</v>
      </c>
      <c r="B29" s="7" t="s">
        <v>319</v>
      </c>
      <c r="C29" s="8">
        <v>1</v>
      </c>
      <c r="D29" s="9">
        <v>24.99</v>
      </c>
      <c r="E29" s="8">
        <v>100088905</v>
      </c>
      <c r="F29" s="7" t="s">
        <v>320</v>
      </c>
      <c r="G29" s="10" t="s">
        <v>321</v>
      </c>
      <c r="H29" s="7" t="s">
        <v>322</v>
      </c>
      <c r="I29" s="7" t="s">
        <v>323</v>
      </c>
      <c r="J29" s="7" t="s">
        <v>20</v>
      </c>
      <c r="K29" s="7"/>
      <c r="L29" s="11" t="str">
        <f>HYPERLINK("http://slimages.macys.com/is/image/MCY/16353178 ")</f>
        <v xml:space="preserve">http://slimages.macys.com/is/image/MCY/16353178 </v>
      </c>
    </row>
    <row r="30" spans="1:12" ht="39.950000000000003" customHeight="1" x14ac:dyDescent="0.25">
      <c r="A30" s="6"/>
      <c r="B30" s="7"/>
      <c r="C30" s="8"/>
      <c r="D30" s="9"/>
      <c r="E30" s="8"/>
      <c r="F30" s="7"/>
      <c r="G30" s="10"/>
      <c r="H30" s="7"/>
      <c r="I30" s="7"/>
      <c r="J30" s="7"/>
      <c r="K30" s="7"/>
      <c r="L30" s="11"/>
    </row>
    <row r="31" spans="1:12" ht="39.950000000000003" customHeight="1" x14ac:dyDescent="0.25">
      <c r="A31" s="6"/>
      <c r="B31" s="7"/>
      <c r="C31" s="8"/>
      <c r="D31" s="9"/>
      <c r="E31" s="8"/>
      <c r="F31" s="7"/>
      <c r="G31" s="10"/>
      <c r="H31" s="7"/>
      <c r="I31" s="7"/>
      <c r="J31" s="7"/>
      <c r="K31" s="7"/>
      <c r="L31" s="11"/>
    </row>
    <row r="32" spans="1:12" ht="39.950000000000003" customHeight="1" x14ac:dyDescent="0.25">
      <c r="A32" s="6"/>
      <c r="B32" s="7"/>
      <c r="C32" s="8"/>
      <c r="D32" s="9"/>
      <c r="E32" s="8"/>
      <c r="F32" s="7"/>
      <c r="G32" s="10"/>
      <c r="H32" s="7"/>
      <c r="I32" s="7"/>
      <c r="J32" s="7"/>
      <c r="K32" s="7"/>
      <c r="L32" s="11"/>
    </row>
    <row r="33" spans="1:12" ht="39.950000000000003" customHeight="1" x14ac:dyDescent="0.25">
      <c r="A33" s="6"/>
      <c r="B33" s="7"/>
      <c r="C33" s="8"/>
      <c r="D33" s="9"/>
      <c r="E33" s="8"/>
      <c r="F33" s="7"/>
      <c r="G33" s="10"/>
      <c r="H33" s="7"/>
      <c r="I33" s="7"/>
      <c r="J33" s="7"/>
      <c r="K33" s="7"/>
      <c r="L33" s="11"/>
    </row>
    <row r="34" spans="1:12" ht="39.950000000000003" customHeight="1" x14ac:dyDescent="0.25">
      <c r="A34" s="6"/>
      <c r="B34" s="7"/>
      <c r="C34" s="8"/>
      <c r="D34" s="9"/>
      <c r="E34" s="8"/>
      <c r="F34" s="7"/>
      <c r="G34" s="10"/>
      <c r="H34" s="7"/>
      <c r="I34" s="7"/>
      <c r="J34" s="7"/>
      <c r="K34" s="7"/>
      <c r="L34" s="11"/>
    </row>
    <row r="35" spans="1:12" ht="39.950000000000003" customHeight="1" x14ac:dyDescent="0.25">
      <c r="A35" s="6"/>
      <c r="B35" s="7"/>
      <c r="C35" s="8"/>
      <c r="D35" s="9"/>
      <c r="E35" s="8"/>
      <c r="F35" s="7"/>
      <c r="G35" s="10"/>
      <c r="H35" s="7"/>
      <c r="I35" s="7"/>
      <c r="J35" s="7"/>
      <c r="K35" s="7"/>
      <c r="L35" s="11"/>
    </row>
    <row r="36" spans="1:12" ht="39.950000000000003" customHeight="1" x14ac:dyDescent="0.25">
      <c r="A36" s="6"/>
      <c r="B36" s="7"/>
      <c r="C36" s="8"/>
      <c r="D36" s="9"/>
      <c r="E36" s="8"/>
      <c r="F36" s="7"/>
      <c r="G36" s="10"/>
      <c r="H36" s="7"/>
      <c r="I36" s="7"/>
      <c r="J36" s="7"/>
      <c r="K36" s="7"/>
      <c r="L36" s="11"/>
    </row>
    <row r="37" spans="1:12" ht="39.950000000000003" customHeight="1" x14ac:dyDescent="0.25">
      <c r="A37" s="6"/>
      <c r="B37" s="7"/>
      <c r="C37" s="8"/>
      <c r="D37" s="9"/>
      <c r="E37" s="8"/>
      <c r="F37" s="7"/>
      <c r="G37" s="10"/>
      <c r="H37" s="7"/>
      <c r="I37" s="7"/>
      <c r="J37" s="7"/>
      <c r="K37" s="7"/>
      <c r="L37" s="11"/>
    </row>
    <row r="38" spans="1:12" ht="39.950000000000003" customHeight="1" x14ac:dyDescent="0.25">
      <c r="A38" s="6"/>
      <c r="B38" s="7"/>
      <c r="C38" s="8"/>
      <c r="D38" s="9"/>
      <c r="E38" s="8"/>
      <c r="F38" s="7"/>
      <c r="G38" s="10"/>
      <c r="H38" s="7"/>
      <c r="I38" s="7"/>
      <c r="J38" s="7"/>
      <c r="K38" s="7"/>
      <c r="L38" s="11"/>
    </row>
    <row r="39" spans="1:12" ht="39.950000000000003" customHeight="1" x14ac:dyDescent="0.25">
      <c r="A39" s="6"/>
      <c r="B39" s="7"/>
      <c r="C39" s="8"/>
      <c r="D39" s="9"/>
      <c r="E39" s="8"/>
      <c r="F39" s="7"/>
      <c r="G39" s="10"/>
      <c r="H39" s="7"/>
      <c r="I39" s="7"/>
      <c r="J39" s="7"/>
      <c r="K39" s="7"/>
      <c r="L39" s="11"/>
    </row>
    <row r="40" spans="1:12" ht="39.950000000000003" customHeight="1" x14ac:dyDescent="0.25">
      <c r="A40" s="6"/>
      <c r="B40" s="7"/>
      <c r="C40" s="8"/>
      <c r="D40" s="9"/>
      <c r="E40" s="8"/>
      <c r="F40" s="7"/>
      <c r="G40" s="10"/>
      <c r="H40" s="7"/>
      <c r="I40" s="7"/>
      <c r="J40" s="7"/>
      <c r="K40" s="7"/>
      <c r="L40" s="11"/>
    </row>
    <row r="41" spans="1:12" ht="39.950000000000003" customHeight="1" x14ac:dyDescent="0.25">
      <c r="A41" s="6"/>
      <c r="B41" s="7"/>
      <c r="C41" s="8"/>
      <c r="D41" s="9"/>
      <c r="E41" s="8"/>
      <c r="F41" s="7"/>
      <c r="G41" s="10"/>
      <c r="H41" s="7"/>
      <c r="I41" s="7"/>
      <c r="J41" s="7"/>
      <c r="K41" s="7"/>
      <c r="L41" s="11"/>
    </row>
    <row r="42" spans="1:12" ht="39.950000000000003" customHeight="1" x14ac:dyDescent="0.25">
      <c r="A42" s="6"/>
      <c r="B42" s="7"/>
      <c r="C42" s="8"/>
      <c r="D42" s="9"/>
      <c r="E42" s="8"/>
      <c r="F42" s="7"/>
      <c r="G42" s="10"/>
      <c r="H42" s="7"/>
      <c r="I42" s="7"/>
      <c r="J42" s="7"/>
      <c r="K42" s="7"/>
      <c r="L42" s="11"/>
    </row>
    <row r="43" spans="1:12" ht="39.950000000000003" customHeight="1" x14ac:dyDescent="0.25">
      <c r="A43" s="6"/>
      <c r="B43" s="7"/>
      <c r="C43" s="8"/>
      <c r="D43" s="9"/>
      <c r="E43" s="8"/>
      <c r="F43" s="7"/>
      <c r="G43" s="10"/>
      <c r="H43" s="7"/>
      <c r="I43" s="7"/>
      <c r="J43" s="7"/>
      <c r="K43" s="7"/>
      <c r="L43" s="11"/>
    </row>
    <row r="44" spans="1:12" ht="39.950000000000003" customHeight="1" x14ac:dyDescent="0.25">
      <c r="A44" s="6"/>
      <c r="B44" s="7"/>
      <c r="C44" s="8"/>
      <c r="D44" s="9"/>
      <c r="E44" s="8"/>
      <c r="F44" s="7"/>
      <c r="G44" s="10"/>
      <c r="H44" s="7"/>
      <c r="I44" s="7"/>
      <c r="J44" s="7"/>
      <c r="K44" s="7"/>
      <c r="L44" s="11"/>
    </row>
    <row r="45" spans="1:12" ht="39.950000000000003" customHeight="1" x14ac:dyDescent="0.25">
      <c r="A45" s="6"/>
      <c r="B45" s="7"/>
      <c r="C45" s="8"/>
      <c r="D45" s="9"/>
      <c r="E45" s="8"/>
      <c r="F45" s="7"/>
      <c r="G45" s="10"/>
      <c r="H45" s="7"/>
      <c r="I45" s="7"/>
      <c r="J45" s="7"/>
      <c r="K45" s="7"/>
      <c r="L45" s="11"/>
    </row>
    <row r="46" spans="1:12" ht="39.950000000000003" customHeight="1" x14ac:dyDescent="0.25">
      <c r="A46" s="6"/>
      <c r="B46" s="7"/>
      <c r="C46" s="8"/>
      <c r="D46" s="9"/>
      <c r="E46" s="8"/>
      <c r="F46" s="7"/>
      <c r="G46" s="10"/>
      <c r="H46" s="7"/>
      <c r="I46" s="7"/>
      <c r="J46" s="7"/>
      <c r="K46" s="7"/>
      <c r="L46" s="11"/>
    </row>
    <row r="47" spans="1:12" ht="39.950000000000003" customHeight="1" x14ac:dyDescent="0.25">
      <c r="A47" s="6"/>
      <c r="B47" s="7"/>
      <c r="C47" s="8"/>
      <c r="D47" s="9"/>
      <c r="E47" s="8"/>
      <c r="F47" s="7"/>
      <c r="G47" s="10"/>
      <c r="H47" s="7"/>
      <c r="I47" s="7"/>
      <c r="J47" s="7"/>
      <c r="K47" s="7"/>
      <c r="L47" s="11"/>
    </row>
    <row r="48" spans="1:12" ht="39.950000000000003" customHeight="1" x14ac:dyDescent="0.25">
      <c r="A48" s="6"/>
      <c r="B48" s="7"/>
      <c r="C48" s="8"/>
      <c r="D48" s="9"/>
      <c r="E48" s="8"/>
      <c r="F48" s="7"/>
      <c r="G48" s="10"/>
      <c r="H48" s="7"/>
      <c r="I48" s="7"/>
      <c r="J48" s="7"/>
      <c r="K48" s="7"/>
      <c r="L48" s="11"/>
    </row>
    <row r="49" spans="1:12" ht="39.950000000000003" customHeight="1" x14ac:dyDescent="0.25">
      <c r="A49" s="6"/>
      <c r="B49" s="7"/>
      <c r="C49" s="8"/>
      <c r="D49" s="9"/>
      <c r="E49" s="8"/>
      <c r="F49" s="7"/>
      <c r="G49" s="10"/>
      <c r="H49" s="7"/>
      <c r="I49" s="7"/>
      <c r="J49" s="7"/>
      <c r="K49" s="7"/>
      <c r="L49" s="11"/>
    </row>
    <row r="50" spans="1:12" ht="39.950000000000003" customHeight="1" x14ac:dyDescent="0.25">
      <c r="A50" s="6"/>
      <c r="B50" s="7"/>
      <c r="C50" s="8"/>
      <c r="D50" s="9"/>
      <c r="E50" s="8"/>
      <c r="F50" s="7"/>
      <c r="G50" s="10"/>
      <c r="H50" s="7"/>
      <c r="I50" s="7"/>
      <c r="J50" s="7"/>
      <c r="K50" s="7"/>
      <c r="L50" s="11"/>
    </row>
    <row r="51" spans="1:12" ht="39.950000000000003" customHeight="1" x14ac:dyDescent="0.25">
      <c r="A51" s="6"/>
      <c r="B51" s="7"/>
      <c r="C51" s="8"/>
      <c r="D51" s="9"/>
      <c r="E51" s="8"/>
      <c r="F51" s="7"/>
      <c r="G51" s="10"/>
      <c r="H51" s="7"/>
      <c r="I51" s="7"/>
      <c r="J51" s="7"/>
      <c r="K51" s="7"/>
      <c r="L51" s="11"/>
    </row>
    <row r="52" spans="1:12" ht="39.950000000000003" customHeight="1" x14ac:dyDescent="0.25">
      <c r="A52" s="6"/>
      <c r="B52" s="7"/>
      <c r="C52" s="8"/>
      <c r="D52" s="9"/>
      <c r="E52" s="8"/>
      <c r="F52" s="7"/>
      <c r="G52" s="10"/>
      <c r="H52" s="7"/>
      <c r="I52" s="7"/>
      <c r="J52" s="7"/>
      <c r="K52" s="7"/>
      <c r="L52" s="11"/>
    </row>
    <row r="53" spans="1:12" ht="39.950000000000003" customHeight="1" x14ac:dyDescent="0.25">
      <c r="A53" s="6"/>
      <c r="B53" s="7"/>
      <c r="C53" s="8"/>
      <c r="D53" s="9"/>
      <c r="E53" s="8"/>
      <c r="F53" s="7"/>
      <c r="G53" s="10"/>
      <c r="H53" s="7"/>
      <c r="I53" s="7"/>
      <c r="J53" s="7"/>
      <c r="K53" s="7"/>
      <c r="L53" s="11"/>
    </row>
    <row r="54" spans="1:12" ht="39.950000000000003" customHeight="1" x14ac:dyDescent="0.25">
      <c r="A54" s="6"/>
      <c r="B54" s="7"/>
      <c r="C54" s="8"/>
      <c r="D54" s="9"/>
      <c r="E54" s="8"/>
      <c r="F54" s="7"/>
      <c r="G54" s="10"/>
      <c r="H54" s="7"/>
      <c r="I54" s="7"/>
      <c r="J54" s="7"/>
      <c r="K54" s="7"/>
      <c r="L54" s="11"/>
    </row>
    <row r="55" spans="1:12" ht="39.950000000000003" customHeight="1" x14ac:dyDescent="0.25">
      <c r="A55" s="6"/>
      <c r="B55" s="7"/>
      <c r="C55" s="8"/>
      <c r="D55" s="9"/>
      <c r="E55" s="8"/>
      <c r="F55" s="7"/>
      <c r="G55" s="10"/>
      <c r="H55" s="7"/>
      <c r="I55" s="7"/>
      <c r="J55" s="7"/>
      <c r="K55" s="7"/>
      <c r="L55" s="11"/>
    </row>
    <row r="56" spans="1:12" ht="39.950000000000003" customHeight="1" x14ac:dyDescent="0.25">
      <c r="A56" s="6"/>
      <c r="B56" s="7"/>
      <c r="C56" s="8"/>
      <c r="D56" s="9"/>
      <c r="E56" s="8"/>
      <c r="F56" s="7"/>
      <c r="G56" s="10"/>
      <c r="H56" s="7"/>
      <c r="I56" s="7"/>
      <c r="J56" s="7"/>
      <c r="K56" s="7"/>
      <c r="L56" s="1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D5248-D31D-4791-B671-363BDCF69961}">
  <dimension ref="A1:L51"/>
  <sheetViews>
    <sheetView workbookViewId="0"/>
  </sheetViews>
  <sheetFormatPr defaultRowHeight="39.950000000000003" customHeight="1" x14ac:dyDescent="0.25"/>
  <cols>
    <col min="1" max="1" width="14.28515625" customWidth="1"/>
    <col min="2" max="2" width="50.85546875" customWidth="1"/>
    <col min="3" max="3" width="15" customWidth="1"/>
    <col min="4" max="4" width="10.28515625" customWidth="1"/>
    <col min="5" max="5" width="16.5703125" customWidth="1"/>
    <col min="6" max="6" width="11.42578125" customWidth="1"/>
    <col min="7" max="7" width="10.85546875" customWidth="1"/>
    <col min="8" max="8" width="12.140625" customWidth="1"/>
    <col min="9" max="9" width="36.5703125" bestFit="1" customWidth="1"/>
    <col min="10" max="11" width="20.7109375" customWidth="1"/>
    <col min="12" max="12" width="64.28515625" customWidth="1"/>
  </cols>
  <sheetData>
    <row r="1" spans="1:12" ht="39.950000000000003" customHeight="1" x14ac:dyDescent="0.25">
      <c r="A1" s="5" t="s">
        <v>2</v>
      </c>
      <c r="B1" s="5" t="s">
        <v>3</v>
      </c>
      <c r="C1" s="5" t="s">
        <v>4</v>
      </c>
      <c r="D1" s="5" t="s">
        <v>5</v>
      </c>
      <c r="E1" s="5" t="s">
        <v>6</v>
      </c>
      <c r="F1" s="5" t="s">
        <v>7</v>
      </c>
      <c r="G1" s="5" t="s">
        <v>8</v>
      </c>
      <c r="H1" s="5" t="s">
        <v>9</v>
      </c>
      <c r="I1" s="5" t="s">
        <v>10</v>
      </c>
      <c r="J1" s="5" t="s">
        <v>11</v>
      </c>
      <c r="K1" s="5" t="s">
        <v>12</v>
      </c>
      <c r="L1" s="5" t="s">
        <v>13</v>
      </c>
    </row>
    <row r="2" spans="1:12" ht="39.950000000000003" customHeight="1" x14ac:dyDescent="0.25">
      <c r="A2" s="6" t="s">
        <v>324</v>
      </c>
      <c r="B2" s="7" t="s">
        <v>325</v>
      </c>
      <c r="C2" s="8">
        <v>1</v>
      </c>
      <c r="D2" s="9">
        <v>449.99</v>
      </c>
      <c r="E2" s="8" t="s">
        <v>326</v>
      </c>
      <c r="F2" s="7" t="s">
        <v>327</v>
      </c>
      <c r="G2" s="10"/>
      <c r="H2" s="7" t="s">
        <v>225</v>
      </c>
      <c r="I2" s="7" t="s">
        <v>328</v>
      </c>
      <c r="J2" s="7" t="s">
        <v>220</v>
      </c>
      <c r="K2" s="7" t="s">
        <v>329</v>
      </c>
      <c r="L2" s="11" t="str">
        <f>HYPERLINK("http://images.bloomingdales.com/is/image/BLM/11006453 ")</f>
        <v xml:space="preserve">http://images.bloomingdales.com/is/image/BLM/11006453 </v>
      </c>
    </row>
    <row r="3" spans="1:12" ht="39.950000000000003" customHeight="1" x14ac:dyDescent="0.25">
      <c r="A3" s="6" t="s">
        <v>330</v>
      </c>
      <c r="B3" s="7" t="s">
        <v>331</v>
      </c>
      <c r="C3" s="8">
        <v>1</v>
      </c>
      <c r="D3" s="9">
        <v>377.99</v>
      </c>
      <c r="E3" s="8" t="s">
        <v>332</v>
      </c>
      <c r="F3" s="7" t="s">
        <v>52</v>
      </c>
      <c r="G3" s="10"/>
      <c r="H3" s="7" t="s">
        <v>36</v>
      </c>
      <c r="I3" s="7" t="s">
        <v>63</v>
      </c>
      <c r="J3" s="7" t="s">
        <v>20</v>
      </c>
      <c r="K3" s="7" t="s">
        <v>333</v>
      </c>
      <c r="L3" s="11" t="str">
        <f>HYPERLINK("http://slimages.macys.com/is/image/MCY/16420352 ")</f>
        <v xml:space="preserve">http://slimages.macys.com/is/image/MCY/16420352 </v>
      </c>
    </row>
    <row r="4" spans="1:12" ht="39.950000000000003" customHeight="1" x14ac:dyDescent="0.25">
      <c r="A4" s="6" t="s">
        <v>334</v>
      </c>
      <c r="B4" s="7" t="s">
        <v>335</v>
      </c>
      <c r="C4" s="8">
        <v>1</v>
      </c>
      <c r="D4" s="9">
        <v>249.99</v>
      </c>
      <c r="E4" s="8" t="s">
        <v>336</v>
      </c>
      <c r="F4" s="7" t="s">
        <v>337</v>
      </c>
      <c r="G4" s="10"/>
      <c r="H4" s="7" t="s">
        <v>225</v>
      </c>
      <c r="I4" s="7" t="s">
        <v>328</v>
      </c>
      <c r="J4" s="7" t="s">
        <v>20</v>
      </c>
      <c r="K4" s="7" t="s">
        <v>87</v>
      </c>
      <c r="L4" s="11" t="str">
        <f>HYPERLINK("http://slimages.macys.com/is/image/MCY/15381855 ")</f>
        <v xml:space="preserve">http://slimages.macys.com/is/image/MCY/15381855 </v>
      </c>
    </row>
    <row r="5" spans="1:12" ht="39.950000000000003" customHeight="1" x14ac:dyDescent="0.25">
      <c r="A5" s="6" t="s">
        <v>338</v>
      </c>
      <c r="B5" s="7" t="s">
        <v>339</v>
      </c>
      <c r="C5" s="8">
        <v>1</v>
      </c>
      <c r="D5" s="9">
        <v>219.99</v>
      </c>
      <c r="E5" s="8" t="s">
        <v>340</v>
      </c>
      <c r="F5" s="7" t="s">
        <v>17</v>
      </c>
      <c r="G5" s="10"/>
      <c r="H5" s="7" t="s">
        <v>225</v>
      </c>
      <c r="I5" s="7" t="s">
        <v>328</v>
      </c>
      <c r="J5" s="7" t="s">
        <v>20</v>
      </c>
      <c r="K5" s="7" t="s">
        <v>298</v>
      </c>
      <c r="L5" s="11" t="str">
        <f>HYPERLINK("http://slimages.macys.com/is/image/MCY/13815896 ")</f>
        <v xml:space="preserve">http://slimages.macys.com/is/image/MCY/13815896 </v>
      </c>
    </row>
    <row r="6" spans="1:12" ht="39.950000000000003" customHeight="1" x14ac:dyDescent="0.25">
      <c r="A6" s="6" t="s">
        <v>341</v>
      </c>
      <c r="B6" s="7" t="s">
        <v>342</v>
      </c>
      <c r="C6" s="8">
        <v>1</v>
      </c>
      <c r="D6" s="9">
        <v>179.99</v>
      </c>
      <c r="E6" s="8" t="s">
        <v>343</v>
      </c>
      <c r="F6" s="7" t="s">
        <v>344</v>
      </c>
      <c r="G6" s="10"/>
      <c r="H6" s="7" t="s">
        <v>225</v>
      </c>
      <c r="I6" s="7" t="s">
        <v>226</v>
      </c>
      <c r="J6" s="7" t="s">
        <v>20</v>
      </c>
      <c r="K6" s="7" t="s">
        <v>44</v>
      </c>
      <c r="L6" s="11" t="str">
        <f>HYPERLINK("http://slimages.macys.com/is/image/MCY/12061176 ")</f>
        <v xml:space="preserve">http://slimages.macys.com/is/image/MCY/12061176 </v>
      </c>
    </row>
    <row r="7" spans="1:12" ht="39.950000000000003" customHeight="1" x14ac:dyDescent="0.25">
      <c r="A7" s="6" t="s">
        <v>345</v>
      </c>
      <c r="B7" s="7" t="s">
        <v>346</v>
      </c>
      <c r="C7" s="8">
        <v>1</v>
      </c>
      <c r="D7" s="9">
        <v>299.99</v>
      </c>
      <c r="E7" s="8" t="s">
        <v>347</v>
      </c>
      <c r="F7" s="7" t="s">
        <v>25</v>
      </c>
      <c r="G7" s="10" t="s">
        <v>78</v>
      </c>
      <c r="H7" s="7" t="s">
        <v>67</v>
      </c>
      <c r="I7" s="7" t="s">
        <v>348</v>
      </c>
      <c r="J7" s="7" t="s">
        <v>20</v>
      </c>
      <c r="K7" s="7" t="s">
        <v>349</v>
      </c>
      <c r="L7" s="11" t="str">
        <f>HYPERLINK("http://slimages.macys.com/is/image/MCY/11953123 ")</f>
        <v xml:space="preserve">http://slimages.macys.com/is/image/MCY/11953123 </v>
      </c>
    </row>
    <row r="8" spans="1:12" ht="39.950000000000003" customHeight="1" x14ac:dyDescent="0.25">
      <c r="A8" s="6" t="s">
        <v>350</v>
      </c>
      <c r="B8" s="7" t="s">
        <v>351</v>
      </c>
      <c r="C8" s="8">
        <v>1</v>
      </c>
      <c r="D8" s="9">
        <v>149.99</v>
      </c>
      <c r="E8" s="8">
        <v>224045</v>
      </c>
      <c r="F8" s="7" t="s">
        <v>34</v>
      </c>
      <c r="G8" s="10"/>
      <c r="H8" s="7" t="s">
        <v>42</v>
      </c>
      <c r="I8" s="7" t="s">
        <v>352</v>
      </c>
      <c r="J8" s="7" t="s">
        <v>20</v>
      </c>
      <c r="K8" s="7" t="s">
        <v>87</v>
      </c>
      <c r="L8" s="11" t="str">
        <f>HYPERLINK("http://slimages.macys.com/is/image/MCY/12099426 ")</f>
        <v xml:space="preserve">http://slimages.macys.com/is/image/MCY/12099426 </v>
      </c>
    </row>
    <row r="9" spans="1:12" ht="39.950000000000003" customHeight="1" x14ac:dyDescent="0.25">
      <c r="A9" s="6" t="s">
        <v>353</v>
      </c>
      <c r="B9" s="7" t="s">
        <v>354</v>
      </c>
      <c r="C9" s="8">
        <v>1</v>
      </c>
      <c r="D9" s="9">
        <v>154.99</v>
      </c>
      <c r="E9" s="8" t="s">
        <v>355</v>
      </c>
      <c r="F9" s="7" t="s">
        <v>356</v>
      </c>
      <c r="G9" s="10" t="s">
        <v>357</v>
      </c>
      <c r="H9" s="7" t="s">
        <v>36</v>
      </c>
      <c r="I9" s="7" t="s">
        <v>37</v>
      </c>
      <c r="J9" s="7"/>
      <c r="K9" s="7"/>
      <c r="L9" s="11" t="str">
        <f>HYPERLINK("http://slimages.macys.com/is/image/MCY/17733118 ")</f>
        <v xml:space="preserve">http://slimages.macys.com/is/image/MCY/17733118 </v>
      </c>
    </row>
    <row r="10" spans="1:12" ht="39.950000000000003" customHeight="1" x14ac:dyDescent="0.25">
      <c r="A10" s="6" t="s">
        <v>358</v>
      </c>
      <c r="B10" s="7" t="s">
        <v>359</v>
      </c>
      <c r="C10" s="8">
        <v>1</v>
      </c>
      <c r="D10" s="9">
        <v>191.99</v>
      </c>
      <c r="E10" s="8" t="s">
        <v>360</v>
      </c>
      <c r="F10" s="7" t="s">
        <v>168</v>
      </c>
      <c r="G10" s="10"/>
      <c r="H10" s="7" t="s">
        <v>42</v>
      </c>
      <c r="I10" s="7" t="s">
        <v>361</v>
      </c>
      <c r="J10" s="7" t="s">
        <v>20</v>
      </c>
      <c r="K10" s="7" t="s">
        <v>109</v>
      </c>
      <c r="L10" s="11" t="str">
        <f>HYPERLINK("http://slimages.macys.com/is/image/MCY/11629782 ")</f>
        <v xml:space="preserve">http://slimages.macys.com/is/image/MCY/11629782 </v>
      </c>
    </row>
    <row r="11" spans="1:12" ht="39.950000000000003" customHeight="1" x14ac:dyDescent="0.25">
      <c r="A11" s="6" t="s">
        <v>362</v>
      </c>
      <c r="B11" s="7" t="s">
        <v>363</v>
      </c>
      <c r="C11" s="8">
        <v>1</v>
      </c>
      <c r="D11" s="9">
        <v>118.99</v>
      </c>
      <c r="E11" s="8" t="s">
        <v>364</v>
      </c>
      <c r="F11" s="7" t="s">
        <v>365</v>
      </c>
      <c r="G11" s="10"/>
      <c r="H11" s="7" t="s">
        <v>366</v>
      </c>
      <c r="I11" s="7" t="s">
        <v>367</v>
      </c>
      <c r="J11" s="7"/>
      <c r="K11" s="7"/>
      <c r="L11" s="11" t="str">
        <f>HYPERLINK("http://slimages.macys.com/is/image/MCY/16944286 ")</f>
        <v xml:space="preserve">http://slimages.macys.com/is/image/MCY/16944286 </v>
      </c>
    </row>
    <row r="12" spans="1:12" ht="39.950000000000003" customHeight="1" x14ac:dyDescent="0.25">
      <c r="A12" s="6" t="s">
        <v>368</v>
      </c>
      <c r="B12" s="7" t="s">
        <v>369</v>
      </c>
      <c r="C12" s="8">
        <v>1</v>
      </c>
      <c r="D12" s="9">
        <v>99.99</v>
      </c>
      <c r="E12" s="8" t="s">
        <v>370</v>
      </c>
      <c r="F12" s="7" t="s">
        <v>163</v>
      </c>
      <c r="G12" s="10"/>
      <c r="H12" s="7" t="s">
        <v>98</v>
      </c>
      <c r="I12" s="7" t="s">
        <v>371</v>
      </c>
      <c r="J12" s="7" t="s">
        <v>20</v>
      </c>
      <c r="K12" s="7"/>
      <c r="L12" s="11" t="str">
        <f>HYPERLINK("http://slimages.macys.com/is/image/MCY/8813910 ")</f>
        <v xml:space="preserve">http://slimages.macys.com/is/image/MCY/8813910 </v>
      </c>
    </row>
    <row r="13" spans="1:12" ht="39.950000000000003" customHeight="1" x14ac:dyDescent="0.25">
      <c r="A13" s="6" t="s">
        <v>372</v>
      </c>
      <c r="B13" s="7" t="s">
        <v>373</v>
      </c>
      <c r="C13" s="8">
        <v>1</v>
      </c>
      <c r="D13" s="9">
        <v>103.99</v>
      </c>
      <c r="E13" s="8" t="s">
        <v>374</v>
      </c>
      <c r="F13" s="7" t="s">
        <v>375</v>
      </c>
      <c r="G13" s="10"/>
      <c r="H13" s="7" t="s">
        <v>42</v>
      </c>
      <c r="I13" s="7" t="s">
        <v>376</v>
      </c>
      <c r="J13" s="7" t="s">
        <v>20</v>
      </c>
      <c r="K13" s="7" t="s">
        <v>377</v>
      </c>
      <c r="L13" s="11" t="str">
        <f>HYPERLINK("http://slimages.macys.com/is/image/MCY/13754045 ")</f>
        <v xml:space="preserve">http://slimages.macys.com/is/image/MCY/13754045 </v>
      </c>
    </row>
    <row r="14" spans="1:12" ht="39.950000000000003" customHeight="1" x14ac:dyDescent="0.25">
      <c r="A14" s="6" t="s">
        <v>378</v>
      </c>
      <c r="B14" s="7" t="s">
        <v>379</v>
      </c>
      <c r="C14" s="8">
        <v>1</v>
      </c>
      <c r="D14" s="9">
        <v>86.99</v>
      </c>
      <c r="E14" s="8" t="s">
        <v>380</v>
      </c>
      <c r="F14" s="7" t="s">
        <v>25</v>
      </c>
      <c r="G14" s="10" t="s">
        <v>143</v>
      </c>
      <c r="H14" s="7" t="s">
        <v>27</v>
      </c>
      <c r="I14" s="7" t="s">
        <v>28</v>
      </c>
      <c r="J14" s="7" t="s">
        <v>29</v>
      </c>
      <c r="K14" s="7" t="s">
        <v>381</v>
      </c>
      <c r="L14" s="11" t="str">
        <f>HYPERLINK("http://slimages.macys.com/is/image/MCY/11798282 ")</f>
        <v xml:space="preserve">http://slimages.macys.com/is/image/MCY/11798282 </v>
      </c>
    </row>
    <row r="15" spans="1:12" ht="39.950000000000003" customHeight="1" x14ac:dyDescent="0.25">
      <c r="A15" s="6" t="s">
        <v>382</v>
      </c>
      <c r="B15" s="7" t="s">
        <v>383</v>
      </c>
      <c r="C15" s="8">
        <v>1</v>
      </c>
      <c r="D15" s="9">
        <v>77.989999999999995</v>
      </c>
      <c r="E15" s="8" t="s">
        <v>384</v>
      </c>
      <c r="F15" s="7" t="s">
        <v>195</v>
      </c>
      <c r="G15" s="10"/>
      <c r="H15" s="7" t="s">
        <v>18</v>
      </c>
      <c r="I15" s="7" t="s">
        <v>385</v>
      </c>
      <c r="J15" s="7" t="s">
        <v>20</v>
      </c>
      <c r="K15" s="7" t="s">
        <v>386</v>
      </c>
      <c r="L15" s="11" t="str">
        <f>HYPERLINK("http://slimages.macys.com/is/image/MCY/10377576 ")</f>
        <v xml:space="preserve">http://slimages.macys.com/is/image/MCY/10377576 </v>
      </c>
    </row>
    <row r="16" spans="1:12" ht="39.950000000000003" customHeight="1" x14ac:dyDescent="0.25">
      <c r="A16" s="6" t="s">
        <v>387</v>
      </c>
      <c r="B16" s="7" t="s">
        <v>388</v>
      </c>
      <c r="C16" s="8">
        <v>1</v>
      </c>
      <c r="D16" s="9">
        <v>101.99</v>
      </c>
      <c r="E16" s="8">
        <v>505978</v>
      </c>
      <c r="F16" s="7" t="s">
        <v>214</v>
      </c>
      <c r="G16" s="10"/>
      <c r="H16" s="7" t="s">
        <v>42</v>
      </c>
      <c r="I16" s="7" t="s">
        <v>389</v>
      </c>
      <c r="J16" s="7" t="s">
        <v>20</v>
      </c>
      <c r="K16" s="7" t="s">
        <v>390</v>
      </c>
      <c r="L16" s="11" t="str">
        <f>HYPERLINK("http://slimages.macys.com/is/image/MCY/10092202 ")</f>
        <v xml:space="preserve">http://slimages.macys.com/is/image/MCY/10092202 </v>
      </c>
    </row>
    <row r="17" spans="1:12" ht="39.950000000000003" customHeight="1" x14ac:dyDescent="0.25">
      <c r="A17" s="6" t="s">
        <v>391</v>
      </c>
      <c r="B17" s="7" t="s">
        <v>392</v>
      </c>
      <c r="C17" s="8">
        <v>1</v>
      </c>
      <c r="D17" s="9">
        <v>77.989999999999995</v>
      </c>
      <c r="E17" s="8">
        <v>22424</v>
      </c>
      <c r="F17" s="7" t="s">
        <v>25</v>
      </c>
      <c r="G17" s="10" t="s">
        <v>26</v>
      </c>
      <c r="H17" s="7" t="s">
        <v>27</v>
      </c>
      <c r="I17" s="7" t="s">
        <v>393</v>
      </c>
      <c r="J17" s="7"/>
      <c r="K17" s="7"/>
      <c r="L17" s="11" t="str">
        <f>HYPERLINK("http://slimages.macys.com/is/image/MCY/17673755 ")</f>
        <v xml:space="preserve">http://slimages.macys.com/is/image/MCY/17673755 </v>
      </c>
    </row>
    <row r="18" spans="1:12" ht="39.950000000000003" customHeight="1" x14ac:dyDescent="0.25">
      <c r="A18" s="6" t="s">
        <v>394</v>
      </c>
      <c r="B18" s="7" t="s">
        <v>395</v>
      </c>
      <c r="C18" s="8">
        <v>1</v>
      </c>
      <c r="D18" s="9">
        <v>49.99</v>
      </c>
      <c r="E18" s="8" t="s">
        <v>396</v>
      </c>
      <c r="F18" s="7" t="s">
        <v>52</v>
      </c>
      <c r="G18" s="10"/>
      <c r="H18" s="7" t="s">
        <v>36</v>
      </c>
      <c r="I18" s="7" t="s">
        <v>130</v>
      </c>
      <c r="J18" s="7" t="s">
        <v>20</v>
      </c>
      <c r="K18" s="7" t="s">
        <v>44</v>
      </c>
      <c r="L18" s="11" t="str">
        <f>HYPERLINK("http://slimages.macys.com/is/image/MCY/8347198 ")</f>
        <v xml:space="preserve">http://slimages.macys.com/is/image/MCY/8347198 </v>
      </c>
    </row>
    <row r="19" spans="1:12" ht="39.950000000000003" customHeight="1" x14ac:dyDescent="0.25">
      <c r="A19" s="6" t="s">
        <v>397</v>
      </c>
      <c r="B19" s="7" t="s">
        <v>398</v>
      </c>
      <c r="C19" s="8">
        <v>1</v>
      </c>
      <c r="D19" s="9">
        <v>49.99</v>
      </c>
      <c r="E19" s="8">
        <v>22486222</v>
      </c>
      <c r="F19" s="7" t="s">
        <v>34</v>
      </c>
      <c r="G19" s="10"/>
      <c r="H19" s="7" t="s">
        <v>36</v>
      </c>
      <c r="I19" s="7" t="s">
        <v>130</v>
      </c>
      <c r="J19" s="7"/>
      <c r="K19" s="7"/>
      <c r="L19" s="11" t="str">
        <f>HYPERLINK("http://slimages.macys.com/is/image/MCY/17088255 ")</f>
        <v xml:space="preserve">http://slimages.macys.com/is/image/MCY/17088255 </v>
      </c>
    </row>
    <row r="20" spans="1:12" ht="39.950000000000003" customHeight="1" x14ac:dyDescent="0.25">
      <c r="A20" s="6" t="s">
        <v>399</v>
      </c>
      <c r="B20" s="7" t="s">
        <v>400</v>
      </c>
      <c r="C20" s="8">
        <v>1</v>
      </c>
      <c r="D20" s="9">
        <v>46.99</v>
      </c>
      <c r="E20" s="8">
        <v>602545186548</v>
      </c>
      <c r="F20" s="7" t="s">
        <v>231</v>
      </c>
      <c r="G20" s="10" t="s">
        <v>113</v>
      </c>
      <c r="H20" s="7" t="s">
        <v>73</v>
      </c>
      <c r="I20" s="7" t="s">
        <v>108</v>
      </c>
      <c r="J20" s="7" t="s">
        <v>20</v>
      </c>
      <c r="K20" s="7" t="s">
        <v>87</v>
      </c>
      <c r="L20" s="11" t="str">
        <f>HYPERLINK("http://slimages.macys.com/is/image/MCY/12442728 ")</f>
        <v xml:space="preserve">http://slimages.macys.com/is/image/MCY/12442728 </v>
      </c>
    </row>
    <row r="21" spans="1:12" ht="39.950000000000003" customHeight="1" x14ac:dyDescent="0.25">
      <c r="A21" s="6" t="s">
        <v>401</v>
      </c>
      <c r="B21" s="7" t="s">
        <v>402</v>
      </c>
      <c r="C21" s="8">
        <v>1</v>
      </c>
      <c r="D21" s="9">
        <v>58.99</v>
      </c>
      <c r="E21" s="8" t="s">
        <v>403</v>
      </c>
      <c r="F21" s="7" t="s">
        <v>231</v>
      </c>
      <c r="G21" s="10" t="s">
        <v>404</v>
      </c>
      <c r="H21" s="7" t="s">
        <v>42</v>
      </c>
      <c r="I21" s="7" t="s">
        <v>405</v>
      </c>
      <c r="J21" s="7" t="s">
        <v>20</v>
      </c>
      <c r="K21" s="7" t="s">
        <v>87</v>
      </c>
      <c r="L21" s="11" t="str">
        <f>HYPERLINK("http://slimages.macys.com/is/image/MCY/13477289 ")</f>
        <v xml:space="preserve">http://slimages.macys.com/is/image/MCY/13477289 </v>
      </c>
    </row>
    <row r="22" spans="1:12" ht="39.950000000000003" customHeight="1" x14ac:dyDescent="0.25">
      <c r="A22" s="6" t="s">
        <v>406</v>
      </c>
      <c r="B22" s="7" t="s">
        <v>407</v>
      </c>
      <c r="C22" s="8">
        <v>1</v>
      </c>
      <c r="D22" s="9">
        <v>38.99</v>
      </c>
      <c r="E22" s="8">
        <v>54878</v>
      </c>
      <c r="F22" s="7" t="s">
        <v>25</v>
      </c>
      <c r="G22" s="10"/>
      <c r="H22" s="7" t="s">
        <v>42</v>
      </c>
      <c r="I22" s="7" t="s">
        <v>164</v>
      </c>
      <c r="J22" s="7" t="s">
        <v>20</v>
      </c>
      <c r="K22" s="7" t="s">
        <v>109</v>
      </c>
      <c r="L22" s="11" t="str">
        <f>HYPERLINK("http://slimages.macys.com/is/image/MCY/16426603 ")</f>
        <v xml:space="preserve">http://slimages.macys.com/is/image/MCY/16426603 </v>
      </c>
    </row>
    <row r="23" spans="1:12" ht="39.950000000000003" customHeight="1" x14ac:dyDescent="0.25">
      <c r="A23" s="6" t="s">
        <v>408</v>
      </c>
      <c r="B23" s="7" t="s">
        <v>409</v>
      </c>
      <c r="C23" s="8">
        <v>1</v>
      </c>
      <c r="D23" s="9">
        <v>47.99</v>
      </c>
      <c r="E23" s="8" t="s">
        <v>410</v>
      </c>
      <c r="F23" s="7" t="s">
        <v>411</v>
      </c>
      <c r="G23" s="10" t="s">
        <v>78</v>
      </c>
      <c r="H23" s="7" t="s">
        <v>266</v>
      </c>
      <c r="I23" s="7" t="s">
        <v>412</v>
      </c>
      <c r="J23" s="7" t="s">
        <v>20</v>
      </c>
      <c r="K23" s="7" t="s">
        <v>44</v>
      </c>
      <c r="L23" s="11" t="str">
        <f>HYPERLINK("http://slimages.macys.com/is/image/MCY/9489266 ")</f>
        <v xml:space="preserve">http://slimages.macys.com/is/image/MCY/9489266 </v>
      </c>
    </row>
    <row r="24" spans="1:12" ht="39.950000000000003" customHeight="1" x14ac:dyDescent="0.25">
      <c r="A24" s="6" t="s">
        <v>413</v>
      </c>
      <c r="B24" s="7" t="s">
        <v>414</v>
      </c>
      <c r="C24" s="8">
        <v>1</v>
      </c>
      <c r="D24" s="9">
        <v>29.99</v>
      </c>
      <c r="E24" s="8" t="s">
        <v>415</v>
      </c>
      <c r="F24" s="7" t="s">
        <v>168</v>
      </c>
      <c r="G24" s="10"/>
      <c r="H24" s="7" t="s">
        <v>36</v>
      </c>
      <c r="I24" s="7" t="s">
        <v>130</v>
      </c>
      <c r="J24" s="7" t="s">
        <v>20</v>
      </c>
      <c r="K24" s="7" t="s">
        <v>134</v>
      </c>
      <c r="L24" s="11" t="str">
        <f>HYPERLINK("http://slimages.macys.com/is/image/MCY/9700679 ")</f>
        <v xml:space="preserve">http://slimages.macys.com/is/image/MCY/9700679 </v>
      </c>
    </row>
    <row r="25" spans="1:12" ht="39.950000000000003" customHeight="1" x14ac:dyDescent="0.25">
      <c r="A25" s="6" t="s">
        <v>416</v>
      </c>
      <c r="B25" s="7" t="s">
        <v>417</v>
      </c>
      <c r="C25" s="8">
        <v>1</v>
      </c>
      <c r="D25" s="9">
        <v>26.99</v>
      </c>
      <c r="E25" s="8">
        <v>50523</v>
      </c>
      <c r="F25" s="7" t="s">
        <v>418</v>
      </c>
      <c r="G25" s="10"/>
      <c r="H25" s="7" t="s">
        <v>42</v>
      </c>
      <c r="I25" s="7" t="s">
        <v>164</v>
      </c>
      <c r="J25" s="7" t="s">
        <v>20</v>
      </c>
      <c r="K25" s="7" t="s">
        <v>44</v>
      </c>
      <c r="L25" s="11" t="str">
        <f>HYPERLINK("http://slimages.macys.com/is/image/MCY/14663370 ")</f>
        <v xml:space="preserve">http://slimages.macys.com/is/image/MCY/14663370 </v>
      </c>
    </row>
    <row r="26" spans="1:12" ht="39.950000000000003" customHeight="1" x14ac:dyDescent="0.25">
      <c r="A26" s="6" t="s">
        <v>419</v>
      </c>
      <c r="B26" s="7" t="s">
        <v>420</v>
      </c>
      <c r="C26" s="8">
        <v>1</v>
      </c>
      <c r="D26" s="9">
        <v>29.99</v>
      </c>
      <c r="E26" s="8" t="s">
        <v>421</v>
      </c>
      <c r="F26" s="7"/>
      <c r="G26" s="10"/>
      <c r="H26" s="7" t="s">
        <v>36</v>
      </c>
      <c r="I26" s="7" t="s">
        <v>317</v>
      </c>
      <c r="J26" s="7" t="s">
        <v>20</v>
      </c>
      <c r="K26" s="7" t="s">
        <v>44</v>
      </c>
      <c r="L26" s="11" t="str">
        <f>HYPERLINK("http://slimages.macys.com/is/image/MCY/16685711 ")</f>
        <v xml:space="preserve">http://slimages.macys.com/is/image/MCY/16685711 </v>
      </c>
    </row>
    <row r="27" spans="1:12" ht="39.950000000000003" customHeight="1" x14ac:dyDescent="0.25">
      <c r="A27" s="6" t="s">
        <v>422</v>
      </c>
      <c r="B27" s="7" t="s">
        <v>423</v>
      </c>
      <c r="C27" s="8">
        <v>1</v>
      </c>
      <c r="D27" s="9">
        <v>29.99</v>
      </c>
      <c r="E27" s="8" t="s">
        <v>424</v>
      </c>
      <c r="F27" s="7" t="s">
        <v>163</v>
      </c>
      <c r="G27" s="10" t="s">
        <v>425</v>
      </c>
      <c r="H27" s="7" t="s">
        <v>426</v>
      </c>
      <c r="I27" s="7" t="s">
        <v>427</v>
      </c>
      <c r="J27" s="7" t="s">
        <v>20</v>
      </c>
      <c r="K27" s="7" t="s">
        <v>298</v>
      </c>
      <c r="L27" s="11" t="str">
        <f>HYPERLINK("http://slimages.macys.com/is/image/MCY/9356840 ")</f>
        <v xml:space="preserve">http://slimages.macys.com/is/image/MCY/9356840 </v>
      </c>
    </row>
    <row r="28" spans="1:12" ht="39.950000000000003" customHeight="1" x14ac:dyDescent="0.25">
      <c r="A28" s="6" t="s">
        <v>428</v>
      </c>
      <c r="B28" s="7" t="s">
        <v>429</v>
      </c>
      <c r="C28" s="8">
        <v>1</v>
      </c>
      <c r="D28" s="9">
        <v>24.99</v>
      </c>
      <c r="E28" s="8" t="s">
        <v>430</v>
      </c>
      <c r="F28" s="7" t="s">
        <v>431</v>
      </c>
      <c r="G28" s="10"/>
      <c r="H28" s="7" t="s">
        <v>42</v>
      </c>
      <c r="I28" s="7" t="s">
        <v>43</v>
      </c>
      <c r="J28" s="7" t="s">
        <v>20</v>
      </c>
      <c r="K28" s="7" t="s">
        <v>44</v>
      </c>
      <c r="L28" s="11" t="str">
        <f>HYPERLINK("http://slimages.macys.com/is/image/MCY/15491404 ")</f>
        <v xml:space="preserve">http://slimages.macys.com/is/image/MCY/15491404 </v>
      </c>
    </row>
    <row r="29" spans="1:12" ht="39.950000000000003" customHeight="1" x14ac:dyDescent="0.25">
      <c r="A29" s="6" t="s">
        <v>432</v>
      </c>
      <c r="B29" s="7" t="s">
        <v>433</v>
      </c>
      <c r="C29" s="8">
        <v>2</v>
      </c>
      <c r="D29" s="9">
        <v>31.98</v>
      </c>
      <c r="E29" s="8">
        <v>48052</v>
      </c>
      <c r="F29" s="7" t="s">
        <v>52</v>
      </c>
      <c r="G29" s="10"/>
      <c r="H29" s="7" t="s">
        <v>42</v>
      </c>
      <c r="I29" s="7" t="s">
        <v>164</v>
      </c>
      <c r="J29" s="7" t="s">
        <v>20</v>
      </c>
      <c r="K29" s="7" t="s">
        <v>44</v>
      </c>
      <c r="L29" s="11" t="str">
        <f>HYPERLINK("http://slimages.macys.com/is/image/MCY/10010137 ")</f>
        <v xml:space="preserve">http://slimages.macys.com/is/image/MCY/10010137 </v>
      </c>
    </row>
    <row r="30" spans="1:12" ht="39.950000000000003" customHeight="1" x14ac:dyDescent="0.25">
      <c r="A30" s="6" t="s">
        <v>434</v>
      </c>
      <c r="B30" s="7" t="s">
        <v>435</v>
      </c>
      <c r="C30" s="8">
        <v>1</v>
      </c>
      <c r="D30" s="9">
        <v>16.989999999999998</v>
      </c>
      <c r="E30" s="8" t="s">
        <v>436</v>
      </c>
      <c r="F30" s="7" t="s">
        <v>57</v>
      </c>
      <c r="G30" s="10" t="s">
        <v>187</v>
      </c>
      <c r="H30" s="7" t="s">
        <v>103</v>
      </c>
      <c r="I30" s="7" t="s">
        <v>104</v>
      </c>
      <c r="J30" s="7" t="s">
        <v>20</v>
      </c>
      <c r="K30" s="7" t="s">
        <v>87</v>
      </c>
      <c r="L30" s="11" t="str">
        <f>HYPERLINK("http://slimages.macys.com/is/image/MCY/12737864 ")</f>
        <v xml:space="preserve">http://slimages.macys.com/is/image/MCY/12737864 </v>
      </c>
    </row>
    <row r="31" spans="1:12" ht="39.950000000000003" customHeight="1" x14ac:dyDescent="0.25">
      <c r="A31" s="6" t="s">
        <v>437</v>
      </c>
      <c r="B31" s="7" t="s">
        <v>438</v>
      </c>
      <c r="C31" s="8">
        <v>6</v>
      </c>
      <c r="D31" s="9">
        <v>47.94</v>
      </c>
      <c r="E31" s="8" t="s">
        <v>439</v>
      </c>
      <c r="F31" s="7" t="s">
        <v>440</v>
      </c>
      <c r="G31" s="10" t="s">
        <v>187</v>
      </c>
      <c r="H31" s="7" t="s">
        <v>103</v>
      </c>
      <c r="I31" s="7" t="s">
        <v>191</v>
      </c>
      <c r="J31" s="7" t="s">
        <v>20</v>
      </c>
      <c r="K31" s="7" t="s">
        <v>87</v>
      </c>
      <c r="L31" s="11" t="str">
        <f>HYPERLINK("http://slimages.macys.com/is/image/MCY/12723264 ")</f>
        <v xml:space="preserve">http://slimages.macys.com/is/image/MCY/12723264 </v>
      </c>
    </row>
    <row r="32" spans="1:12" ht="39.950000000000003" customHeight="1" x14ac:dyDescent="0.25">
      <c r="A32" s="6" t="s">
        <v>441</v>
      </c>
      <c r="B32" s="7" t="s">
        <v>442</v>
      </c>
      <c r="C32" s="8">
        <v>1</v>
      </c>
      <c r="D32" s="9">
        <v>149.99</v>
      </c>
      <c r="E32" s="8" t="s">
        <v>443</v>
      </c>
      <c r="F32" s="7" t="s">
        <v>52</v>
      </c>
      <c r="G32" s="10"/>
      <c r="H32" s="7" t="s">
        <v>42</v>
      </c>
      <c r="I32" s="7" t="s">
        <v>361</v>
      </c>
      <c r="J32" s="7"/>
      <c r="K32" s="7"/>
      <c r="L32" s="11"/>
    </row>
    <row r="33" spans="1:12" ht="39.950000000000003" customHeight="1" x14ac:dyDescent="0.25">
      <c r="A33" s="6" t="s">
        <v>444</v>
      </c>
      <c r="B33" s="7" t="s">
        <v>445</v>
      </c>
      <c r="C33" s="8">
        <v>1</v>
      </c>
      <c r="D33" s="9">
        <v>179.99</v>
      </c>
      <c r="E33" s="8" t="s">
        <v>446</v>
      </c>
      <c r="F33" s="7" t="s">
        <v>327</v>
      </c>
      <c r="G33" s="10"/>
      <c r="H33" s="7" t="s">
        <v>225</v>
      </c>
      <c r="I33" s="7" t="s">
        <v>328</v>
      </c>
      <c r="J33" s="7"/>
      <c r="K33" s="7"/>
      <c r="L33" s="11"/>
    </row>
    <row r="34" spans="1:12" ht="39.950000000000003" customHeight="1" x14ac:dyDescent="0.25">
      <c r="A34" s="6" t="s">
        <v>447</v>
      </c>
      <c r="B34" s="7" t="s">
        <v>448</v>
      </c>
      <c r="C34" s="8">
        <v>1</v>
      </c>
      <c r="D34" s="9">
        <v>129.99</v>
      </c>
      <c r="E34" s="8" t="s">
        <v>449</v>
      </c>
      <c r="F34" s="7" t="s">
        <v>231</v>
      </c>
      <c r="G34" s="10"/>
      <c r="H34" s="7" t="s">
        <v>92</v>
      </c>
      <c r="I34" s="7" t="s">
        <v>232</v>
      </c>
      <c r="J34" s="7"/>
      <c r="K34" s="7"/>
      <c r="L34" s="11"/>
    </row>
    <row r="35" spans="1:12" ht="39.950000000000003" customHeight="1" x14ac:dyDescent="0.25">
      <c r="A35" s="6" t="s">
        <v>450</v>
      </c>
      <c r="B35" s="7" t="s">
        <v>451</v>
      </c>
      <c r="C35" s="8">
        <v>1</v>
      </c>
      <c r="D35" s="9">
        <v>138.99</v>
      </c>
      <c r="E35" s="8" t="s">
        <v>452</v>
      </c>
      <c r="F35" s="7" t="s">
        <v>34</v>
      </c>
      <c r="G35" s="10"/>
      <c r="H35" s="7" t="s">
        <v>36</v>
      </c>
      <c r="I35" s="7" t="s">
        <v>453</v>
      </c>
      <c r="J35" s="7"/>
      <c r="K35" s="7"/>
      <c r="L35" s="11"/>
    </row>
    <row r="36" spans="1:12" ht="39.950000000000003" customHeight="1" x14ac:dyDescent="0.25">
      <c r="A36" s="6" t="s">
        <v>454</v>
      </c>
      <c r="B36" s="7" t="s">
        <v>455</v>
      </c>
      <c r="C36" s="8">
        <v>1</v>
      </c>
      <c r="D36" s="9">
        <v>82.99</v>
      </c>
      <c r="E36" s="8" t="s">
        <v>456</v>
      </c>
      <c r="F36" s="7" t="s">
        <v>457</v>
      </c>
      <c r="G36" s="10"/>
      <c r="H36" s="7" t="s">
        <v>36</v>
      </c>
      <c r="I36" s="7" t="s">
        <v>453</v>
      </c>
      <c r="J36" s="7"/>
      <c r="K36" s="7"/>
      <c r="L36" s="11"/>
    </row>
    <row r="37" spans="1:12" ht="39.950000000000003" customHeight="1" x14ac:dyDescent="0.25">
      <c r="A37" s="6"/>
      <c r="B37" s="7"/>
      <c r="C37" s="8"/>
      <c r="D37" s="9"/>
      <c r="E37" s="8"/>
      <c r="F37" s="7"/>
      <c r="G37" s="10"/>
      <c r="H37" s="7"/>
      <c r="I37" s="7"/>
      <c r="J37" s="7"/>
      <c r="K37" s="7"/>
      <c r="L37" s="11"/>
    </row>
    <row r="38" spans="1:12" ht="39.950000000000003" customHeight="1" x14ac:dyDescent="0.25">
      <c r="A38" s="6"/>
      <c r="B38" s="7"/>
      <c r="C38" s="8"/>
      <c r="D38" s="9"/>
      <c r="E38" s="8"/>
      <c r="F38" s="7"/>
      <c r="G38" s="10"/>
      <c r="H38" s="7"/>
      <c r="I38" s="7"/>
      <c r="J38" s="7"/>
      <c r="K38" s="7"/>
      <c r="L38" s="11"/>
    </row>
    <row r="39" spans="1:12" ht="39.950000000000003" customHeight="1" x14ac:dyDescent="0.25">
      <c r="A39" s="6"/>
      <c r="B39" s="7"/>
      <c r="C39" s="8"/>
      <c r="D39" s="9"/>
      <c r="E39" s="8"/>
      <c r="F39" s="7"/>
      <c r="G39" s="10"/>
      <c r="H39" s="7"/>
      <c r="I39" s="7"/>
      <c r="J39" s="7"/>
      <c r="K39" s="7"/>
      <c r="L39" s="11"/>
    </row>
    <row r="40" spans="1:12" ht="39.950000000000003" customHeight="1" x14ac:dyDescent="0.25">
      <c r="A40" s="6"/>
      <c r="B40" s="7"/>
      <c r="C40" s="8"/>
      <c r="D40" s="9"/>
      <c r="E40" s="8"/>
      <c r="F40" s="7"/>
      <c r="G40" s="10"/>
      <c r="H40" s="7"/>
      <c r="I40" s="7"/>
      <c r="J40" s="7"/>
      <c r="K40" s="7"/>
      <c r="L40" s="11"/>
    </row>
    <row r="41" spans="1:12" ht="39.950000000000003" customHeight="1" x14ac:dyDescent="0.25">
      <c r="A41" s="6"/>
      <c r="B41" s="7"/>
      <c r="C41" s="8"/>
      <c r="D41" s="9"/>
      <c r="E41" s="8"/>
      <c r="F41" s="7"/>
      <c r="G41" s="10"/>
      <c r="H41" s="7"/>
      <c r="I41" s="7"/>
      <c r="J41" s="7"/>
      <c r="K41" s="7"/>
      <c r="L41" s="11"/>
    </row>
    <row r="42" spans="1:12" ht="39.950000000000003" customHeight="1" x14ac:dyDescent="0.25">
      <c r="A42" s="6"/>
      <c r="B42" s="7"/>
      <c r="C42" s="8"/>
      <c r="D42" s="9"/>
      <c r="E42" s="8"/>
      <c r="F42" s="7"/>
      <c r="G42" s="10"/>
      <c r="H42" s="7"/>
      <c r="I42" s="7"/>
      <c r="J42" s="7"/>
      <c r="K42" s="7"/>
      <c r="L42" s="11"/>
    </row>
    <row r="43" spans="1:12" ht="39.950000000000003" customHeight="1" x14ac:dyDescent="0.25">
      <c r="A43" s="6"/>
      <c r="B43" s="7"/>
      <c r="C43" s="8"/>
      <c r="D43" s="9"/>
      <c r="E43" s="8"/>
      <c r="F43" s="7"/>
      <c r="G43" s="10"/>
      <c r="H43" s="7"/>
      <c r="I43" s="7"/>
      <c r="J43" s="7"/>
      <c r="K43" s="7"/>
      <c r="L43" s="11"/>
    </row>
    <row r="44" spans="1:12" ht="39.950000000000003" customHeight="1" x14ac:dyDescent="0.25">
      <c r="A44" s="6"/>
      <c r="B44" s="7"/>
      <c r="C44" s="8"/>
      <c r="D44" s="9"/>
      <c r="E44" s="8"/>
      <c r="F44" s="7"/>
      <c r="G44" s="10"/>
      <c r="H44" s="7"/>
      <c r="I44" s="7"/>
      <c r="J44" s="7"/>
      <c r="K44" s="7"/>
      <c r="L44" s="11"/>
    </row>
    <row r="45" spans="1:12" ht="39.950000000000003" customHeight="1" x14ac:dyDescent="0.25">
      <c r="A45" s="6"/>
      <c r="B45" s="7"/>
      <c r="C45" s="8"/>
      <c r="D45" s="9"/>
      <c r="E45" s="8"/>
      <c r="F45" s="7"/>
      <c r="G45" s="10"/>
      <c r="H45" s="7"/>
      <c r="I45" s="7"/>
      <c r="J45" s="7"/>
      <c r="K45" s="7"/>
      <c r="L45" s="11"/>
    </row>
    <row r="46" spans="1:12" ht="39.950000000000003" customHeight="1" x14ac:dyDescent="0.25">
      <c r="A46" s="6"/>
      <c r="B46" s="7"/>
      <c r="C46" s="8"/>
      <c r="D46" s="9"/>
      <c r="E46" s="8"/>
      <c r="F46" s="7"/>
      <c r="G46" s="10"/>
      <c r="H46" s="7"/>
      <c r="I46" s="7"/>
      <c r="J46" s="7"/>
      <c r="K46" s="7"/>
      <c r="L46" s="11"/>
    </row>
    <row r="47" spans="1:12" ht="39.950000000000003" customHeight="1" x14ac:dyDescent="0.25">
      <c r="A47" s="6"/>
      <c r="B47" s="7"/>
      <c r="C47" s="8"/>
      <c r="D47" s="9"/>
      <c r="E47" s="8"/>
      <c r="F47" s="7"/>
      <c r="G47" s="10"/>
      <c r="H47" s="7"/>
      <c r="I47" s="7"/>
      <c r="J47" s="7"/>
      <c r="K47" s="7"/>
      <c r="L47" s="11"/>
    </row>
    <row r="48" spans="1:12" ht="39.950000000000003" customHeight="1" x14ac:dyDescent="0.25">
      <c r="A48" s="6"/>
      <c r="B48" s="7"/>
      <c r="C48" s="8"/>
      <c r="D48" s="9"/>
      <c r="E48" s="8"/>
      <c r="F48" s="7"/>
      <c r="G48" s="10"/>
      <c r="H48" s="7"/>
      <c r="I48" s="7"/>
      <c r="J48" s="7"/>
      <c r="K48" s="7"/>
      <c r="L48" s="11"/>
    </row>
    <row r="49" spans="1:12" ht="39.950000000000003" customHeight="1" x14ac:dyDescent="0.25">
      <c r="A49" s="6"/>
      <c r="B49" s="7"/>
      <c r="C49" s="8"/>
      <c r="D49" s="9"/>
      <c r="E49" s="8"/>
      <c r="F49" s="7"/>
      <c r="G49" s="10"/>
      <c r="H49" s="7"/>
      <c r="I49" s="7"/>
      <c r="J49" s="7"/>
      <c r="K49" s="7"/>
      <c r="L49" s="11"/>
    </row>
    <row r="50" spans="1:12" ht="39.950000000000003" customHeight="1" x14ac:dyDescent="0.25">
      <c r="A50" s="6"/>
      <c r="B50" s="7"/>
      <c r="C50" s="8"/>
      <c r="D50" s="9"/>
      <c r="E50" s="8"/>
      <c r="F50" s="7"/>
      <c r="G50" s="10"/>
      <c r="H50" s="7"/>
      <c r="I50" s="7"/>
      <c r="J50" s="7"/>
      <c r="K50" s="7"/>
      <c r="L50" s="11"/>
    </row>
    <row r="51" spans="1:12" ht="39.950000000000003" customHeight="1" x14ac:dyDescent="0.25">
      <c r="A51" s="6"/>
      <c r="B51" s="7"/>
      <c r="C51" s="8"/>
      <c r="D51" s="9"/>
      <c r="E51" s="8"/>
      <c r="F51" s="7"/>
      <c r="G51" s="10"/>
      <c r="H51" s="7"/>
      <c r="I51" s="7"/>
      <c r="J51" s="7"/>
      <c r="K51" s="7"/>
      <c r="L51" s="1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DDB7D-7516-4AD8-807A-05B4FD764F3E}">
  <dimension ref="A1:L57"/>
  <sheetViews>
    <sheetView workbookViewId="0"/>
  </sheetViews>
  <sheetFormatPr defaultRowHeight="39.950000000000003" customHeight="1" x14ac:dyDescent="0.25"/>
  <cols>
    <col min="1" max="1" width="14.28515625" customWidth="1"/>
    <col min="2" max="2" width="22.28515625" customWidth="1"/>
    <col min="3" max="3" width="15" customWidth="1"/>
    <col min="4" max="4" width="10.28515625" customWidth="1"/>
    <col min="5" max="5" width="17.140625" customWidth="1"/>
    <col min="6" max="6" width="11.42578125" customWidth="1"/>
    <col min="7" max="7" width="10.85546875" customWidth="1"/>
    <col min="8" max="8" width="12.140625" customWidth="1"/>
    <col min="9" max="9" width="36.5703125" bestFit="1" customWidth="1"/>
    <col min="10" max="11" width="20.7109375" customWidth="1"/>
    <col min="12" max="12" width="64.28515625" customWidth="1"/>
  </cols>
  <sheetData>
    <row r="1" spans="1:12" ht="39.950000000000003" customHeight="1" x14ac:dyDescent="0.25">
      <c r="A1" s="5" t="s">
        <v>2</v>
      </c>
      <c r="B1" s="5" t="s">
        <v>3</v>
      </c>
      <c r="C1" s="5" t="s">
        <v>4</v>
      </c>
      <c r="D1" s="5" t="s">
        <v>5</v>
      </c>
      <c r="E1" s="5" t="s">
        <v>6</v>
      </c>
      <c r="F1" s="5" t="s">
        <v>7</v>
      </c>
      <c r="G1" s="5" t="s">
        <v>8</v>
      </c>
      <c r="H1" s="5" t="s">
        <v>9</v>
      </c>
      <c r="I1" s="5" t="s">
        <v>10</v>
      </c>
      <c r="J1" s="5" t="s">
        <v>11</v>
      </c>
      <c r="K1" s="5" t="s">
        <v>12</v>
      </c>
      <c r="L1" s="5" t="s">
        <v>13</v>
      </c>
    </row>
    <row r="2" spans="1:12" ht="39.950000000000003" customHeight="1" x14ac:dyDescent="0.25">
      <c r="A2" s="6" t="s">
        <v>458</v>
      </c>
      <c r="B2" s="7" t="s">
        <v>459</v>
      </c>
      <c r="C2" s="8">
        <v>1</v>
      </c>
      <c r="D2" s="9">
        <v>229.99</v>
      </c>
      <c r="E2" s="8" t="s">
        <v>460</v>
      </c>
      <c r="F2" s="7"/>
      <c r="G2" s="10"/>
      <c r="H2" s="7" t="s">
        <v>92</v>
      </c>
      <c r="I2" s="7" t="s">
        <v>461</v>
      </c>
      <c r="J2" s="7" t="s">
        <v>20</v>
      </c>
      <c r="K2" s="7" t="s">
        <v>44</v>
      </c>
      <c r="L2" s="11" t="str">
        <f>HYPERLINK("http://slimages.macys.com/is/image/MCY/16592638 ")</f>
        <v xml:space="preserve">http://slimages.macys.com/is/image/MCY/16592638 </v>
      </c>
    </row>
    <row r="3" spans="1:12" ht="39.950000000000003" customHeight="1" x14ac:dyDescent="0.25">
      <c r="A3" s="6" t="s">
        <v>462</v>
      </c>
      <c r="B3" s="7" t="s">
        <v>463</v>
      </c>
      <c r="C3" s="8">
        <v>1</v>
      </c>
      <c r="D3" s="9">
        <v>249.99</v>
      </c>
      <c r="E3" s="8" t="s">
        <v>464</v>
      </c>
      <c r="F3" s="7" t="s">
        <v>57</v>
      </c>
      <c r="G3" s="10"/>
      <c r="H3" s="7" t="s">
        <v>92</v>
      </c>
      <c r="I3" s="7" t="s">
        <v>219</v>
      </c>
      <c r="J3" s="7"/>
      <c r="K3" s="7"/>
      <c r="L3" s="11" t="str">
        <f>HYPERLINK("http://slimages.macys.com/is/image/MCY/17143433 ")</f>
        <v xml:space="preserve">http://slimages.macys.com/is/image/MCY/17143433 </v>
      </c>
    </row>
    <row r="4" spans="1:12" ht="39.950000000000003" customHeight="1" x14ac:dyDescent="0.25">
      <c r="A4" s="6" t="s">
        <v>465</v>
      </c>
      <c r="B4" s="7" t="s">
        <v>466</v>
      </c>
      <c r="C4" s="8">
        <v>1</v>
      </c>
      <c r="D4" s="9">
        <v>129.99</v>
      </c>
      <c r="E4" s="8" t="s">
        <v>467</v>
      </c>
      <c r="F4" s="7" t="s">
        <v>468</v>
      </c>
      <c r="G4" s="10"/>
      <c r="H4" s="7" t="s">
        <v>242</v>
      </c>
      <c r="I4" s="7" t="s">
        <v>469</v>
      </c>
      <c r="J4" s="7" t="s">
        <v>20</v>
      </c>
      <c r="K4" s="7" t="s">
        <v>109</v>
      </c>
      <c r="L4" s="11" t="str">
        <f>HYPERLINK("http://slimages.macys.com/is/image/MCY/15909788 ")</f>
        <v xml:space="preserve">http://slimages.macys.com/is/image/MCY/15909788 </v>
      </c>
    </row>
    <row r="5" spans="1:12" ht="39.950000000000003" customHeight="1" x14ac:dyDescent="0.25">
      <c r="A5" s="6" t="s">
        <v>470</v>
      </c>
      <c r="B5" s="7" t="s">
        <v>471</v>
      </c>
      <c r="C5" s="8">
        <v>1</v>
      </c>
      <c r="D5" s="9">
        <v>129.99</v>
      </c>
      <c r="E5" s="8" t="s">
        <v>472</v>
      </c>
      <c r="F5" s="7" t="s">
        <v>473</v>
      </c>
      <c r="G5" s="10"/>
      <c r="H5" s="7" t="s">
        <v>92</v>
      </c>
      <c r="I5" s="7" t="s">
        <v>232</v>
      </c>
      <c r="J5" s="7" t="s">
        <v>20</v>
      </c>
      <c r="K5" s="7" t="s">
        <v>233</v>
      </c>
      <c r="L5" s="11" t="str">
        <f>HYPERLINK("http://slimages.macys.com/is/image/MCY/16248034 ")</f>
        <v xml:space="preserve">http://slimages.macys.com/is/image/MCY/16248034 </v>
      </c>
    </row>
    <row r="6" spans="1:12" ht="39.950000000000003" customHeight="1" x14ac:dyDescent="0.25">
      <c r="A6" s="6" t="s">
        <v>474</v>
      </c>
      <c r="B6" s="7" t="s">
        <v>475</v>
      </c>
      <c r="C6" s="8">
        <v>1</v>
      </c>
      <c r="D6" s="9">
        <v>149.99</v>
      </c>
      <c r="E6" s="8" t="s">
        <v>476</v>
      </c>
      <c r="F6" s="7" t="s">
        <v>457</v>
      </c>
      <c r="G6" s="10"/>
      <c r="H6" s="7" t="s">
        <v>36</v>
      </c>
      <c r="I6" s="7" t="s">
        <v>63</v>
      </c>
      <c r="J6" s="7" t="s">
        <v>20</v>
      </c>
      <c r="K6" s="7" t="s">
        <v>477</v>
      </c>
      <c r="L6" s="11" t="str">
        <f>HYPERLINK("http://slimages.macys.com/is/image/MCY/9627753 ")</f>
        <v xml:space="preserve">http://slimages.macys.com/is/image/MCY/9627753 </v>
      </c>
    </row>
    <row r="7" spans="1:12" ht="39.950000000000003" customHeight="1" x14ac:dyDescent="0.25">
      <c r="A7" s="6" t="s">
        <v>478</v>
      </c>
      <c r="B7" s="7" t="s">
        <v>479</v>
      </c>
      <c r="C7" s="8">
        <v>1</v>
      </c>
      <c r="D7" s="9">
        <v>119.99</v>
      </c>
      <c r="E7" s="8" t="s">
        <v>480</v>
      </c>
      <c r="F7" s="7" t="s">
        <v>34</v>
      </c>
      <c r="G7" s="10"/>
      <c r="H7" s="7" t="s">
        <v>42</v>
      </c>
      <c r="I7" s="7" t="s">
        <v>53</v>
      </c>
      <c r="J7" s="7" t="s">
        <v>20</v>
      </c>
      <c r="K7" s="7"/>
      <c r="L7" s="11" t="str">
        <f>HYPERLINK("http://slimages.macys.com/is/image/MCY/8349588 ")</f>
        <v xml:space="preserve">http://slimages.macys.com/is/image/MCY/8349588 </v>
      </c>
    </row>
    <row r="8" spans="1:12" ht="39.950000000000003" customHeight="1" x14ac:dyDescent="0.25">
      <c r="A8" s="6" t="s">
        <v>481</v>
      </c>
      <c r="B8" s="7" t="s">
        <v>482</v>
      </c>
      <c r="C8" s="8">
        <v>1</v>
      </c>
      <c r="D8" s="9">
        <v>110.99</v>
      </c>
      <c r="E8" s="8" t="s">
        <v>483</v>
      </c>
      <c r="F8" s="7" t="s">
        <v>25</v>
      </c>
      <c r="G8" s="10"/>
      <c r="H8" s="7" t="s">
        <v>42</v>
      </c>
      <c r="I8" s="7" t="s">
        <v>63</v>
      </c>
      <c r="J8" s="7" t="s">
        <v>20</v>
      </c>
      <c r="K8" s="7" t="s">
        <v>484</v>
      </c>
      <c r="L8" s="11" t="str">
        <f>HYPERLINK("http://slimages.macys.com/is/image/MCY/12290540 ")</f>
        <v xml:space="preserve">http://slimages.macys.com/is/image/MCY/12290540 </v>
      </c>
    </row>
    <row r="9" spans="1:12" ht="39.950000000000003" customHeight="1" x14ac:dyDescent="0.25">
      <c r="A9" s="6" t="s">
        <v>485</v>
      </c>
      <c r="B9" s="7" t="s">
        <v>486</v>
      </c>
      <c r="C9" s="8">
        <v>1</v>
      </c>
      <c r="D9" s="9">
        <v>109.99</v>
      </c>
      <c r="E9" s="8" t="s">
        <v>487</v>
      </c>
      <c r="F9" s="7" t="s">
        <v>163</v>
      </c>
      <c r="G9" s="10"/>
      <c r="H9" s="7" t="s">
        <v>98</v>
      </c>
      <c r="I9" s="7" t="s">
        <v>99</v>
      </c>
      <c r="J9" s="7" t="s">
        <v>20</v>
      </c>
      <c r="K9" s="7"/>
      <c r="L9" s="11" t="str">
        <f>HYPERLINK("http://slimages.macys.com/is/image/MCY/11534834 ")</f>
        <v xml:space="preserve">http://slimages.macys.com/is/image/MCY/11534834 </v>
      </c>
    </row>
    <row r="10" spans="1:12" ht="39.950000000000003" customHeight="1" x14ac:dyDescent="0.25">
      <c r="A10" s="6" t="s">
        <v>488</v>
      </c>
      <c r="B10" s="7" t="s">
        <v>489</v>
      </c>
      <c r="C10" s="8">
        <v>1</v>
      </c>
      <c r="D10" s="9">
        <v>134.99</v>
      </c>
      <c r="E10" s="8" t="s">
        <v>490</v>
      </c>
      <c r="F10" s="7" t="s">
        <v>195</v>
      </c>
      <c r="G10" s="10" t="s">
        <v>305</v>
      </c>
      <c r="H10" s="7" t="s">
        <v>42</v>
      </c>
      <c r="I10" s="7" t="s">
        <v>376</v>
      </c>
      <c r="J10" s="7" t="s">
        <v>20</v>
      </c>
      <c r="K10" s="7" t="s">
        <v>491</v>
      </c>
      <c r="L10" s="11" t="str">
        <f>HYPERLINK("http://slimages.macys.com/is/image/MCY/15527445 ")</f>
        <v xml:space="preserve">http://slimages.macys.com/is/image/MCY/15527445 </v>
      </c>
    </row>
    <row r="11" spans="1:12" ht="39.950000000000003" customHeight="1" x14ac:dyDescent="0.25">
      <c r="A11" s="6" t="s">
        <v>492</v>
      </c>
      <c r="B11" s="7" t="s">
        <v>493</v>
      </c>
      <c r="C11" s="8">
        <v>2</v>
      </c>
      <c r="D11" s="9">
        <v>179.98</v>
      </c>
      <c r="E11" s="8" t="s">
        <v>494</v>
      </c>
      <c r="F11" s="7" t="s">
        <v>231</v>
      </c>
      <c r="G11" s="10"/>
      <c r="H11" s="7" t="s">
        <v>242</v>
      </c>
      <c r="I11" s="7" t="s">
        <v>495</v>
      </c>
      <c r="J11" s="7" t="s">
        <v>20</v>
      </c>
      <c r="K11" s="7" t="s">
        <v>87</v>
      </c>
      <c r="L11" s="11" t="str">
        <f>HYPERLINK("http://slimages.macys.com/is/image/MCY/10312699 ")</f>
        <v xml:space="preserve">http://slimages.macys.com/is/image/MCY/10312699 </v>
      </c>
    </row>
    <row r="12" spans="1:12" ht="39.950000000000003" customHeight="1" x14ac:dyDescent="0.25">
      <c r="A12" s="6" t="s">
        <v>496</v>
      </c>
      <c r="B12" s="7" t="s">
        <v>497</v>
      </c>
      <c r="C12" s="8">
        <v>1</v>
      </c>
      <c r="D12" s="9">
        <v>99.99</v>
      </c>
      <c r="E12" s="8">
        <v>82274</v>
      </c>
      <c r="F12" s="7" t="s">
        <v>498</v>
      </c>
      <c r="G12" s="10"/>
      <c r="H12" s="7" t="s">
        <v>36</v>
      </c>
      <c r="I12" s="7" t="s">
        <v>499</v>
      </c>
      <c r="J12" s="7"/>
      <c r="K12" s="7"/>
      <c r="L12" s="11" t="str">
        <f>HYPERLINK("http://slimages.macys.com/is/image/MCY/17866955 ")</f>
        <v xml:space="preserve">http://slimages.macys.com/is/image/MCY/17866955 </v>
      </c>
    </row>
    <row r="13" spans="1:12" ht="39.950000000000003" customHeight="1" x14ac:dyDescent="0.25">
      <c r="A13" s="6" t="s">
        <v>500</v>
      </c>
      <c r="B13" s="7" t="s">
        <v>501</v>
      </c>
      <c r="C13" s="8">
        <v>1</v>
      </c>
      <c r="D13" s="9">
        <v>79.989999999999995</v>
      </c>
      <c r="E13" s="8" t="s">
        <v>502</v>
      </c>
      <c r="F13" s="7" t="s">
        <v>503</v>
      </c>
      <c r="G13" s="10"/>
      <c r="H13" s="7" t="s">
        <v>42</v>
      </c>
      <c r="I13" s="7" t="s">
        <v>147</v>
      </c>
      <c r="J13" s="7" t="s">
        <v>20</v>
      </c>
      <c r="K13" s="7" t="s">
        <v>44</v>
      </c>
      <c r="L13" s="11" t="str">
        <f>HYPERLINK("http://slimages.macys.com/is/image/MCY/8799838 ")</f>
        <v xml:space="preserve">http://slimages.macys.com/is/image/MCY/8799838 </v>
      </c>
    </row>
    <row r="14" spans="1:12" ht="39.950000000000003" customHeight="1" x14ac:dyDescent="0.25">
      <c r="A14" s="6" t="s">
        <v>504</v>
      </c>
      <c r="B14" s="7" t="s">
        <v>505</v>
      </c>
      <c r="C14" s="8">
        <v>1</v>
      </c>
      <c r="D14" s="9">
        <v>34.99</v>
      </c>
      <c r="E14" s="8">
        <v>4401</v>
      </c>
      <c r="F14" s="7" t="s">
        <v>25</v>
      </c>
      <c r="G14" s="10" t="s">
        <v>35</v>
      </c>
      <c r="H14" s="7" t="s">
        <v>79</v>
      </c>
      <c r="I14" s="7" t="s">
        <v>80</v>
      </c>
      <c r="J14" s="7" t="s">
        <v>20</v>
      </c>
      <c r="K14" s="7"/>
      <c r="L14" s="11" t="str">
        <f>HYPERLINK("http://slimages.macys.com/is/image/MCY/9873929 ")</f>
        <v xml:space="preserve">http://slimages.macys.com/is/image/MCY/9873929 </v>
      </c>
    </row>
    <row r="15" spans="1:12" ht="39.950000000000003" customHeight="1" x14ac:dyDescent="0.25">
      <c r="A15" s="6" t="s">
        <v>506</v>
      </c>
      <c r="B15" s="7" t="s">
        <v>507</v>
      </c>
      <c r="C15" s="8">
        <v>1</v>
      </c>
      <c r="D15" s="9">
        <v>51.99</v>
      </c>
      <c r="E15" s="8" t="s">
        <v>508</v>
      </c>
      <c r="F15" s="7" t="s">
        <v>25</v>
      </c>
      <c r="G15" s="10"/>
      <c r="H15" s="7" t="s">
        <v>79</v>
      </c>
      <c r="I15" s="7" t="s">
        <v>28</v>
      </c>
      <c r="J15" s="7" t="s">
        <v>20</v>
      </c>
      <c r="K15" s="7" t="s">
        <v>509</v>
      </c>
      <c r="L15" s="11" t="str">
        <f>HYPERLINK("http://slimages.macys.com/is/image/MCY/11798554 ")</f>
        <v xml:space="preserve">http://slimages.macys.com/is/image/MCY/11798554 </v>
      </c>
    </row>
    <row r="16" spans="1:12" ht="39.950000000000003" customHeight="1" x14ac:dyDescent="0.25">
      <c r="A16" s="6" t="s">
        <v>510</v>
      </c>
      <c r="B16" s="7" t="s">
        <v>511</v>
      </c>
      <c r="C16" s="8">
        <v>1</v>
      </c>
      <c r="D16" s="9">
        <v>24.99</v>
      </c>
      <c r="E16" s="8" t="s">
        <v>512</v>
      </c>
      <c r="F16" s="7" t="s">
        <v>513</v>
      </c>
      <c r="G16" s="10"/>
      <c r="H16" s="7" t="s">
        <v>18</v>
      </c>
      <c r="I16" s="7" t="s">
        <v>514</v>
      </c>
      <c r="J16" s="7" t="s">
        <v>20</v>
      </c>
      <c r="K16" s="7" t="s">
        <v>515</v>
      </c>
      <c r="L16" s="11" t="str">
        <f>HYPERLINK("http://slimages.macys.com/is/image/MCY/13742796 ")</f>
        <v xml:space="preserve">http://slimages.macys.com/is/image/MCY/13742796 </v>
      </c>
    </row>
    <row r="17" spans="1:12" ht="39.950000000000003" customHeight="1" x14ac:dyDescent="0.25">
      <c r="A17" s="6" t="s">
        <v>516</v>
      </c>
      <c r="B17" s="7" t="s">
        <v>517</v>
      </c>
      <c r="C17" s="8">
        <v>1</v>
      </c>
      <c r="D17" s="9">
        <v>24.99</v>
      </c>
      <c r="E17" s="8" t="s">
        <v>518</v>
      </c>
      <c r="F17" s="7" t="s">
        <v>209</v>
      </c>
      <c r="G17" s="10" t="s">
        <v>26</v>
      </c>
      <c r="H17" s="7" t="s">
        <v>519</v>
      </c>
      <c r="I17" s="7" t="s">
        <v>520</v>
      </c>
      <c r="J17" s="7" t="s">
        <v>521</v>
      </c>
      <c r="K17" s="7"/>
      <c r="L17" s="11" t="str">
        <f>HYPERLINK("http://slimages.macys.com/is/image/MCY/8575742 ")</f>
        <v xml:space="preserve">http://slimages.macys.com/is/image/MCY/8575742 </v>
      </c>
    </row>
    <row r="18" spans="1:12" ht="39.950000000000003" customHeight="1" x14ac:dyDescent="0.25">
      <c r="A18" s="6" t="s">
        <v>522</v>
      </c>
      <c r="B18" s="7" t="s">
        <v>523</v>
      </c>
      <c r="C18" s="8">
        <v>1</v>
      </c>
      <c r="D18" s="9">
        <v>28.99</v>
      </c>
      <c r="E18" s="8" t="s">
        <v>524</v>
      </c>
      <c r="F18" s="7" t="s">
        <v>176</v>
      </c>
      <c r="G18" s="10"/>
      <c r="H18" s="7" t="s">
        <v>42</v>
      </c>
      <c r="I18" s="7" t="s">
        <v>525</v>
      </c>
      <c r="J18" s="7" t="s">
        <v>20</v>
      </c>
      <c r="K18" s="7" t="s">
        <v>127</v>
      </c>
      <c r="L18" s="11" t="str">
        <f>HYPERLINK("http://slimages.macys.com/is/image/MCY/11685967 ")</f>
        <v xml:space="preserve">http://slimages.macys.com/is/image/MCY/11685967 </v>
      </c>
    </row>
    <row r="19" spans="1:12" ht="39.950000000000003" customHeight="1" x14ac:dyDescent="0.25">
      <c r="A19" s="6" t="s">
        <v>526</v>
      </c>
      <c r="B19" s="7" t="s">
        <v>527</v>
      </c>
      <c r="C19" s="8">
        <v>1</v>
      </c>
      <c r="D19" s="9">
        <v>3.99</v>
      </c>
      <c r="E19" s="8" t="s">
        <v>528</v>
      </c>
      <c r="F19" s="7" t="s">
        <v>163</v>
      </c>
      <c r="G19" s="10"/>
      <c r="H19" s="7" t="s">
        <v>366</v>
      </c>
      <c r="I19" s="7" t="s">
        <v>529</v>
      </c>
      <c r="J19" s="7"/>
      <c r="K19" s="7"/>
      <c r="L19" s="11" t="str">
        <f>HYPERLINK("http://slimages.macys.com/is/image/MCY/18576099 ")</f>
        <v xml:space="preserve">http://slimages.macys.com/is/image/MCY/18576099 </v>
      </c>
    </row>
    <row r="20" spans="1:12" ht="39.950000000000003" customHeight="1" x14ac:dyDescent="0.25">
      <c r="A20" s="6" t="s">
        <v>530</v>
      </c>
      <c r="B20" s="7" t="s">
        <v>531</v>
      </c>
      <c r="C20" s="8">
        <v>1</v>
      </c>
      <c r="D20" s="9">
        <v>5.99</v>
      </c>
      <c r="E20" s="8" t="s">
        <v>532</v>
      </c>
      <c r="F20" s="7" t="s">
        <v>344</v>
      </c>
      <c r="G20" s="10" t="s">
        <v>206</v>
      </c>
      <c r="H20" s="7" t="s">
        <v>103</v>
      </c>
      <c r="I20" s="7" t="s">
        <v>191</v>
      </c>
      <c r="J20" s="7" t="s">
        <v>20</v>
      </c>
      <c r="K20" s="7" t="s">
        <v>87</v>
      </c>
      <c r="L20" s="11" t="str">
        <f>HYPERLINK("http://slimages.macys.com/is/image/MCY/12723169 ")</f>
        <v xml:space="preserve">http://slimages.macys.com/is/image/MCY/12723169 </v>
      </c>
    </row>
    <row r="21" spans="1:12" ht="39.950000000000003" customHeight="1" x14ac:dyDescent="0.25">
      <c r="A21" s="6" t="s">
        <v>533</v>
      </c>
      <c r="B21" s="7" t="s">
        <v>534</v>
      </c>
      <c r="C21" s="8">
        <v>1</v>
      </c>
      <c r="D21" s="9">
        <v>2.99</v>
      </c>
      <c r="E21" s="8" t="s">
        <v>535</v>
      </c>
      <c r="F21" s="7" t="s">
        <v>536</v>
      </c>
      <c r="G21" s="10"/>
      <c r="H21" s="7" t="s">
        <v>366</v>
      </c>
      <c r="I21" s="7" t="s">
        <v>529</v>
      </c>
      <c r="J21" s="7"/>
      <c r="K21" s="7"/>
      <c r="L21" s="11" t="str">
        <f>HYPERLINK("http://slimages.macys.com/is/image/MCY/18576167 ")</f>
        <v xml:space="preserve">http://slimages.macys.com/is/image/MCY/18576167 </v>
      </c>
    </row>
    <row r="22" spans="1:12" ht="39.950000000000003" customHeight="1" x14ac:dyDescent="0.25">
      <c r="A22" s="6" t="s">
        <v>537</v>
      </c>
      <c r="B22" s="7" t="s">
        <v>538</v>
      </c>
      <c r="C22" s="8">
        <v>1</v>
      </c>
      <c r="D22" s="9">
        <v>328</v>
      </c>
      <c r="E22" s="8">
        <v>435</v>
      </c>
      <c r="F22" s="7" t="s">
        <v>440</v>
      </c>
      <c r="G22" s="10"/>
      <c r="H22" s="7" t="s">
        <v>225</v>
      </c>
      <c r="I22" s="7" t="s">
        <v>539</v>
      </c>
      <c r="J22" s="7"/>
      <c r="K22" s="7"/>
      <c r="L22" s="11"/>
    </row>
    <row r="23" spans="1:12" ht="39.950000000000003" customHeight="1" x14ac:dyDescent="0.25">
      <c r="A23" s="6" t="s">
        <v>444</v>
      </c>
      <c r="B23" s="7" t="s">
        <v>445</v>
      </c>
      <c r="C23" s="8">
        <v>1</v>
      </c>
      <c r="D23" s="9">
        <v>179.99</v>
      </c>
      <c r="E23" s="8" t="s">
        <v>446</v>
      </c>
      <c r="F23" s="7" t="s">
        <v>327</v>
      </c>
      <c r="G23" s="10"/>
      <c r="H23" s="7" t="s">
        <v>225</v>
      </c>
      <c r="I23" s="7" t="s">
        <v>328</v>
      </c>
      <c r="J23" s="7"/>
      <c r="K23" s="7"/>
      <c r="L23" s="11"/>
    </row>
    <row r="24" spans="1:12" ht="39.950000000000003" customHeight="1" x14ac:dyDescent="0.25">
      <c r="A24" s="6" t="s">
        <v>540</v>
      </c>
      <c r="B24" s="7" t="s">
        <v>541</v>
      </c>
      <c r="C24" s="8">
        <v>1</v>
      </c>
      <c r="D24" s="9">
        <v>109.99</v>
      </c>
      <c r="E24" s="8" t="s">
        <v>542</v>
      </c>
      <c r="F24" s="7"/>
      <c r="G24" s="10"/>
      <c r="H24" s="7" t="s">
        <v>36</v>
      </c>
      <c r="I24" s="7" t="s">
        <v>63</v>
      </c>
      <c r="J24" s="7"/>
      <c r="K24" s="7"/>
      <c r="L24" s="11"/>
    </row>
    <row r="25" spans="1:12" ht="39.950000000000003" customHeight="1" x14ac:dyDescent="0.25">
      <c r="A25" s="6" t="s">
        <v>207</v>
      </c>
      <c r="B25" s="7" t="s">
        <v>208</v>
      </c>
      <c r="C25" s="8">
        <v>1</v>
      </c>
      <c r="D25" s="9">
        <v>40</v>
      </c>
      <c r="E25" s="8"/>
      <c r="F25" s="7" t="s">
        <v>209</v>
      </c>
      <c r="G25" s="10" t="s">
        <v>113</v>
      </c>
      <c r="H25" s="7" t="s">
        <v>210</v>
      </c>
      <c r="I25" s="7" t="s">
        <v>211</v>
      </c>
      <c r="J25" s="7"/>
      <c r="K25" s="7"/>
      <c r="L25" s="11"/>
    </row>
    <row r="26" spans="1:12" ht="39.950000000000003" customHeight="1" x14ac:dyDescent="0.25">
      <c r="A26" s="6" t="s">
        <v>543</v>
      </c>
      <c r="B26" s="7" t="s">
        <v>544</v>
      </c>
      <c r="C26" s="8">
        <v>1</v>
      </c>
      <c r="D26" s="9">
        <v>79.989999999999995</v>
      </c>
      <c r="E26" s="8" t="s">
        <v>545</v>
      </c>
      <c r="F26" s="7" t="s">
        <v>57</v>
      </c>
      <c r="G26" s="10" t="s">
        <v>546</v>
      </c>
      <c r="H26" s="7" t="s">
        <v>92</v>
      </c>
      <c r="I26" s="7" t="s">
        <v>93</v>
      </c>
      <c r="J26" s="7"/>
      <c r="K26" s="7"/>
      <c r="L26" s="11"/>
    </row>
    <row r="27" spans="1:12" ht="39.950000000000003" customHeight="1" x14ac:dyDescent="0.25">
      <c r="A27" s="6"/>
      <c r="B27" s="7"/>
      <c r="C27" s="8"/>
      <c r="D27" s="9"/>
      <c r="E27" s="8"/>
      <c r="F27" s="7"/>
      <c r="G27" s="10"/>
      <c r="H27" s="7"/>
      <c r="I27" s="7"/>
      <c r="J27" s="7"/>
      <c r="K27" s="7"/>
      <c r="L27" s="11"/>
    </row>
    <row r="28" spans="1:12" ht="39.950000000000003" customHeight="1" x14ac:dyDescent="0.25">
      <c r="A28" s="6"/>
      <c r="B28" s="7"/>
      <c r="C28" s="8"/>
      <c r="D28" s="9"/>
      <c r="E28" s="8"/>
      <c r="F28" s="7"/>
      <c r="G28" s="10"/>
      <c r="H28" s="7"/>
      <c r="I28" s="7"/>
      <c r="J28" s="7"/>
      <c r="K28" s="7"/>
      <c r="L28" s="11"/>
    </row>
    <row r="29" spans="1:12" ht="39.950000000000003" customHeight="1" x14ac:dyDescent="0.25">
      <c r="A29" s="6"/>
      <c r="B29" s="7"/>
      <c r="C29" s="8"/>
      <c r="D29" s="9"/>
      <c r="E29" s="8"/>
      <c r="F29" s="7"/>
      <c r="G29" s="10"/>
      <c r="H29" s="7"/>
      <c r="I29" s="7"/>
      <c r="J29" s="7"/>
      <c r="K29" s="7"/>
      <c r="L29" s="11"/>
    </row>
    <row r="30" spans="1:12" ht="39.950000000000003" customHeight="1" x14ac:dyDescent="0.25">
      <c r="A30" s="6"/>
      <c r="B30" s="7"/>
      <c r="C30" s="8"/>
      <c r="D30" s="9"/>
      <c r="E30" s="8"/>
      <c r="F30" s="7"/>
      <c r="G30" s="10"/>
      <c r="H30" s="7"/>
      <c r="I30" s="7"/>
      <c r="J30" s="7"/>
      <c r="K30" s="7"/>
      <c r="L30" s="11"/>
    </row>
    <row r="31" spans="1:12" ht="39.950000000000003" customHeight="1" x14ac:dyDescent="0.25">
      <c r="A31" s="6"/>
      <c r="B31" s="7"/>
      <c r="C31" s="8"/>
      <c r="D31" s="9"/>
      <c r="E31" s="8"/>
      <c r="F31" s="7"/>
      <c r="G31" s="10"/>
      <c r="H31" s="7"/>
      <c r="I31" s="7"/>
      <c r="J31" s="7"/>
      <c r="K31" s="7"/>
      <c r="L31" s="11"/>
    </row>
    <row r="32" spans="1:12" ht="39.950000000000003" customHeight="1" x14ac:dyDescent="0.25">
      <c r="A32" s="6"/>
      <c r="B32" s="7"/>
      <c r="C32" s="8"/>
      <c r="D32" s="9"/>
      <c r="E32" s="8"/>
      <c r="F32" s="7"/>
      <c r="G32" s="10"/>
      <c r="H32" s="7"/>
      <c r="I32" s="7"/>
      <c r="J32" s="7"/>
      <c r="K32" s="7"/>
      <c r="L32" s="11"/>
    </row>
    <row r="33" spans="1:12" ht="39.950000000000003" customHeight="1" x14ac:dyDescent="0.25">
      <c r="A33" s="6"/>
      <c r="B33" s="7"/>
      <c r="C33" s="8"/>
      <c r="D33" s="9"/>
      <c r="E33" s="8"/>
      <c r="F33" s="7"/>
      <c r="G33" s="10"/>
      <c r="H33" s="7"/>
      <c r="I33" s="7"/>
      <c r="J33" s="7"/>
      <c r="K33" s="7"/>
      <c r="L33" s="11"/>
    </row>
    <row r="34" spans="1:12" ht="39.950000000000003" customHeight="1" x14ac:dyDescent="0.25">
      <c r="A34" s="6"/>
      <c r="B34" s="7"/>
      <c r="C34" s="8"/>
      <c r="D34" s="9"/>
      <c r="E34" s="8"/>
      <c r="F34" s="7"/>
      <c r="G34" s="10"/>
      <c r="H34" s="7"/>
      <c r="I34" s="7"/>
      <c r="J34" s="7"/>
      <c r="K34" s="7"/>
      <c r="L34" s="11"/>
    </row>
    <row r="35" spans="1:12" ht="39.950000000000003" customHeight="1" x14ac:dyDescent="0.25">
      <c r="A35" s="6"/>
      <c r="B35" s="7"/>
      <c r="C35" s="8"/>
      <c r="D35" s="9"/>
      <c r="E35" s="8"/>
      <c r="F35" s="7"/>
      <c r="G35" s="10"/>
      <c r="H35" s="7"/>
      <c r="I35" s="7"/>
      <c r="J35" s="7"/>
      <c r="K35" s="7"/>
      <c r="L35" s="11"/>
    </row>
    <row r="36" spans="1:12" ht="39.950000000000003" customHeight="1" x14ac:dyDescent="0.25">
      <c r="A36" s="6"/>
      <c r="B36" s="7"/>
      <c r="C36" s="8"/>
      <c r="D36" s="9"/>
      <c r="E36" s="8"/>
      <c r="F36" s="7"/>
      <c r="G36" s="10"/>
      <c r="H36" s="7"/>
      <c r="I36" s="7"/>
      <c r="J36" s="7"/>
      <c r="K36" s="7"/>
      <c r="L36" s="11"/>
    </row>
    <row r="37" spans="1:12" ht="39.950000000000003" customHeight="1" x14ac:dyDescent="0.25">
      <c r="A37" s="6"/>
      <c r="B37" s="7"/>
      <c r="C37" s="8"/>
      <c r="D37" s="9"/>
      <c r="E37" s="8"/>
      <c r="F37" s="7"/>
      <c r="G37" s="10"/>
      <c r="H37" s="7"/>
      <c r="I37" s="7"/>
      <c r="J37" s="7"/>
      <c r="K37" s="7"/>
      <c r="L37" s="11"/>
    </row>
    <row r="38" spans="1:12" ht="39.950000000000003" customHeight="1" x14ac:dyDescent="0.25">
      <c r="A38" s="6"/>
      <c r="B38" s="7"/>
      <c r="C38" s="8"/>
      <c r="D38" s="9"/>
      <c r="E38" s="8"/>
      <c r="F38" s="7"/>
      <c r="G38" s="10"/>
      <c r="H38" s="7"/>
      <c r="I38" s="7"/>
      <c r="J38" s="7"/>
      <c r="K38" s="7"/>
      <c r="L38" s="11"/>
    </row>
    <row r="39" spans="1:12" ht="39.950000000000003" customHeight="1" x14ac:dyDescent="0.25">
      <c r="A39" s="6"/>
      <c r="B39" s="7"/>
      <c r="C39" s="8"/>
      <c r="D39" s="9"/>
      <c r="E39" s="8"/>
      <c r="F39" s="7"/>
      <c r="G39" s="10"/>
      <c r="H39" s="7"/>
      <c r="I39" s="7"/>
      <c r="J39" s="7"/>
      <c r="K39" s="7"/>
      <c r="L39" s="11"/>
    </row>
    <row r="40" spans="1:12" ht="39.950000000000003" customHeight="1" x14ac:dyDescent="0.25">
      <c r="A40" s="6"/>
      <c r="B40" s="7"/>
      <c r="C40" s="8"/>
      <c r="D40" s="9"/>
      <c r="E40" s="8"/>
      <c r="F40" s="7"/>
      <c r="G40" s="10"/>
      <c r="H40" s="7"/>
      <c r="I40" s="7"/>
      <c r="J40" s="7"/>
      <c r="K40" s="7"/>
      <c r="L40" s="11"/>
    </row>
    <row r="41" spans="1:12" ht="39.950000000000003" customHeight="1" x14ac:dyDescent="0.25">
      <c r="A41" s="6"/>
      <c r="B41" s="7"/>
      <c r="C41" s="8"/>
      <c r="D41" s="9"/>
      <c r="E41" s="8"/>
      <c r="F41" s="7"/>
      <c r="G41" s="10"/>
      <c r="H41" s="7"/>
      <c r="I41" s="7"/>
      <c r="J41" s="7"/>
      <c r="K41" s="7"/>
      <c r="L41" s="11"/>
    </row>
    <row r="42" spans="1:12" ht="39.950000000000003" customHeight="1" x14ac:dyDescent="0.25">
      <c r="A42" s="6"/>
      <c r="B42" s="7"/>
      <c r="C42" s="8"/>
      <c r="D42" s="9"/>
      <c r="E42" s="8"/>
      <c r="F42" s="7"/>
      <c r="G42" s="10"/>
      <c r="H42" s="7"/>
      <c r="I42" s="7"/>
      <c r="J42" s="7"/>
      <c r="K42" s="7"/>
      <c r="L42" s="11"/>
    </row>
    <row r="43" spans="1:12" ht="39.950000000000003" customHeight="1" x14ac:dyDescent="0.25">
      <c r="A43" s="6"/>
      <c r="B43" s="7"/>
      <c r="C43" s="8"/>
      <c r="D43" s="9"/>
      <c r="E43" s="8"/>
      <c r="F43" s="7"/>
      <c r="G43" s="10"/>
      <c r="H43" s="7"/>
      <c r="I43" s="7"/>
      <c r="J43" s="7"/>
      <c r="K43" s="7"/>
      <c r="L43" s="11"/>
    </row>
    <row r="44" spans="1:12" ht="39.950000000000003" customHeight="1" x14ac:dyDescent="0.25">
      <c r="A44" s="6"/>
      <c r="B44" s="7"/>
      <c r="C44" s="8"/>
      <c r="D44" s="9"/>
      <c r="E44" s="8"/>
      <c r="F44" s="7"/>
      <c r="G44" s="10"/>
      <c r="H44" s="7"/>
      <c r="I44" s="7"/>
      <c r="J44" s="7"/>
      <c r="K44" s="7"/>
      <c r="L44" s="11"/>
    </row>
    <row r="45" spans="1:12" ht="39.950000000000003" customHeight="1" x14ac:dyDescent="0.25">
      <c r="A45" s="6"/>
      <c r="B45" s="7"/>
      <c r="C45" s="8"/>
      <c r="D45" s="9"/>
      <c r="E45" s="8"/>
      <c r="F45" s="7"/>
      <c r="G45" s="10"/>
      <c r="H45" s="7"/>
      <c r="I45" s="7"/>
      <c r="J45" s="7"/>
      <c r="K45" s="7"/>
      <c r="L45" s="11"/>
    </row>
    <row r="46" spans="1:12" ht="39.950000000000003" customHeight="1" x14ac:dyDescent="0.25">
      <c r="A46" s="6"/>
      <c r="B46" s="7"/>
      <c r="C46" s="8"/>
      <c r="D46" s="9"/>
      <c r="E46" s="8"/>
      <c r="F46" s="7"/>
      <c r="G46" s="10"/>
      <c r="H46" s="7"/>
      <c r="I46" s="7"/>
      <c r="J46" s="7"/>
      <c r="K46" s="7"/>
      <c r="L46" s="11"/>
    </row>
    <row r="47" spans="1:12" ht="39.950000000000003" customHeight="1" x14ac:dyDescent="0.25">
      <c r="A47" s="6"/>
      <c r="B47" s="7"/>
      <c r="C47" s="8"/>
      <c r="D47" s="9"/>
      <c r="E47" s="8"/>
      <c r="F47" s="7"/>
      <c r="G47" s="10"/>
      <c r="H47" s="7"/>
      <c r="I47" s="7"/>
      <c r="J47" s="7"/>
      <c r="K47" s="7"/>
      <c r="L47" s="11"/>
    </row>
    <row r="48" spans="1:12" ht="39.950000000000003" customHeight="1" x14ac:dyDescent="0.25">
      <c r="A48" s="6"/>
      <c r="B48" s="7"/>
      <c r="C48" s="8"/>
      <c r="D48" s="9"/>
      <c r="E48" s="8"/>
      <c r="F48" s="7"/>
      <c r="G48" s="10"/>
      <c r="H48" s="7"/>
      <c r="I48" s="7"/>
      <c r="J48" s="7"/>
      <c r="K48" s="7"/>
      <c r="L48" s="11"/>
    </row>
    <row r="49" spans="1:12" ht="39.950000000000003" customHeight="1" x14ac:dyDescent="0.25">
      <c r="A49" s="6"/>
      <c r="B49" s="7"/>
      <c r="C49" s="8"/>
      <c r="D49" s="9"/>
      <c r="E49" s="8"/>
      <c r="F49" s="7"/>
      <c r="G49" s="10"/>
      <c r="H49" s="7"/>
      <c r="I49" s="7"/>
      <c r="J49" s="7"/>
      <c r="K49" s="7"/>
      <c r="L49" s="11"/>
    </row>
    <row r="50" spans="1:12" ht="39.950000000000003" customHeight="1" x14ac:dyDescent="0.25">
      <c r="A50" s="6"/>
      <c r="B50" s="7"/>
      <c r="C50" s="8"/>
      <c r="D50" s="9"/>
      <c r="E50" s="8"/>
      <c r="F50" s="7"/>
      <c r="G50" s="10"/>
      <c r="H50" s="7"/>
      <c r="I50" s="7"/>
      <c r="J50" s="7"/>
      <c r="K50" s="7"/>
      <c r="L50" s="11"/>
    </row>
    <row r="51" spans="1:12" ht="39.950000000000003" customHeight="1" x14ac:dyDescent="0.25">
      <c r="A51" s="6"/>
      <c r="B51" s="7"/>
      <c r="C51" s="8"/>
      <c r="D51" s="9"/>
      <c r="E51" s="8"/>
      <c r="F51" s="7"/>
      <c r="G51" s="10"/>
      <c r="H51" s="7"/>
      <c r="I51" s="7"/>
      <c r="J51" s="7"/>
      <c r="K51" s="7"/>
      <c r="L51" s="11"/>
    </row>
    <row r="52" spans="1:12" ht="39.950000000000003" customHeight="1" x14ac:dyDescent="0.25">
      <c r="A52" s="6"/>
      <c r="B52" s="7"/>
      <c r="C52" s="8"/>
      <c r="D52" s="9"/>
      <c r="E52" s="8"/>
      <c r="F52" s="7"/>
      <c r="G52" s="10"/>
      <c r="H52" s="7"/>
      <c r="I52" s="7"/>
      <c r="J52" s="7"/>
      <c r="K52" s="7"/>
      <c r="L52" s="11"/>
    </row>
    <row r="53" spans="1:12" ht="39.950000000000003" customHeight="1" x14ac:dyDescent="0.25">
      <c r="A53" s="6"/>
      <c r="B53" s="7"/>
      <c r="C53" s="8"/>
      <c r="D53" s="9"/>
      <c r="E53" s="8"/>
      <c r="F53" s="7"/>
      <c r="G53" s="10"/>
      <c r="H53" s="7"/>
      <c r="I53" s="7"/>
      <c r="J53" s="7"/>
      <c r="K53" s="7"/>
      <c r="L53" s="11"/>
    </row>
    <row r="54" spans="1:12" ht="39.950000000000003" customHeight="1" x14ac:dyDescent="0.25">
      <c r="A54" s="6"/>
      <c r="B54" s="7"/>
      <c r="C54" s="8"/>
      <c r="D54" s="9"/>
      <c r="E54" s="8"/>
      <c r="F54" s="7"/>
      <c r="G54" s="10"/>
      <c r="H54" s="7"/>
      <c r="I54" s="7"/>
      <c r="J54" s="7"/>
      <c r="K54" s="7"/>
      <c r="L54" s="11"/>
    </row>
    <row r="55" spans="1:12" ht="39.950000000000003" customHeight="1" x14ac:dyDescent="0.25">
      <c r="A55" s="6"/>
      <c r="B55" s="7"/>
      <c r="C55" s="8"/>
      <c r="D55" s="9"/>
      <c r="E55" s="8"/>
      <c r="F55" s="7"/>
      <c r="G55" s="10"/>
      <c r="H55" s="7"/>
      <c r="I55" s="7"/>
      <c r="J55" s="7"/>
      <c r="K55" s="7"/>
      <c r="L55" s="11"/>
    </row>
    <row r="56" spans="1:12" ht="39.950000000000003" customHeight="1" x14ac:dyDescent="0.25">
      <c r="A56" s="6"/>
      <c r="B56" s="7"/>
      <c r="C56" s="8"/>
      <c r="D56" s="9"/>
      <c r="E56" s="8"/>
      <c r="F56" s="7"/>
      <c r="G56" s="10"/>
      <c r="H56" s="7"/>
      <c r="I56" s="7"/>
      <c r="J56" s="7"/>
      <c r="K56" s="7"/>
      <c r="L56" s="11"/>
    </row>
    <row r="57" spans="1:12" ht="39.950000000000003" customHeight="1" x14ac:dyDescent="0.25">
      <c r="A57" s="6"/>
      <c r="B57" s="7"/>
      <c r="C57" s="8"/>
      <c r="D57" s="9"/>
      <c r="E57" s="8"/>
      <c r="F57" s="7"/>
      <c r="G57" s="10"/>
      <c r="H57" s="7"/>
      <c r="I57" s="7"/>
      <c r="J57" s="7"/>
      <c r="K57" s="7"/>
      <c r="L57" s="1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33486-2CEE-4BD5-B430-2E6D157F3A14}">
  <dimension ref="A1:L56"/>
  <sheetViews>
    <sheetView workbookViewId="0"/>
  </sheetViews>
  <sheetFormatPr defaultRowHeight="39.950000000000003" customHeight="1" x14ac:dyDescent="0.25"/>
  <cols>
    <col min="1" max="1" width="14.28515625" customWidth="1"/>
    <col min="2" max="2" width="22.28515625" customWidth="1"/>
    <col min="3" max="3" width="15" customWidth="1"/>
    <col min="4" max="4" width="10.28515625" customWidth="1"/>
    <col min="5" max="5" width="17.140625" customWidth="1"/>
    <col min="6" max="6" width="11.42578125" customWidth="1"/>
    <col min="7" max="7" width="10.85546875" customWidth="1"/>
    <col min="8" max="8" width="12.140625" customWidth="1"/>
    <col min="9" max="9" width="36.5703125" bestFit="1" customWidth="1"/>
    <col min="10" max="11" width="20.7109375" customWidth="1"/>
    <col min="12" max="12" width="64.28515625" customWidth="1"/>
  </cols>
  <sheetData>
    <row r="1" spans="1:12" ht="39.950000000000003" customHeight="1" x14ac:dyDescent="0.25">
      <c r="A1" s="5" t="s">
        <v>2</v>
      </c>
      <c r="B1" s="5" t="s">
        <v>3</v>
      </c>
      <c r="C1" s="5" t="s">
        <v>4</v>
      </c>
      <c r="D1" s="5" t="s">
        <v>5</v>
      </c>
      <c r="E1" s="5" t="s">
        <v>6</v>
      </c>
      <c r="F1" s="5" t="s">
        <v>7</v>
      </c>
      <c r="G1" s="5" t="s">
        <v>8</v>
      </c>
      <c r="H1" s="5" t="s">
        <v>9</v>
      </c>
      <c r="I1" s="5" t="s">
        <v>10</v>
      </c>
      <c r="J1" s="5" t="s">
        <v>11</v>
      </c>
      <c r="K1" s="5" t="s">
        <v>12</v>
      </c>
      <c r="L1" s="5" t="s">
        <v>13</v>
      </c>
    </row>
    <row r="2" spans="1:12" ht="39.950000000000003" customHeight="1" x14ac:dyDescent="0.25">
      <c r="A2" s="6" t="s">
        <v>547</v>
      </c>
      <c r="B2" s="7" t="s">
        <v>548</v>
      </c>
      <c r="C2" s="8">
        <v>1</v>
      </c>
      <c r="D2" s="9">
        <v>349.99</v>
      </c>
      <c r="E2" s="8" t="s">
        <v>549</v>
      </c>
      <c r="F2" s="7" t="s">
        <v>17</v>
      </c>
      <c r="G2" s="10"/>
      <c r="H2" s="7" t="s">
        <v>92</v>
      </c>
      <c r="I2" s="7" t="s">
        <v>93</v>
      </c>
      <c r="J2" s="7" t="s">
        <v>20</v>
      </c>
      <c r="K2" s="7" t="s">
        <v>127</v>
      </c>
      <c r="L2" s="11" t="str">
        <f>HYPERLINK("http://slimages.macys.com/is/image/MCY/11515718 ")</f>
        <v xml:space="preserve">http://slimages.macys.com/is/image/MCY/11515718 </v>
      </c>
    </row>
    <row r="3" spans="1:12" ht="39.950000000000003" customHeight="1" x14ac:dyDescent="0.25">
      <c r="A3" s="6" t="s">
        <v>550</v>
      </c>
      <c r="B3" s="7" t="s">
        <v>551</v>
      </c>
      <c r="C3" s="8">
        <v>1</v>
      </c>
      <c r="D3" s="9">
        <v>299.99</v>
      </c>
      <c r="E3" s="8" t="s">
        <v>552</v>
      </c>
      <c r="F3" s="7" t="s">
        <v>375</v>
      </c>
      <c r="G3" s="10"/>
      <c r="H3" s="7" t="s">
        <v>92</v>
      </c>
      <c r="I3" s="7" t="s">
        <v>93</v>
      </c>
      <c r="J3" s="7" t="s">
        <v>20</v>
      </c>
      <c r="K3" s="7" t="s">
        <v>160</v>
      </c>
      <c r="L3" s="11" t="str">
        <f>HYPERLINK("http://slimages.macys.com/is/image/MCY/8437860 ")</f>
        <v xml:space="preserve">http://slimages.macys.com/is/image/MCY/8437860 </v>
      </c>
    </row>
    <row r="4" spans="1:12" ht="39.950000000000003" customHeight="1" x14ac:dyDescent="0.25">
      <c r="A4" s="6" t="s">
        <v>553</v>
      </c>
      <c r="B4" s="7" t="s">
        <v>554</v>
      </c>
      <c r="C4" s="8">
        <v>1</v>
      </c>
      <c r="D4" s="9">
        <v>269.99</v>
      </c>
      <c r="E4" s="8" t="s">
        <v>555</v>
      </c>
      <c r="F4" s="7" t="s">
        <v>195</v>
      </c>
      <c r="G4" s="10"/>
      <c r="H4" s="7" t="s">
        <v>92</v>
      </c>
      <c r="I4" s="7" t="s">
        <v>556</v>
      </c>
      <c r="J4" s="7" t="s">
        <v>20</v>
      </c>
      <c r="K4" s="7" t="s">
        <v>557</v>
      </c>
      <c r="L4" s="11" t="str">
        <f>HYPERLINK("http://slimages.macys.com/is/image/MCY/13314671 ")</f>
        <v xml:space="preserve">http://slimages.macys.com/is/image/MCY/13314671 </v>
      </c>
    </row>
    <row r="5" spans="1:12" ht="39.950000000000003" customHeight="1" x14ac:dyDescent="0.25">
      <c r="A5" s="6" t="s">
        <v>558</v>
      </c>
      <c r="B5" s="7" t="s">
        <v>559</v>
      </c>
      <c r="C5" s="8">
        <v>1</v>
      </c>
      <c r="D5" s="9">
        <v>249.99</v>
      </c>
      <c r="E5" s="8" t="s">
        <v>560</v>
      </c>
      <c r="F5" s="7" t="s">
        <v>365</v>
      </c>
      <c r="G5" s="10"/>
      <c r="H5" s="7" t="s">
        <v>92</v>
      </c>
      <c r="I5" s="7" t="s">
        <v>461</v>
      </c>
      <c r="J5" s="7" t="s">
        <v>20</v>
      </c>
      <c r="K5" s="7" t="s">
        <v>127</v>
      </c>
      <c r="L5" s="11" t="str">
        <f>HYPERLINK("http://slimages.macys.com/is/image/MCY/14749960 ")</f>
        <v xml:space="preserve">http://slimages.macys.com/is/image/MCY/14749960 </v>
      </c>
    </row>
    <row r="6" spans="1:12" ht="39.950000000000003" customHeight="1" x14ac:dyDescent="0.25">
      <c r="A6" s="6" t="s">
        <v>561</v>
      </c>
      <c r="B6" s="7" t="s">
        <v>562</v>
      </c>
      <c r="C6" s="8">
        <v>1</v>
      </c>
      <c r="D6" s="9">
        <v>169.99</v>
      </c>
      <c r="E6" s="8">
        <v>214732</v>
      </c>
      <c r="F6" s="7" t="s">
        <v>25</v>
      </c>
      <c r="G6" s="10"/>
      <c r="H6" s="7" t="s">
        <v>92</v>
      </c>
      <c r="I6" s="7" t="s">
        <v>563</v>
      </c>
      <c r="J6" s="7" t="s">
        <v>20</v>
      </c>
      <c r="K6" s="7" t="s">
        <v>564</v>
      </c>
      <c r="L6" s="11" t="str">
        <f>HYPERLINK("http://slimages.macys.com/is/image/MCY/15135079 ")</f>
        <v xml:space="preserve">http://slimages.macys.com/is/image/MCY/15135079 </v>
      </c>
    </row>
    <row r="7" spans="1:12" ht="39.950000000000003" customHeight="1" x14ac:dyDescent="0.25">
      <c r="A7" s="6" t="s">
        <v>565</v>
      </c>
      <c r="B7" s="7" t="s">
        <v>566</v>
      </c>
      <c r="C7" s="8">
        <v>1</v>
      </c>
      <c r="D7" s="9">
        <v>139.99</v>
      </c>
      <c r="E7" s="8" t="s">
        <v>567</v>
      </c>
      <c r="F7" s="7" t="s">
        <v>231</v>
      </c>
      <c r="G7" s="10"/>
      <c r="H7" s="7" t="s">
        <v>92</v>
      </c>
      <c r="I7" s="7" t="s">
        <v>563</v>
      </c>
      <c r="J7" s="7" t="s">
        <v>20</v>
      </c>
      <c r="K7" s="7" t="s">
        <v>233</v>
      </c>
      <c r="L7" s="11" t="str">
        <f>HYPERLINK("http://slimages.macys.com/is/image/MCY/15135568 ")</f>
        <v xml:space="preserve">http://slimages.macys.com/is/image/MCY/15135568 </v>
      </c>
    </row>
    <row r="8" spans="1:12" ht="39.950000000000003" customHeight="1" x14ac:dyDescent="0.25">
      <c r="A8" s="6" t="s">
        <v>568</v>
      </c>
      <c r="B8" s="7" t="s">
        <v>569</v>
      </c>
      <c r="C8" s="8">
        <v>1</v>
      </c>
      <c r="D8" s="9">
        <v>219.99</v>
      </c>
      <c r="E8" s="8" t="s">
        <v>570</v>
      </c>
      <c r="F8" s="7" t="s">
        <v>25</v>
      </c>
      <c r="G8" s="10"/>
      <c r="H8" s="7" t="s">
        <v>242</v>
      </c>
      <c r="I8" s="7" t="s">
        <v>571</v>
      </c>
      <c r="J8" s="7" t="s">
        <v>20</v>
      </c>
      <c r="K8" s="7" t="s">
        <v>109</v>
      </c>
      <c r="L8" s="11" t="str">
        <f>HYPERLINK("http://slimages.macys.com/is/image/MCY/15272052 ")</f>
        <v xml:space="preserve">http://slimages.macys.com/is/image/MCY/15272052 </v>
      </c>
    </row>
    <row r="9" spans="1:12" ht="39.950000000000003" customHeight="1" x14ac:dyDescent="0.25">
      <c r="A9" s="6" t="s">
        <v>572</v>
      </c>
      <c r="B9" s="7" t="s">
        <v>573</v>
      </c>
      <c r="C9" s="8">
        <v>1</v>
      </c>
      <c r="D9" s="9">
        <v>179.99</v>
      </c>
      <c r="E9" s="8">
        <v>83460</v>
      </c>
      <c r="F9" s="7" t="s">
        <v>337</v>
      </c>
      <c r="G9" s="10"/>
      <c r="H9" s="7" t="s">
        <v>36</v>
      </c>
      <c r="I9" s="7" t="s">
        <v>499</v>
      </c>
      <c r="J9" s="7"/>
      <c r="K9" s="7"/>
      <c r="L9" s="11" t="str">
        <f>HYPERLINK("http://slimages.macys.com/is/image/MCY/18728547 ")</f>
        <v xml:space="preserve">http://slimages.macys.com/is/image/MCY/18728547 </v>
      </c>
    </row>
    <row r="10" spans="1:12" ht="39.950000000000003" customHeight="1" x14ac:dyDescent="0.25">
      <c r="A10" s="6" t="s">
        <v>574</v>
      </c>
      <c r="B10" s="7" t="s">
        <v>575</v>
      </c>
      <c r="C10" s="8">
        <v>1</v>
      </c>
      <c r="D10" s="9">
        <v>179.99</v>
      </c>
      <c r="E10" s="8">
        <v>80836</v>
      </c>
      <c r="F10" s="7" t="s">
        <v>356</v>
      </c>
      <c r="G10" s="10"/>
      <c r="H10" s="7" t="s">
        <v>36</v>
      </c>
      <c r="I10" s="7" t="s">
        <v>499</v>
      </c>
      <c r="J10" s="7" t="s">
        <v>20</v>
      </c>
      <c r="K10" s="7" t="s">
        <v>576</v>
      </c>
      <c r="L10" s="11" t="str">
        <f>HYPERLINK("http://slimages.macys.com/is/image/MCY/14826453 ")</f>
        <v xml:space="preserve">http://slimages.macys.com/is/image/MCY/14826453 </v>
      </c>
    </row>
    <row r="11" spans="1:12" ht="39.950000000000003" customHeight="1" x14ac:dyDescent="0.25">
      <c r="A11" s="6" t="s">
        <v>577</v>
      </c>
      <c r="B11" s="7" t="s">
        <v>578</v>
      </c>
      <c r="C11" s="8">
        <v>1</v>
      </c>
      <c r="D11" s="9">
        <v>179.99</v>
      </c>
      <c r="E11" s="8">
        <v>81392</v>
      </c>
      <c r="F11" s="7" t="s">
        <v>498</v>
      </c>
      <c r="G11" s="10"/>
      <c r="H11" s="7" t="s">
        <v>36</v>
      </c>
      <c r="I11" s="7" t="s">
        <v>499</v>
      </c>
      <c r="J11" s="7" t="s">
        <v>20</v>
      </c>
      <c r="K11" s="7" t="s">
        <v>579</v>
      </c>
      <c r="L11" s="11" t="str">
        <f>HYPERLINK("http://slimages.macys.com/is/image/MCY/14789644 ")</f>
        <v xml:space="preserve">http://slimages.macys.com/is/image/MCY/14789644 </v>
      </c>
    </row>
    <row r="12" spans="1:12" ht="39.950000000000003" customHeight="1" x14ac:dyDescent="0.25">
      <c r="A12" s="6" t="s">
        <v>580</v>
      </c>
      <c r="B12" s="7" t="s">
        <v>581</v>
      </c>
      <c r="C12" s="8">
        <v>1</v>
      </c>
      <c r="D12" s="9">
        <v>121.99</v>
      </c>
      <c r="E12" s="8" t="s">
        <v>582</v>
      </c>
      <c r="F12" s="7" t="s">
        <v>411</v>
      </c>
      <c r="G12" s="10"/>
      <c r="H12" s="7" t="s">
        <v>42</v>
      </c>
      <c r="I12" s="7" t="s">
        <v>63</v>
      </c>
      <c r="J12" s="7" t="s">
        <v>20</v>
      </c>
      <c r="K12" s="7" t="s">
        <v>583</v>
      </c>
      <c r="L12" s="11" t="str">
        <f>HYPERLINK("http://slimages.macys.com/is/image/MCY/11113523 ")</f>
        <v xml:space="preserve">http://slimages.macys.com/is/image/MCY/11113523 </v>
      </c>
    </row>
    <row r="13" spans="1:12" ht="39.950000000000003" customHeight="1" x14ac:dyDescent="0.25">
      <c r="A13" s="6" t="s">
        <v>584</v>
      </c>
      <c r="B13" s="7" t="s">
        <v>585</v>
      </c>
      <c r="C13" s="8">
        <v>1</v>
      </c>
      <c r="D13" s="9">
        <v>99.99</v>
      </c>
      <c r="E13" s="8" t="s">
        <v>586</v>
      </c>
      <c r="F13" s="7" t="s">
        <v>34</v>
      </c>
      <c r="G13" s="10"/>
      <c r="H13" s="7" t="s">
        <v>242</v>
      </c>
      <c r="I13" s="7" t="s">
        <v>587</v>
      </c>
      <c r="J13" s="7"/>
      <c r="K13" s="7"/>
      <c r="L13" s="11" t="str">
        <f>HYPERLINK("http://slimages.macys.com/is/image/MCY/17972087 ")</f>
        <v xml:space="preserve">http://slimages.macys.com/is/image/MCY/17972087 </v>
      </c>
    </row>
    <row r="14" spans="1:12" ht="39.950000000000003" customHeight="1" x14ac:dyDescent="0.25">
      <c r="A14" s="6" t="s">
        <v>588</v>
      </c>
      <c r="B14" s="7" t="s">
        <v>589</v>
      </c>
      <c r="C14" s="8">
        <v>1</v>
      </c>
      <c r="D14" s="9">
        <v>199.99</v>
      </c>
      <c r="E14" s="8" t="s">
        <v>590</v>
      </c>
      <c r="F14" s="7" t="s">
        <v>25</v>
      </c>
      <c r="G14" s="10"/>
      <c r="H14" s="7" t="s">
        <v>67</v>
      </c>
      <c r="I14" s="7" t="s">
        <v>348</v>
      </c>
      <c r="J14" s="7" t="s">
        <v>20</v>
      </c>
      <c r="K14" s="7" t="s">
        <v>298</v>
      </c>
      <c r="L14" s="11" t="str">
        <f>HYPERLINK("http://slimages.macys.com/is/image/MCY/11953123 ")</f>
        <v xml:space="preserve">http://slimages.macys.com/is/image/MCY/11953123 </v>
      </c>
    </row>
    <row r="15" spans="1:12" ht="39.950000000000003" customHeight="1" x14ac:dyDescent="0.25">
      <c r="A15" s="6" t="s">
        <v>591</v>
      </c>
      <c r="B15" s="7" t="s">
        <v>592</v>
      </c>
      <c r="C15" s="8">
        <v>1</v>
      </c>
      <c r="D15" s="9">
        <v>99.99</v>
      </c>
      <c r="E15" s="8">
        <v>166353</v>
      </c>
      <c r="F15" s="7" t="s">
        <v>195</v>
      </c>
      <c r="G15" s="10"/>
      <c r="H15" s="7" t="s">
        <v>242</v>
      </c>
      <c r="I15" s="7" t="s">
        <v>593</v>
      </c>
      <c r="J15" s="7" t="s">
        <v>20</v>
      </c>
      <c r="K15" s="7" t="s">
        <v>594</v>
      </c>
      <c r="L15" s="11" t="str">
        <f>HYPERLINK("http://slimages.macys.com/is/image/MCY/15729497 ")</f>
        <v xml:space="preserve">http://slimages.macys.com/is/image/MCY/15729497 </v>
      </c>
    </row>
    <row r="16" spans="1:12" ht="39.950000000000003" customHeight="1" x14ac:dyDescent="0.25">
      <c r="A16" s="6" t="s">
        <v>595</v>
      </c>
      <c r="B16" s="7" t="s">
        <v>596</v>
      </c>
      <c r="C16" s="8">
        <v>1</v>
      </c>
      <c r="D16" s="9">
        <v>129.99</v>
      </c>
      <c r="E16" s="8" t="s">
        <v>597</v>
      </c>
      <c r="F16" s="7" t="s">
        <v>598</v>
      </c>
      <c r="G16" s="10"/>
      <c r="H16" s="7" t="s">
        <v>42</v>
      </c>
      <c r="I16" s="7" t="s">
        <v>53</v>
      </c>
      <c r="J16" s="7" t="s">
        <v>20</v>
      </c>
      <c r="K16" s="7" t="s">
        <v>599</v>
      </c>
      <c r="L16" s="11" t="str">
        <f>HYPERLINK("http://slimages.macys.com/is/image/MCY/10337232 ")</f>
        <v xml:space="preserve">http://slimages.macys.com/is/image/MCY/10337232 </v>
      </c>
    </row>
    <row r="17" spans="1:12" ht="39.950000000000003" customHeight="1" x14ac:dyDescent="0.25">
      <c r="A17" s="6" t="s">
        <v>600</v>
      </c>
      <c r="B17" s="7" t="s">
        <v>601</v>
      </c>
      <c r="C17" s="8">
        <v>1</v>
      </c>
      <c r="D17" s="9">
        <v>119.99</v>
      </c>
      <c r="E17" s="8" t="s">
        <v>602</v>
      </c>
      <c r="F17" s="7" t="s">
        <v>52</v>
      </c>
      <c r="G17" s="10"/>
      <c r="H17" s="7" t="s">
        <v>36</v>
      </c>
      <c r="I17" s="7" t="s">
        <v>63</v>
      </c>
      <c r="J17" s="7" t="s">
        <v>20</v>
      </c>
      <c r="K17" s="7" t="s">
        <v>603</v>
      </c>
      <c r="L17" s="11" t="str">
        <f>HYPERLINK("http://slimages.macys.com/is/image/MCY/9627972 ")</f>
        <v xml:space="preserve">http://slimages.macys.com/is/image/MCY/9627972 </v>
      </c>
    </row>
    <row r="18" spans="1:12" ht="39.950000000000003" customHeight="1" x14ac:dyDescent="0.25">
      <c r="A18" s="6" t="s">
        <v>604</v>
      </c>
      <c r="B18" s="7" t="s">
        <v>605</v>
      </c>
      <c r="C18" s="8">
        <v>1</v>
      </c>
      <c r="D18" s="9">
        <v>99.99</v>
      </c>
      <c r="E18" s="8" t="s">
        <v>606</v>
      </c>
      <c r="F18" s="7" t="s">
        <v>231</v>
      </c>
      <c r="G18" s="10"/>
      <c r="H18" s="7" t="s">
        <v>92</v>
      </c>
      <c r="I18" s="7" t="s">
        <v>563</v>
      </c>
      <c r="J18" s="7" t="s">
        <v>20</v>
      </c>
      <c r="K18" s="7" t="s">
        <v>607</v>
      </c>
      <c r="L18" s="11" t="str">
        <f>HYPERLINK("http://slimages.macys.com/is/image/MCY/16510487 ")</f>
        <v xml:space="preserve">http://slimages.macys.com/is/image/MCY/16510487 </v>
      </c>
    </row>
    <row r="19" spans="1:12" ht="39.950000000000003" customHeight="1" x14ac:dyDescent="0.25">
      <c r="A19" s="6" t="s">
        <v>608</v>
      </c>
      <c r="B19" s="7" t="s">
        <v>609</v>
      </c>
      <c r="C19" s="8">
        <v>1</v>
      </c>
      <c r="D19" s="9">
        <v>109.99</v>
      </c>
      <c r="E19" s="8">
        <v>83471</v>
      </c>
      <c r="F19" s="7" t="s">
        <v>52</v>
      </c>
      <c r="G19" s="10"/>
      <c r="H19" s="7" t="s">
        <v>36</v>
      </c>
      <c r="I19" s="7" t="s">
        <v>499</v>
      </c>
      <c r="J19" s="7"/>
      <c r="K19" s="7"/>
      <c r="L19" s="11" t="str">
        <f>HYPERLINK("http://slimages.macys.com/is/image/MCY/18728138 ")</f>
        <v xml:space="preserve">http://slimages.macys.com/is/image/MCY/18728138 </v>
      </c>
    </row>
    <row r="20" spans="1:12" ht="39.950000000000003" customHeight="1" x14ac:dyDescent="0.25">
      <c r="A20" s="6" t="s">
        <v>281</v>
      </c>
      <c r="B20" s="7" t="s">
        <v>23</v>
      </c>
      <c r="C20" s="8">
        <v>1</v>
      </c>
      <c r="D20" s="9">
        <v>87.99</v>
      </c>
      <c r="E20" s="8" t="s">
        <v>282</v>
      </c>
      <c r="F20" s="7" t="s">
        <v>25</v>
      </c>
      <c r="G20" s="10" t="s">
        <v>26</v>
      </c>
      <c r="H20" s="7" t="s">
        <v>27</v>
      </c>
      <c r="I20" s="7" t="s">
        <v>28</v>
      </c>
      <c r="J20" s="7" t="s">
        <v>29</v>
      </c>
      <c r="K20" s="7" t="s">
        <v>30</v>
      </c>
      <c r="L20" s="11" t="str">
        <f>HYPERLINK("http://slimages.macys.com/is/image/MCY/11798194 ")</f>
        <v xml:space="preserve">http://slimages.macys.com/is/image/MCY/11798194 </v>
      </c>
    </row>
    <row r="21" spans="1:12" ht="39.950000000000003" customHeight="1" x14ac:dyDescent="0.25">
      <c r="A21" s="6" t="s">
        <v>610</v>
      </c>
      <c r="B21" s="7" t="s">
        <v>611</v>
      </c>
      <c r="C21" s="8">
        <v>1</v>
      </c>
      <c r="D21" s="9">
        <v>59.99</v>
      </c>
      <c r="E21" s="8" t="s">
        <v>612</v>
      </c>
      <c r="F21" s="7" t="s">
        <v>613</v>
      </c>
      <c r="G21" s="10"/>
      <c r="H21" s="7" t="s">
        <v>42</v>
      </c>
      <c r="I21" s="7" t="s">
        <v>43</v>
      </c>
      <c r="J21" s="7" t="s">
        <v>20</v>
      </c>
      <c r="K21" s="7" t="s">
        <v>614</v>
      </c>
      <c r="L21" s="11" t="str">
        <f>HYPERLINK("http://slimages.macys.com/is/image/MCY/12140314 ")</f>
        <v xml:space="preserve">http://slimages.macys.com/is/image/MCY/12140314 </v>
      </c>
    </row>
    <row r="22" spans="1:12" ht="39.950000000000003" customHeight="1" x14ac:dyDescent="0.25">
      <c r="A22" s="6" t="s">
        <v>615</v>
      </c>
      <c r="B22" s="7" t="s">
        <v>616</v>
      </c>
      <c r="C22" s="8">
        <v>2</v>
      </c>
      <c r="D22" s="9">
        <v>119.98</v>
      </c>
      <c r="E22" s="8">
        <v>70081</v>
      </c>
      <c r="F22" s="7" t="s">
        <v>25</v>
      </c>
      <c r="G22" s="10"/>
      <c r="H22" s="7" t="s">
        <v>27</v>
      </c>
      <c r="I22" s="7" t="s">
        <v>617</v>
      </c>
      <c r="J22" s="7" t="s">
        <v>20</v>
      </c>
      <c r="K22" s="7" t="s">
        <v>618</v>
      </c>
      <c r="L22" s="11" t="str">
        <f>HYPERLINK("http://slimages.macys.com/is/image/MCY/11443707 ")</f>
        <v xml:space="preserve">http://slimages.macys.com/is/image/MCY/11443707 </v>
      </c>
    </row>
    <row r="23" spans="1:12" ht="39.950000000000003" customHeight="1" x14ac:dyDescent="0.25">
      <c r="A23" s="6" t="s">
        <v>619</v>
      </c>
      <c r="B23" s="7" t="s">
        <v>620</v>
      </c>
      <c r="C23" s="8">
        <v>1</v>
      </c>
      <c r="D23" s="9">
        <v>59.99</v>
      </c>
      <c r="E23" s="8">
        <v>82256</v>
      </c>
      <c r="F23" s="7" t="s">
        <v>195</v>
      </c>
      <c r="G23" s="10"/>
      <c r="H23" s="7" t="s">
        <v>36</v>
      </c>
      <c r="I23" s="7" t="s">
        <v>499</v>
      </c>
      <c r="J23" s="7" t="s">
        <v>20</v>
      </c>
      <c r="K23" s="7" t="s">
        <v>621</v>
      </c>
      <c r="L23" s="11" t="str">
        <f>HYPERLINK("http://slimages.macys.com/is/image/MCY/16522516 ")</f>
        <v xml:space="preserve">http://slimages.macys.com/is/image/MCY/16522516 </v>
      </c>
    </row>
    <row r="24" spans="1:12" ht="39.950000000000003" customHeight="1" x14ac:dyDescent="0.25">
      <c r="A24" s="6" t="s">
        <v>622</v>
      </c>
      <c r="B24" s="7" t="s">
        <v>623</v>
      </c>
      <c r="C24" s="8">
        <v>1</v>
      </c>
      <c r="D24" s="9">
        <v>41.99</v>
      </c>
      <c r="E24" s="8" t="s">
        <v>624</v>
      </c>
      <c r="F24" s="7" t="s">
        <v>34</v>
      </c>
      <c r="G24" s="10"/>
      <c r="H24" s="7" t="s">
        <v>18</v>
      </c>
      <c r="I24" s="7" t="s">
        <v>58</v>
      </c>
      <c r="J24" s="7" t="s">
        <v>20</v>
      </c>
      <c r="K24" s="7" t="s">
        <v>59</v>
      </c>
      <c r="L24" s="11" t="str">
        <f>HYPERLINK("http://slimages.macys.com/is/image/MCY/10682326 ")</f>
        <v xml:space="preserve">http://slimages.macys.com/is/image/MCY/10682326 </v>
      </c>
    </row>
    <row r="25" spans="1:12" ht="39.950000000000003" customHeight="1" x14ac:dyDescent="0.25">
      <c r="A25" s="6" t="s">
        <v>625</v>
      </c>
      <c r="B25" s="7" t="s">
        <v>626</v>
      </c>
      <c r="C25" s="8">
        <v>1</v>
      </c>
      <c r="D25" s="9">
        <v>39.99</v>
      </c>
      <c r="E25" s="8" t="s">
        <v>627</v>
      </c>
      <c r="F25" s="7" t="s">
        <v>17</v>
      </c>
      <c r="G25" s="10" t="s">
        <v>628</v>
      </c>
      <c r="H25" s="7" t="s">
        <v>18</v>
      </c>
      <c r="I25" s="7" t="s">
        <v>629</v>
      </c>
      <c r="J25" s="7" t="s">
        <v>20</v>
      </c>
      <c r="K25" s="7" t="s">
        <v>87</v>
      </c>
      <c r="L25" s="11" t="str">
        <f>HYPERLINK("http://slimages.macys.com/is/image/MCY/14617380 ")</f>
        <v xml:space="preserve">http://slimages.macys.com/is/image/MCY/14617380 </v>
      </c>
    </row>
    <row r="26" spans="1:12" ht="39.950000000000003" customHeight="1" x14ac:dyDescent="0.25">
      <c r="A26" s="6" t="s">
        <v>630</v>
      </c>
      <c r="B26" s="7" t="s">
        <v>631</v>
      </c>
      <c r="C26" s="8">
        <v>1</v>
      </c>
      <c r="D26" s="9">
        <v>59.99</v>
      </c>
      <c r="E26" s="8" t="s">
        <v>632</v>
      </c>
      <c r="F26" s="7" t="s">
        <v>633</v>
      </c>
      <c r="G26" s="10"/>
      <c r="H26" s="7" t="s">
        <v>322</v>
      </c>
      <c r="I26" s="7" t="s">
        <v>634</v>
      </c>
      <c r="J26" s="7" t="s">
        <v>20</v>
      </c>
      <c r="K26" s="7" t="s">
        <v>298</v>
      </c>
      <c r="L26" s="11" t="str">
        <f>HYPERLINK("http://slimages.macys.com/is/image/MCY/17667941 ")</f>
        <v xml:space="preserve">http://slimages.macys.com/is/image/MCY/17667941 </v>
      </c>
    </row>
    <row r="27" spans="1:12" ht="39.950000000000003" customHeight="1" x14ac:dyDescent="0.25">
      <c r="A27" s="6" t="s">
        <v>635</v>
      </c>
      <c r="B27" s="7" t="s">
        <v>636</v>
      </c>
      <c r="C27" s="8">
        <v>1</v>
      </c>
      <c r="D27" s="9">
        <v>49.99</v>
      </c>
      <c r="E27" s="8" t="s">
        <v>637</v>
      </c>
      <c r="F27" s="7" t="s">
        <v>57</v>
      </c>
      <c r="G27" s="10"/>
      <c r="H27" s="7" t="s">
        <v>18</v>
      </c>
      <c r="I27" s="7" t="s">
        <v>173</v>
      </c>
      <c r="J27" s="7"/>
      <c r="K27" s="7"/>
      <c r="L27" s="11" t="str">
        <f>HYPERLINK("http://slimages.macys.com/is/image/MCY/17968749 ")</f>
        <v xml:space="preserve">http://slimages.macys.com/is/image/MCY/17968749 </v>
      </c>
    </row>
    <row r="28" spans="1:12" ht="39.950000000000003" customHeight="1" x14ac:dyDescent="0.25">
      <c r="A28" s="6" t="s">
        <v>638</v>
      </c>
      <c r="B28" s="7" t="s">
        <v>639</v>
      </c>
      <c r="C28" s="8">
        <v>1</v>
      </c>
      <c r="D28" s="9">
        <v>49.99</v>
      </c>
      <c r="E28" s="8" t="s">
        <v>640</v>
      </c>
      <c r="F28" s="7" t="s">
        <v>138</v>
      </c>
      <c r="G28" s="10"/>
      <c r="H28" s="7" t="s">
        <v>18</v>
      </c>
      <c r="I28" s="7" t="s">
        <v>173</v>
      </c>
      <c r="J28" s="7"/>
      <c r="K28" s="7"/>
      <c r="L28" s="11" t="str">
        <f>HYPERLINK("http://slimages.macys.com/is/image/MCY/17968749 ")</f>
        <v xml:space="preserve">http://slimages.macys.com/is/image/MCY/17968749 </v>
      </c>
    </row>
    <row r="29" spans="1:12" ht="39.950000000000003" customHeight="1" x14ac:dyDescent="0.25">
      <c r="A29" s="6" t="s">
        <v>641</v>
      </c>
      <c r="B29" s="7" t="s">
        <v>642</v>
      </c>
      <c r="C29" s="8">
        <v>1</v>
      </c>
      <c r="D29" s="9">
        <v>49.99</v>
      </c>
      <c r="E29" s="8" t="s">
        <v>643</v>
      </c>
      <c r="F29" s="7" t="s">
        <v>17</v>
      </c>
      <c r="G29" s="10" t="s">
        <v>321</v>
      </c>
      <c r="H29" s="7" t="s">
        <v>36</v>
      </c>
      <c r="I29" s="7" t="s">
        <v>37</v>
      </c>
      <c r="J29" s="7" t="s">
        <v>20</v>
      </c>
      <c r="K29" s="7" t="s">
        <v>644</v>
      </c>
      <c r="L29" s="11" t="str">
        <f>HYPERLINK("http://slimages.macys.com/is/image/MCY/10747404 ")</f>
        <v xml:space="preserve">http://slimages.macys.com/is/image/MCY/10747404 </v>
      </c>
    </row>
    <row r="30" spans="1:12" ht="39.950000000000003" customHeight="1" x14ac:dyDescent="0.25">
      <c r="A30" s="6" t="s">
        <v>645</v>
      </c>
      <c r="B30" s="7" t="s">
        <v>646</v>
      </c>
      <c r="C30" s="8">
        <v>1</v>
      </c>
      <c r="D30" s="9">
        <v>48.99</v>
      </c>
      <c r="E30" s="8" t="s">
        <v>647</v>
      </c>
      <c r="F30" s="7" t="s">
        <v>52</v>
      </c>
      <c r="G30" s="10" t="s">
        <v>113</v>
      </c>
      <c r="H30" s="7" t="s">
        <v>42</v>
      </c>
      <c r="I30" s="7" t="s">
        <v>629</v>
      </c>
      <c r="J30" s="7" t="s">
        <v>20</v>
      </c>
      <c r="K30" s="7" t="s">
        <v>87</v>
      </c>
      <c r="L30" s="11" t="str">
        <f>HYPERLINK("http://slimages.macys.com/is/image/MCY/10809048 ")</f>
        <v xml:space="preserve">http://slimages.macys.com/is/image/MCY/10809048 </v>
      </c>
    </row>
    <row r="31" spans="1:12" ht="39.950000000000003" customHeight="1" x14ac:dyDescent="0.25">
      <c r="A31" s="6" t="s">
        <v>648</v>
      </c>
      <c r="B31" s="7" t="s">
        <v>649</v>
      </c>
      <c r="C31" s="8">
        <v>1</v>
      </c>
      <c r="D31" s="9">
        <v>29.99</v>
      </c>
      <c r="E31" s="8">
        <v>82262</v>
      </c>
      <c r="F31" s="7" t="s">
        <v>97</v>
      </c>
      <c r="G31" s="10"/>
      <c r="H31" s="7" t="s">
        <v>36</v>
      </c>
      <c r="I31" s="7" t="s">
        <v>499</v>
      </c>
      <c r="J31" s="7"/>
      <c r="K31" s="7"/>
      <c r="L31" s="11" t="str">
        <f>HYPERLINK("http://slimages.macys.com/is/image/MCY/17863046 ")</f>
        <v xml:space="preserve">http://slimages.macys.com/is/image/MCY/17863046 </v>
      </c>
    </row>
    <row r="32" spans="1:12" ht="39.950000000000003" customHeight="1" x14ac:dyDescent="0.25">
      <c r="A32" s="6" t="s">
        <v>650</v>
      </c>
      <c r="B32" s="7" t="s">
        <v>651</v>
      </c>
      <c r="C32" s="8">
        <v>1</v>
      </c>
      <c r="D32" s="9">
        <v>3.99</v>
      </c>
      <c r="E32" s="8" t="s">
        <v>652</v>
      </c>
      <c r="F32" s="7" t="s">
        <v>653</v>
      </c>
      <c r="G32" s="10" t="s">
        <v>206</v>
      </c>
      <c r="H32" s="7" t="s">
        <v>366</v>
      </c>
      <c r="I32" s="7" t="s">
        <v>654</v>
      </c>
      <c r="J32" s="7" t="s">
        <v>20</v>
      </c>
      <c r="K32" s="7" t="s">
        <v>87</v>
      </c>
      <c r="L32" s="11" t="str">
        <f>HYPERLINK("http://slimages.macys.com/is/image/MCY/11926122 ")</f>
        <v xml:space="preserve">http://slimages.macys.com/is/image/MCY/11926122 </v>
      </c>
    </row>
    <row r="33" spans="1:12" ht="39.950000000000003" customHeight="1" x14ac:dyDescent="0.25">
      <c r="A33" s="6" t="s">
        <v>655</v>
      </c>
      <c r="B33" s="7" t="s">
        <v>656</v>
      </c>
      <c r="C33" s="8">
        <v>2</v>
      </c>
      <c r="D33" s="9">
        <v>9.98</v>
      </c>
      <c r="E33" s="8" t="s">
        <v>657</v>
      </c>
      <c r="F33" s="7" t="s">
        <v>163</v>
      </c>
      <c r="G33" s="10" t="s">
        <v>206</v>
      </c>
      <c r="H33" s="7" t="s">
        <v>103</v>
      </c>
      <c r="I33" s="7" t="s">
        <v>191</v>
      </c>
      <c r="J33" s="7" t="s">
        <v>20</v>
      </c>
      <c r="K33" s="7" t="s">
        <v>87</v>
      </c>
      <c r="L33" s="11" t="str">
        <f>HYPERLINK("http://slimages.macys.com/is/image/MCY/12723277 ")</f>
        <v xml:space="preserve">http://slimages.macys.com/is/image/MCY/12723277 </v>
      </c>
    </row>
    <row r="34" spans="1:12" ht="39.950000000000003" customHeight="1" x14ac:dyDescent="0.25">
      <c r="A34" s="6" t="s">
        <v>658</v>
      </c>
      <c r="B34" s="7" t="s">
        <v>659</v>
      </c>
      <c r="C34" s="8">
        <v>1</v>
      </c>
      <c r="D34" s="9">
        <v>179.99</v>
      </c>
      <c r="E34" s="8">
        <v>22775422</v>
      </c>
      <c r="F34" s="7" t="s">
        <v>320</v>
      </c>
      <c r="G34" s="10"/>
      <c r="H34" s="7" t="s">
        <v>36</v>
      </c>
      <c r="I34" s="7" t="s">
        <v>130</v>
      </c>
      <c r="J34" s="7"/>
      <c r="K34" s="7"/>
      <c r="L34" s="11"/>
    </row>
    <row r="35" spans="1:12" ht="39.950000000000003" customHeight="1" x14ac:dyDescent="0.25">
      <c r="A35" s="6" t="s">
        <v>660</v>
      </c>
      <c r="B35" s="7" t="s">
        <v>661</v>
      </c>
      <c r="C35" s="8">
        <v>1</v>
      </c>
      <c r="D35" s="9">
        <v>129.99</v>
      </c>
      <c r="E35" s="8" t="s">
        <v>662</v>
      </c>
      <c r="F35" s="7" t="s">
        <v>34</v>
      </c>
      <c r="G35" s="10"/>
      <c r="H35" s="7" t="s">
        <v>242</v>
      </c>
      <c r="I35" s="7" t="s">
        <v>663</v>
      </c>
      <c r="J35" s="7"/>
      <c r="K35" s="7"/>
      <c r="L35" s="11"/>
    </row>
    <row r="36" spans="1:12" ht="39.950000000000003" customHeight="1" x14ac:dyDescent="0.25">
      <c r="A36" s="6" t="s">
        <v>664</v>
      </c>
      <c r="B36" s="7" t="s">
        <v>665</v>
      </c>
      <c r="C36" s="8">
        <v>1</v>
      </c>
      <c r="D36" s="9">
        <v>99.99</v>
      </c>
      <c r="E36" s="8" t="s">
        <v>666</v>
      </c>
      <c r="F36" s="7" t="s">
        <v>25</v>
      </c>
      <c r="G36" s="10"/>
      <c r="H36" s="7" t="s">
        <v>42</v>
      </c>
      <c r="I36" s="7" t="s">
        <v>361</v>
      </c>
      <c r="J36" s="7"/>
      <c r="K36" s="7"/>
      <c r="L36" s="11"/>
    </row>
    <row r="37" spans="1:12" ht="39.950000000000003" customHeight="1" x14ac:dyDescent="0.25">
      <c r="A37" s="6" t="s">
        <v>667</v>
      </c>
      <c r="B37" s="7" t="s">
        <v>668</v>
      </c>
      <c r="C37" s="8">
        <v>1</v>
      </c>
      <c r="D37" s="9">
        <v>69.989999999999995</v>
      </c>
      <c r="E37" s="8" t="s">
        <v>669</v>
      </c>
      <c r="F37" s="7" t="s">
        <v>457</v>
      </c>
      <c r="G37" s="10"/>
      <c r="H37" s="7" t="s">
        <v>92</v>
      </c>
      <c r="I37" s="7" t="s">
        <v>93</v>
      </c>
      <c r="J37" s="7"/>
      <c r="K37" s="7"/>
      <c r="L37" s="11"/>
    </row>
    <row r="38" spans="1:12" ht="39.950000000000003" customHeight="1" x14ac:dyDescent="0.25">
      <c r="A38" s="6" t="s">
        <v>670</v>
      </c>
      <c r="B38" s="7" t="s">
        <v>671</v>
      </c>
      <c r="C38" s="8">
        <v>1</v>
      </c>
      <c r="D38" s="9">
        <v>52.99</v>
      </c>
      <c r="E38" s="8" t="s">
        <v>672</v>
      </c>
      <c r="F38" s="7" t="s">
        <v>25</v>
      </c>
      <c r="G38" s="10"/>
      <c r="H38" s="7" t="s">
        <v>79</v>
      </c>
      <c r="I38" s="7" t="s">
        <v>673</v>
      </c>
      <c r="J38" s="7"/>
      <c r="K38" s="7"/>
      <c r="L38" s="11"/>
    </row>
    <row r="39" spans="1:12" ht="39.950000000000003" customHeight="1" x14ac:dyDescent="0.25">
      <c r="A39" s="6"/>
      <c r="B39" s="7"/>
      <c r="C39" s="8"/>
      <c r="D39" s="9"/>
      <c r="E39" s="8"/>
      <c r="F39" s="7"/>
      <c r="G39" s="10"/>
      <c r="H39" s="7"/>
      <c r="I39" s="7"/>
      <c r="J39" s="7"/>
      <c r="K39" s="7"/>
      <c r="L39" s="11"/>
    </row>
    <row r="40" spans="1:12" ht="39.950000000000003" customHeight="1" x14ac:dyDescent="0.25">
      <c r="A40" s="6"/>
      <c r="B40" s="7"/>
      <c r="C40" s="8"/>
      <c r="D40" s="9"/>
      <c r="E40" s="8"/>
      <c r="F40" s="7"/>
      <c r="G40" s="10"/>
      <c r="H40" s="7"/>
      <c r="I40" s="7"/>
      <c r="J40" s="7"/>
      <c r="K40" s="7"/>
      <c r="L40" s="11"/>
    </row>
    <row r="41" spans="1:12" ht="39.950000000000003" customHeight="1" x14ac:dyDescent="0.25">
      <c r="A41" s="6"/>
      <c r="B41" s="7"/>
      <c r="C41" s="8"/>
      <c r="D41" s="9"/>
      <c r="E41" s="8"/>
      <c r="F41" s="7"/>
      <c r="G41" s="10"/>
      <c r="H41" s="7"/>
      <c r="I41" s="7"/>
      <c r="J41" s="7"/>
      <c r="K41" s="7"/>
      <c r="L41" s="11"/>
    </row>
    <row r="42" spans="1:12" ht="39.950000000000003" customHeight="1" x14ac:dyDescent="0.25">
      <c r="A42" s="6"/>
      <c r="B42" s="7"/>
      <c r="C42" s="8"/>
      <c r="D42" s="9"/>
      <c r="E42" s="8"/>
      <c r="F42" s="7"/>
      <c r="G42" s="10"/>
      <c r="H42" s="7"/>
      <c r="I42" s="7"/>
      <c r="J42" s="7"/>
      <c r="K42" s="7"/>
      <c r="L42" s="11"/>
    </row>
    <row r="43" spans="1:12" ht="39.950000000000003" customHeight="1" x14ac:dyDescent="0.25">
      <c r="A43" s="6"/>
      <c r="B43" s="7"/>
      <c r="C43" s="8"/>
      <c r="D43" s="9"/>
      <c r="E43" s="8"/>
      <c r="F43" s="7"/>
      <c r="G43" s="10"/>
      <c r="H43" s="7"/>
      <c r="I43" s="7"/>
      <c r="J43" s="7"/>
      <c r="K43" s="7"/>
      <c r="L43" s="11"/>
    </row>
    <row r="44" spans="1:12" ht="39.950000000000003" customHeight="1" x14ac:dyDescent="0.25">
      <c r="A44" s="6"/>
      <c r="B44" s="7"/>
      <c r="C44" s="8"/>
      <c r="D44" s="9"/>
      <c r="E44" s="8"/>
      <c r="F44" s="7"/>
      <c r="G44" s="10"/>
      <c r="H44" s="7"/>
      <c r="I44" s="7"/>
      <c r="J44" s="7"/>
      <c r="K44" s="7"/>
      <c r="L44" s="11"/>
    </row>
    <row r="45" spans="1:12" ht="39.950000000000003" customHeight="1" x14ac:dyDescent="0.25">
      <c r="A45" s="6"/>
      <c r="B45" s="7"/>
      <c r="C45" s="8"/>
      <c r="D45" s="9"/>
      <c r="E45" s="8"/>
      <c r="F45" s="7"/>
      <c r="G45" s="10"/>
      <c r="H45" s="7"/>
      <c r="I45" s="7"/>
      <c r="J45" s="7"/>
      <c r="K45" s="7"/>
      <c r="L45" s="11"/>
    </row>
    <row r="46" spans="1:12" ht="39.950000000000003" customHeight="1" x14ac:dyDescent="0.25">
      <c r="A46" s="6"/>
      <c r="B46" s="7"/>
      <c r="C46" s="8"/>
      <c r="D46" s="9"/>
      <c r="E46" s="8"/>
      <c r="F46" s="7"/>
      <c r="G46" s="10"/>
      <c r="H46" s="7"/>
      <c r="I46" s="7"/>
      <c r="J46" s="7"/>
      <c r="K46" s="7"/>
      <c r="L46" s="11"/>
    </row>
    <row r="47" spans="1:12" ht="39.950000000000003" customHeight="1" x14ac:dyDescent="0.25">
      <c r="A47" s="6"/>
      <c r="B47" s="7"/>
      <c r="C47" s="8"/>
      <c r="D47" s="9"/>
      <c r="E47" s="8"/>
      <c r="F47" s="7"/>
      <c r="G47" s="10"/>
      <c r="H47" s="7"/>
      <c r="I47" s="7"/>
      <c r="J47" s="7"/>
      <c r="K47" s="7"/>
      <c r="L47" s="11"/>
    </row>
    <row r="48" spans="1:12" ht="39.950000000000003" customHeight="1" x14ac:dyDescent="0.25">
      <c r="A48" s="6"/>
      <c r="B48" s="7"/>
      <c r="C48" s="8"/>
      <c r="D48" s="9"/>
      <c r="E48" s="8"/>
      <c r="F48" s="7"/>
      <c r="G48" s="10"/>
      <c r="H48" s="7"/>
      <c r="I48" s="7"/>
      <c r="J48" s="7"/>
      <c r="K48" s="7"/>
      <c r="L48" s="11"/>
    </row>
    <row r="49" spans="1:12" ht="39.950000000000003" customHeight="1" x14ac:dyDescent="0.25">
      <c r="A49" s="6"/>
      <c r="B49" s="7"/>
      <c r="C49" s="8"/>
      <c r="D49" s="9"/>
      <c r="E49" s="8"/>
      <c r="F49" s="7"/>
      <c r="G49" s="10"/>
      <c r="H49" s="7"/>
      <c r="I49" s="7"/>
      <c r="J49" s="7"/>
      <c r="K49" s="7"/>
      <c r="L49" s="11"/>
    </row>
    <row r="50" spans="1:12" ht="39.950000000000003" customHeight="1" x14ac:dyDescent="0.25">
      <c r="A50" s="6"/>
      <c r="B50" s="7"/>
      <c r="C50" s="8"/>
      <c r="D50" s="9"/>
      <c r="E50" s="8"/>
      <c r="F50" s="7"/>
      <c r="G50" s="10"/>
      <c r="H50" s="7"/>
      <c r="I50" s="7"/>
      <c r="J50" s="7"/>
      <c r="K50" s="7"/>
      <c r="L50" s="11"/>
    </row>
    <row r="51" spans="1:12" ht="39.950000000000003" customHeight="1" x14ac:dyDescent="0.25">
      <c r="A51" s="6"/>
      <c r="B51" s="7"/>
      <c r="C51" s="8"/>
      <c r="D51" s="9"/>
      <c r="E51" s="8"/>
      <c r="F51" s="7"/>
      <c r="G51" s="10"/>
      <c r="H51" s="7"/>
      <c r="I51" s="7"/>
      <c r="J51" s="7"/>
      <c r="K51" s="7"/>
      <c r="L51" s="11"/>
    </row>
    <row r="52" spans="1:12" ht="39.950000000000003" customHeight="1" x14ac:dyDescent="0.25">
      <c r="A52" s="6"/>
      <c r="B52" s="7"/>
      <c r="C52" s="8"/>
      <c r="D52" s="9"/>
      <c r="E52" s="8"/>
      <c r="F52" s="7"/>
      <c r="G52" s="10"/>
      <c r="H52" s="7"/>
      <c r="I52" s="7"/>
      <c r="J52" s="7"/>
      <c r="K52" s="7"/>
      <c r="L52" s="11"/>
    </row>
    <row r="53" spans="1:12" ht="39.950000000000003" customHeight="1" x14ac:dyDescent="0.25">
      <c r="A53" s="6"/>
      <c r="B53" s="7"/>
      <c r="C53" s="8"/>
      <c r="D53" s="9"/>
      <c r="E53" s="8"/>
      <c r="F53" s="7"/>
      <c r="G53" s="10"/>
      <c r="H53" s="7"/>
      <c r="I53" s="7"/>
      <c r="J53" s="7"/>
      <c r="K53" s="7"/>
      <c r="L53" s="11"/>
    </row>
    <row r="54" spans="1:12" ht="39.950000000000003" customHeight="1" x14ac:dyDescent="0.25">
      <c r="A54" s="6"/>
      <c r="B54" s="7"/>
      <c r="C54" s="8"/>
      <c r="D54" s="9"/>
      <c r="E54" s="8"/>
      <c r="F54" s="7"/>
      <c r="G54" s="10"/>
      <c r="H54" s="7"/>
      <c r="I54" s="7"/>
      <c r="J54" s="7"/>
      <c r="K54" s="7"/>
      <c r="L54" s="11"/>
    </row>
    <row r="55" spans="1:12" ht="39.950000000000003" customHeight="1" x14ac:dyDescent="0.25">
      <c r="A55" s="6"/>
      <c r="B55" s="7"/>
      <c r="C55" s="8"/>
      <c r="D55" s="9"/>
      <c r="E55" s="8"/>
      <c r="F55" s="7"/>
      <c r="G55" s="10"/>
      <c r="H55" s="7"/>
      <c r="I55" s="7"/>
      <c r="J55" s="7"/>
      <c r="K55" s="7"/>
      <c r="L55" s="11"/>
    </row>
    <row r="56" spans="1:12" ht="39.950000000000003" customHeight="1" x14ac:dyDescent="0.25">
      <c r="A56" s="6"/>
      <c r="B56" s="7"/>
      <c r="C56" s="8"/>
      <c r="D56" s="9"/>
      <c r="E56" s="8"/>
      <c r="F56" s="7"/>
      <c r="G56" s="10"/>
      <c r="H56" s="7"/>
      <c r="I56" s="7"/>
      <c r="J56" s="7"/>
      <c r="K56" s="7"/>
      <c r="L56" s="1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6879F-1A1A-4A69-89FB-EAA933B98DDE}">
  <dimension ref="A1:L56"/>
  <sheetViews>
    <sheetView workbookViewId="0"/>
  </sheetViews>
  <sheetFormatPr defaultRowHeight="39.950000000000003" customHeight="1" x14ac:dyDescent="0.25"/>
  <cols>
    <col min="1" max="1" width="14.28515625" customWidth="1"/>
    <col min="2" max="2" width="22.28515625" customWidth="1"/>
    <col min="3" max="3" width="15" customWidth="1"/>
    <col min="4" max="4" width="10.28515625" customWidth="1"/>
    <col min="5" max="5" width="17.140625" customWidth="1"/>
    <col min="6" max="6" width="11.42578125" customWidth="1"/>
    <col min="7" max="7" width="10.85546875" customWidth="1"/>
    <col min="8" max="8" width="12.140625" customWidth="1"/>
    <col min="9" max="9" width="36.5703125" bestFit="1" customWidth="1"/>
    <col min="10" max="11" width="20.7109375" customWidth="1"/>
    <col min="12" max="12" width="64.28515625" customWidth="1"/>
  </cols>
  <sheetData>
    <row r="1" spans="1:12" ht="39.950000000000003" customHeight="1" x14ac:dyDescent="0.25">
      <c r="A1" s="5" t="s">
        <v>2</v>
      </c>
      <c r="B1" s="5" t="s">
        <v>3</v>
      </c>
      <c r="C1" s="5" t="s">
        <v>4</v>
      </c>
      <c r="D1" s="5" t="s">
        <v>5</v>
      </c>
      <c r="E1" s="5" t="s">
        <v>6</v>
      </c>
      <c r="F1" s="5" t="s">
        <v>7</v>
      </c>
      <c r="G1" s="5" t="s">
        <v>8</v>
      </c>
      <c r="H1" s="5" t="s">
        <v>9</v>
      </c>
      <c r="I1" s="5" t="s">
        <v>10</v>
      </c>
      <c r="J1" s="5" t="s">
        <v>11</v>
      </c>
      <c r="K1" s="5" t="s">
        <v>12</v>
      </c>
      <c r="L1" s="5" t="s">
        <v>13</v>
      </c>
    </row>
    <row r="2" spans="1:12" ht="39.950000000000003" customHeight="1" x14ac:dyDescent="0.25">
      <c r="A2" s="6" t="s">
        <v>550</v>
      </c>
      <c r="B2" s="7" t="s">
        <v>551</v>
      </c>
      <c r="C2" s="8">
        <v>1</v>
      </c>
      <c r="D2" s="9">
        <v>299.99</v>
      </c>
      <c r="E2" s="8" t="s">
        <v>552</v>
      </c>
      <c r="F2" s="7" t="s">
        <v>375</v>
      </c>
      <c r="G2" s="10"/>
      <c r="H2" s="7" t="s">
        <v>92</v>
      </c>
      <c r="I2" s="7" t="s">
        <v>93</v>
      </c>
      <c r="J2" s="7" t="s">
        <v>20</v>
      </c>
      <c r="K2" s="7" t="s">
        <v>160</v>
      </c>
      <c r="L2" s="11" t="str">
        <f>HYPERLINK("http://slimages.macys.com/is/image/MCY/8437860 ")</f>
        <v xml:space="preserve">http://slimages.macys.com/is/image/MCY/8437860 </v>
      </c>
    </row>
    <row r="3" spans="1:12" ht="39.950000000000003" customHeight="1" x14ac:dyDescent="0.25">
      <c r="A3" s="6" t="s">
        <v>674</v>
      </c>
      <c r="B3" s="7" t="s">
        <v>675</v>
      </c>
      <c r="C3" s="8">
        <v>1</v>
      </c>
      <c r="D3" s="9">
        <v>239.99</v>
      </c>
      <c r="E3" s="8" t="s">
        <v>676</v>
      </c>
      <c r="F3" s="7" t="s">
        <v>375</v>
      </c>
      <c r="G3" s="10"/>
      <c r="H3" s="7" t="s">
        <v>67</v>
      </c>
      <c r="I3" s="7" t="s">
        <v>272</v>
      </c>
      <c r="J3" s="7" t="s">
        <v>20</v>
      </c>
      <c r="K3" s="7" t="s">
        <v>677</v>
      </c>
      <c r="L3" s="11" t="str">
        <f>HYPERLINK("http://slimages.macys.com/is/image/MCY/13891271 ")</f>
        <v xml:space="preserve">http://slimages.macys.com/is/image/MCY/13891271 </v>
      </c>
    </row>
    <row r="4" spans="1:12" ht="39.950000000000003" customHeight="1" x14ac:dyDescent="0.25">
      <c r="A4" s="6" t="s">
        <v>678</v>
      </c>
      <c r="B4" s="7" t="s">
        <v>679</v>
      </c>
      <c r="C4" s="8">
        <v>1</v>
      </c>
      <c r="D4" s="9">
        <v>199.99</v>
      </c>
      <c r="E4" s="8" t="s">
        <v>680</v>
      </c>
      <c r="F4" s="7" t="s">
        <v>25</v>
      </c>
      <c r="G4" s="10" t="s">
        <v>143</v>
      </c>
      <c r="H4" s="7" t="s">
        <v>27</v>
      </c>
      <c r="I4" s="7" t="s">
        <v>681</v>
      </c>
      <c r="J4" s="7" t="s">
        <v>521</v>
      </c>
      <c r="K4" s="7" t="s">
        <v>682</v>
      </c>
      <c r="L4" s="11" t="str">
        <f>HYPERLINK("http://slimages.macys.com/is/image/MCY/12451185 ")</f>
        <v xml:space="preserve">http://slimages.macys.com/is/image/MCY/12451185 </v>
      </c>
    </row>
    <row r="5" spans="1:12" ht="39.950000000000003" customHeight="1" x14ac:dyDescent="0.25">
      <c r="A5" s="6" t="s">
        <v>683</v>
      </c>
      <c r="B5" s="7" t="s">
        <v>684</v>
      </c>
      <c r="C5" s="8">
        <v>1</v>
      </c>
      <c r="D5" s="9">
        <v>127.99</v>
      </c>
      <c r="E5" s="8" t="s">
        <v>685</v>
      </c>
      <c r="F5" s="7" t="s">
        <v>176</v>
      </c>
      <c r="G5" s="10" t="s">
        <v>113</v>
      </c>
      <c r="H5" s="7" t="s">
        <v>36</v>
      </c>
      <c r="I5" s="7" t="s">
        <v>453</v>
      </c>
      <c r="J5" s="7" t="s">
        <v>20</v>
      </c>
      <c r="K5" s="7" t="s">
        <v>127</v>
      </c>
      <c r="L5" s="11" t="str">
        <f>HYPERLINK("http://slimages.macys.com/is/image/MCY/11505107 ")</f>
        <v xml:space="preserve">http://slimages.macys.com/is/image/MCY/11505107 </v>
      </c>
    </row>
    <row r="6" spans="1:12" ht="39.950000000000003" customHeight="1" x14ac:dyDescent="0.25">
      <c r="A6" s="6" t="s">
        <v>686</v>
      </c>
      <c r="B6" s="7" t="s">
        <v>687</v>
      </c>
      <c r="C6" s="8">
        <v>1</v>
      </c>
      <c r="D6" s="9">
        <v>105.99</v>
      </c>
      <c r="E6" s="8" t="s">
        <v>688</v>
      </c>
      <c r="F6" s="7" t="s">
        <v>457</v>
      </c>
      <c r="G6" s="10"/>
      <c r="H6" s="7" t="s">
        <v>42</v>
      </c>
      <c r="I6" s="7" t="s">
        <v>63</v>
      </c>
      <c r="J6" s="7" t="s">
        <v>20</v>
      </c>
      <c r="K6" s="7" t="s">
        <v>689</v>
      </c>
      <c r="L6" s="11" t="str">
        <f>HYPERLINK("http://slimages.macys.com/is/image/MCY/9798710 ")</f>
        <v xml:space="preserve">http://slimages.macys.com/is/image/MCY/9798710 </v>
      </c>
    </row>
    <row r="7" spans="1:12" ht="39.950000000000003" customHeight="1" x14ac:dyDescent="0.25">
      <c r="A7" s="6" t="s">
        <v>690</v>
      </c>
      <c r="B7" s="7" t="s">
        <v>691</v>
      </c>
      <c r="C7" s="8">
        <v>1</v>
      </c>
      <c r="D7" s="9">
        <v>69.989999999999995</v>
      </c>
      <c r="E7" s="8" t="s">
        <v>692</v>
      </c>
      <c r="F7" s="7" t="s">
        <v>85</v>
      </c>
      <c r="G7" s="10"/>
      <c r="H7" s="7" t="s">
        <v>42</v>
      </c>
      <c r="I7" s="7" t="s">
        <v>147</v>
      </c>
      <c r="J7" s="7" t="s">
        <v>20</v>
      </c>
      <c r="K7" s="7" t="s">
        <v>44</v>
      </c>
      <c r="L7" s="11" t="str">
        <f>HYPERLINK("http://slimages.macys.com/is/image/MCY/8799838 ")</f>
        <v xml:space="preserve">http://slimages.macys.com/is/image/MCY/8799838 </v>
      </c>
    </row>
    <row r="8" spans="1:12" ht="39.950000000000003" customHeight="1" x14ac:dyDescent="0.25">
      <c r="A8" s="6" t="s">
        <v>693</v>
      </c>
      <c r="B8" s="7" t="s">
        <v>694</v>
      </c>
      <c r="C8" s="8">
        <v>1</v>
      </c>
      <c r="D8" s="9">
        <v>119.99</v>
      </c>
      <c r="E8" s="8" t="s">
        <v>695</v>
      </c>
      <c r="F8" s="7" t="s">
        <v>271</v>
      </c>
      <c r="G8" s="10"/>
      <c r="H8" s="7" t="s">
        <v>98</v>
      </c>
      <c r="I8" s="7" t="s">
        <v>99</v>
      </c>
      <c r="J8" s="7" t="s">
        <v>20</v>
      </c>
      <c r="K8" s="7" t="s">
        <v>100</v>
      </c>
      <c r="L8" s="11" t="str">
        <f>HYPERLINK("http://slimages.macys.com/is/image/MCY/8433239 ")</f>
        <v xml:space="preserve">http://slimages.macys.com/is/image/MCY/8433239 </v>
      </c>
    </row>
    <row r="9" spans="1:12" ht="39.950000000000003" customHeight="1" x14ac:dyDescent="0.25">
      <c r="A9" s="6" t="s">
        <v>696</v>
      </c>
      <c r="B9" s="7" t="s">
        <v>697</v>
      </c>
      <c r="C9" s="8">
        <v>1</v>
      </c>
      <c r="D9" s="9">
        <v>149.99</v>
      </c>
      <c r="E9" s="8" t="s">
        <v>698</v>
      </c>
      <c r="F9" s="7" t="s">
        <v>25</v>
      </c>
      <c r="G9" s="10"/>
      <c r="H9" s="7" t="s">
        <v>699</v>
      </c>
      <c r="I9" s="7" t="s">
        <v>700</v>
      </c>
      <c r="J9" s="7"/>
      <c r="K9" s="7"/>
      <c r="L9" s="11" t="str">
        <f>HYPERLINK("http://slimages.macys.com/is/image/MCY/17912472 ")</f>
        <v xml:space="preserve">http://slimages.macys.com/is/image/MCY/17912472 </v>
      </c>
    </row>
    <row r="10" spans="1:12" ht="39.950000000000003" customHeight="1" x14ac:dyDescent="0.25">
      <c r="A10" s="6" t="s">
        <v>701</v>
      </c>
      <c r="B10" s="7" t="s">
        <v>702</v>
      </c>
      <c r="C10" s="8">
        <v>1</v>
      </c>
      <c r="D10" s="9">
        <v>68.989999999999995</v>
      </c>
      <c r="E10" s="8" t="s">
        <v>703</v>
      </c>
      <c r="F10" s="7" t="s">
        <v>704</v>
      </c>
      <c r="G10" s="10"/>
      <c r="H10" s="7" t="s">
        <v>18</v>
      </c>
      <c r="I10" s="7" t="s">
        <v>86</v>
      </c>
      <c r="J10" s="7" t="s">
        <v>20</v>
      </c>
      <c r="K10" s="7" t="s">
        <v>109</v>
      </c>
      <c r="L10" s="11" t="str">
        <f>HYPERLINK("http://slimages.macys.com/is/image/MCY/13300641 ")</f>
        <v xml:space="preserve">http://slimages.macys.com/is/image/MCY/13300641 </v>
      </c>
    </row>
    <row r="11" spans="1:12" ht="39.950000000000003" customHeight="1" x14ac:dyDescent="0.25">
      <c r="A11" s="6" t="s">
        <v>705</v>
      </c>
      <c r="B11" s="7" t="s">
        <v>706</v>
      </c>
      <c r="C11" s="8">
        <v>1</v>
      </c>
      <c r="D11" s="9">
        <v>59.99</v>
      </c>
      <c r="E11" s="8" t="s">
        <v>707</v>
      </c>
      <c r="F11" s="7" t="s">
        <v>598</v>
      </c>
      <c r="G11" s="10"/>
      <c r="H11" s="7" t="s">
        <v>18</v>
      </c>
      <c r="I11" s="7" t="s">
        <v>173</v>
      </c>
      <c r="J11" s="7" t="s">
        <v>20</v>
      </c>
      <c r="K11" s="7" t="s">
        <v>708</v>
      </c>
      <c r="L11" s="11" t="str">
        <f>HYPERLINK("http://slimages.macys.com/is/image/MCY/13036438 ")</f>
        <v xml:space="preserve">http://slimages.macys.com/is/image/MCY/13036438 </v>
      </c>
    </row>
    <row r="12" spans="1:12" ht="39.950000000000003" customHeight="1" x14ac:dyDescent="0.25">
      <c r="A12" s="6" t="s">
        <v>281</v>
      </c>
      <c r="B12" s="7" t="s">
        <v>23</v>
      </c>
      <c r="C12" s="8">
        <v>1</v>
      </c>
      <c r="D12" s="9">
        <v>87.99</v>
      </c>
      <c r="E12" s="8" t="s">
        <v>282</v>
      </c>
      <c r="F12" s="7" t="s">
        <v>25</v>
      </c>
      <c r="G12" s="10" t="s">
        <v>26</v>
      </c>
      <c r="H12" s="7" t="s">
        <v>27</v>
      </c>
      <c r="I12" s="7" t="s">
        <v>28</v>
      </c>
      <c r="J12" s="7" t="s">
        <v>29</v>
      </c>
      <c r="K12" s="7" t="s">
        <v>30</v>
      </c>
      <c r="L12" s="11" t="str">
        <f>HYPERLINK("http://slimages.macys.com/is/image/MCY/11798194 ")</f>
        <v xml:space="preserve">http://slimages.macys.com/is/image/MCY/11798194 </v>
      </c>
    </row>
    <row r="13" spans="1:12" ht="39.950000000000003" customHeight="1" x14ac:dyDescent="0.25">
      <c r="A13" s="6" t="s">
        <v>709</v>
      </c>
      <c r="B13" s="7" t="s">
        <v>710</v>
      </c>
      <c r="C13" s="8">
        <v>1</v>
      </c>
      <c r="D13" s="9">
        <v>64.989999999999995</v>
      </c>
      <c r="E13" s="8" t="s">
        <v>711</v>
      </c>
      <c r="F13" s="7" t="s">
        <v>25</v>
      </c>
      <c r="G13" s="10"/>
      <c r="H13" s="7" t="s">
        <v>519</v>
      </c>
      <c r="I13" s="7" t="s">
        <v>712</v>
      </c>
      <c r="J13" s="7" t="s">
        <v>521</v>
      </c>
      <c r="K13" s="7" t="s">
        <v>713</v>
      </c>
      <c r="L13" s="11" t="str">
        <f>HYPERLINK("http://slimages.macys.com/is/image/MCY/8589816 ")</f>
        <v xml:space="preserve">http://slimages.macys.com/is/image/MCY/8589816 </v>
      </c>
    </row>
    <row r="14" spans="1:12" ht="39.950000000000003" customHeight="1" x14ac:dyDescent="0.25">
      <c r="A14" s="6" t="s">
        <v>714</v>
      </c>
      <c r="B14" s="7" t="s">
        <v>715</v>
      </c>
      <c r="C14" s="8">
        <v>1</v>
      </c>
      <c r="D14" s="9">
        <v>49.99</v>
      </c>
      <c r="E14" s="8" t="s">
        <v>716</v>
      </c>
      <c r="F14" s="7" t="s">
        <v>25</v>
      </c>
      <c r="G14" s="10"/>
      <c r="H14" s="7" t="s">
        <v>18</v>
      </c>
      <c r="I14" s="7" t="s">
        <v>173</v>
      </c>
      <c r="J14" s="7"/>
      <c r="K14" s="7"/>
      <c r="L14" s="11" t="str">
        <f>HYPERLINK("http://slimages.macys.com/is/image/MCY/18035146 ")</f>
        <v xml:space="preserve">http://slimages.macys.com/is/image/MCY/18035146 </v>
      </c>
    </row>
    <row r="15" spans="1:12" ht="39.950000000000003" customHeight="1" x14ac:dyDescent="0.25">
      <c r="A15" s="6" t="s">
        <v>717</v>
      </c>
      <c r="B15" s="7" t="s">
        <v>718</v>
      </c>
      <c r="C15" s="8">
        <v>1</v>
      </c>
      <c r="D15" s="9">
        <v>54.99</v>
      </c>
      <c r="E15" s="8" t="s">
        <v>719</v>
      </c>
      <c r="F15" s="7" t="s">
        <v>25</v>
      </c>
      <c r="G15" s="10" t="s">
        <v>143</v>
      </c>
      <c r="H15" s="7" t="s">
        <v>27</v>
      </c>
      <c r="I15" s="7" t="s">
        <v>720</v>
      </c>
      <c r="J15" s="7"/>
      <c r="K15" s="7"/>
      <c r="L15" s="11" t="str">
        <f>HYPERLINK("http://slimages.macys.com/is/image/MCY/17546537 ")</f>
        <v xml:space="preserve">http://slimages.macys.com/is/image/MCY/17546537 </v>
      </c>
    </row>
    <row r="16" spans="1:12" ht="39.950000000000003" customHeight="1" x14ac:dyDescent="0.25">
      <c r="A16" s="6" t="s">
        <v>721</v>
      </c>
      <c r="B16" s="7" t="s">
        <v>722</v>
      </c>
      <c r="C16" s="8">
        <v>1</v>
      </c>
      <c r="D16" s="9">
        <v>39.99</v>
      </c>
      <c r="E16" s="8" t="s">
        <v>723</v>
      </c>
      <c r="F16" s="7" t="s">
        <v>172</v>
      </c>
      <c r="G16" s="10"/>
      <c r="H16" s="7" t="s">
        <v>18</v>
      </c>
      <c r="I16" s="7" t="s">
        <v>173</v>
      </c>
      <c r="J16" s="7"/>
      <c r="K16" s="7"/>
      <c r="L16" s="11" t="str">
        <f>HYPERLINK("http://slimages.macys.com/is/image/MCY/16524334 ")</f>
        <v xml:space="preserve">http://slimages.macys.com/is/image/MCY/16524334 </v>
      </c>
    </row>
    <row r="17" spans="1:12" ht="39.950000000000003" customHeight="1" x14ac:dyDescent="0.25">
      <c r="A17" s="6" t="s">
        <v>724</v>
      </c>
      <c r="B17" s="7" t="s">
        <v>725</v>
      </c>
      <c r="C17" s="8">
        <v>1</v>
      </c>
      <c r="D17" s="9">
        <v>49.99</v>
      </c>
      <c r="E17" s="8">
        <v>22361238</v>
      </c>
      <c r="F17" s="7" t="s">
        <v>57</v>
      </c>
      <c r="G17" s="10"/>
      <c r="H17" s="7" t="s">
        <v>18</v>
      </c>
      <c r="I17" s="7" t="s">
        <v>130</v>
      </c>
      <c r="J17" s="7"/>
      <c r="K17" s="7"/>
      <c r="L17" s="11" t="str">
        <f>HYPERLINK("http://slimages.macys.com/is/image/MCY/17191784 ")</f>
        <v xml:space="preserve">http://slimages.macys.com/is/image/MCY/17191784 </v>
      </c>
    </row>
    <row r="18" spans="1:12" ht="39.950000000000003" customHeight="1" x14ac:dyDescent="0.25">
      <c r="A18" s="6" t="s">
        <v>726</v>
      </c>
      <c r="B18" s="7" t="s">
        <v>727</v>
      </c>
      <c r="C18" s="8">
        <v>1</v>
      </c>
      <c r="D18" s="9">
        <v>49.99</v>
      </c>
      <c r="E18" s="8" t="s">
        <v>728</v>
      </c>
      <c r="F18" s="7" t="s">
        <v>25</v>
      </c>
      <c r="G18" s="10" t="s">
        <v>26</v>
      </c>
      <c r="H18" s="7" t="s">
        <v>27</v>
      </c>
      <c r="I18" s="7" t="s">
        <v>720</v>
      </c>
      <c r="J18" s="7"/>
      <c r="K18" s="7"/>
      <c r="L18" s="11" t="str">
        <f>HYPERLINK("http://slimages.macys.com/is/image/MCY/17546371 ")</f>
        <v xml:space="preserve">http://slimages.macys.com/is/image/MCY/17546371 </v>
      </c>
    </row>
    <row r="19" spans="1:12" ht="39.950000000000003" customHeight="1" x14ac:dyDescent="0.25">
      <c r="A19" s="6" t="s">
        <v>729</v>
      </c>
      <c r="B19" s="7" t="s">
        <v>730</v>
      </c>
      <c r="C19" s="8">
        <v>2</v>
      </c>
      <c r="D19" s="9">
        <v>75.98</v>
      </c>
      <c r="E19" s="8" t="s">
        <v>731</v>
      </c>
      <c r="F19" s="7" t="s">
        <v>704</v>
      </c>
      <c r="G19" s="10" t="s">
        <v>113</v>
      </c>
      <c r="H19" s="7" t="s">
        <v>73</v>
      </c>
      <c r="I19" s="7" t="s">
        <v>732</v>
      </c>
      <c r="J19" s="7" t="s">
        <v>29</v>
      </c>
      <c r="K19" s="7" t="s">
        <v>44</v>
      </c>
      <c r="L19" s="11" t="str">
        <f>HYPERLINK("http://slimages.macys.com/is/image/MCY/15801568 ")</f>
        <v xml:space="preserve">http://slimages.macys.com/is/image/MCY/15801568 </v>
      </c>
    </row>
    <row r="20" spans="1:12" ht="39.950000000000003" customHeight="1" x14ac:dyDescent="0.25">
      <c r="A20" s="6" t="s">
        <v>733</v>
      </c>
      <c r="B20" s="7" t="s">
        <v>734</v>
      </c>
      <c r="C20" s="8">
        <v>1</v>
      </c>
      <c r="D20" s="9">
        <v>39.99</v>
      </c>
      <c r="E20" s="8" t="s">
        <v>735</v>
      </c>
      <c r="F20" s="7" t="s">
        <v>25</v>
      </c>
      <c r="G20" s="10" t="s">
        <v>126</v>
      </c>
      <c r="H20" s="7" t="s">
        <v>519</v>
      </c>
      <c r="I20" s="7" t="s">
        <v>736</v>
      </c>
      <c r="J20" s="7" t="s">
        <v>20</v>
      </c>
      <c r="K20" s="7"/>
      <c r="L20" s="11" t="str">
        <f>HYPERLINK("http://slimages.macys.com/is/image/MCY/8839662 ")</f>
        <v xml:space="preserve">http://slimages.macys.com/is/image/MCY/8839662 </v>
      </c>
    </row>
    <row r="21" spans="1:12" ht="39.950000000000003" customHeight="1" x14ac:dyDescent="0.25">
      <c r="A21" s="6" t="s">
        <v>737</v>
      </c>
      <c r="B21" s="7" t="s">
        <v>738</v>
      </c>
      <c r="C21" s="8">
        <v>2</v>
      </c>
      <c r="D21" s="9">
        <v>149.97999999999999</v>
      </c>
      <c r="E21" s="8" t="s">
        <v>739</v>
      </c>
      <c r="F21" s="7" t="s">
        <v>17</v>
      </c>
      <c r="G21" s="10"/>
      <c r="H21" s="7" t="s">
        <v>67</v>
      </c>
      <c r="I21" s="7" t="s">
        <v>348</v>
      </c>
      <c r="J21" s="7" t="s">
        <v>20</v>
      </c>
      <c r="K21" s="7" t="s">
        <v>740</v>
      </c>
      <c r="L21" s="11" t="str">
        <f>HYPERLINK("http://slimages.macys.com/is/image/MCY/8182285 ")</f>
        <v xml:space="preserve">http://slimages.macys.com/is/image/MCY/8182285 </v>
      </c>
    </row>
    <row r="22" spans="1:12" ht="39.950000000000003" customHeight="1" x14ac:dyDescent="0.25">
      <c r="A22" s="6" t="s">
        <v>741</v>
      </c>
      <c r="B22" s="7" t="s">
        <v>742</v>
      </c>
      <c r="C22" s="8">
        <v>1</v>
      </c>
      <c r="D22" s="9">
        <v>39.99</v>
      </c>
      <c r="E22" s="8" t="s">
        <v>743</v>
      </c>
      <c r="F22" s="7" t="s">
        <v>25</v>
      </c>
      <c r="G22" s="10" t="s">
        <v>143</v>
      </c>
      <c r="H22" s="7" t="s">
        <v>27</v>
      </c>
      <c r="I22" s="7" t="s">
        <v>720</v>
      </c>
      <c r="J22" s="7"/>
      <c r="K22" s="7"/>
      <c r="L22" s="11" t="str">
        <f>HYPERLINK("http://slimages.macys.com/is/image/MCY/17546363 ")</f>
        <v xml:space="preserve">http://slimages.macys.com/is/image/MCY/17546363 </v>
      </c>
    </row>
    <row r="23" spans="1:12" ht="39.950000000000003" customHeight="1" x14ac:dyDescent="0.25">
      <c r="A23" s="6" t="s">
        <v>744</v>
      </c>
      <c r="B23" s="7" t="s">
        <v>745</v>
      </c>
      <c r="C23" s="8">
        <v>1</v>
      </c>
      <c r="D23" s="9">
        <v>29.99</v>
      </c>
      <c r="E23" s="8">
        <v>822274</v>
      </c>
      <c r="F23" s="7" t="s">
        <v>271</v>
      </c>
      <c r="G23" s="10"/>
      <c r="H23" s="7" t="s">
        <v>73</v>
      </c>
      <c r="I23" s="7" t="s">
        <v>746</v>
      </c>
      <c r="J23" s="7" t="s">
        <v>20</v>
      </c>
      <c r="K23" s="7" t="s">
        <v>747</v>
      </c>
      <c r="L23" s="11" t="str">
        <f>HYPERLINK("http://slimages.macys.com/is/image/MCY/11677999 ")</f>
        <v xml:space="preserve">http://slimages.macys.com/is/image/MCY/11677999 </v>
      </c>
    </row>
    <row r="24" spans="1:12" ht="39.950000000000003" customHeight="1" x14ac:dyDescent="0.25">
      <c r="A24" s="6" t="s">
        <v>748</v>
      </c>
      <c r="B24" s="7" t="s">
        <v>749</v>
      </c>
      <c r="C24" s="8">
        <v>2</v>
      </c>
      <c r="D24" s="9">
        <v>79.98</v>
      </c>
      <c r="E24" s="8" t="s">
        <v>750</v>
      </c>
      <c r="F24" s="7" t="s">
        <v>231</v>
      </c>
      <c r="G24" s="10" t="s">
        <v>751</v>
      </c>
      <c r="H24" s="7" t="s">
        <v>42</v>
      </c>
      <c r="I24" s="7" t="s">
        <v>752</v>
      </c>
      <c r="J24" s="7" t="s">
        <v>521</v>
      </c>
      <c r="K24" s="7" t="s">
        <v>753</v>
      </c>
      <c r="L24" s="11" t="str">
        <f>HYPERLINK("http://slimages.macys.com/is/image/MCY/16368549 ")</f>
        <v xml:space="preserve">http://slimages.macys.com/is/image/MCY/16368549 </v>
      </c>
    </row>
    <row r="25" spans="1:12" ht="39.950000000000003" customHeight="1" x14ac:dyDescent="0.25">
      <c r="A25" s="6" t="s">
        <v>754</v>
      </c>
      <c r="B25" s="7" t="s">
        <v>755</v>
      </c>
      <c r="C25" s="8">
        <v>1</v>
      </c>
      <c r="D25" s="9">
        <v>31.99</v>
      </c>
      <c r="E25" s="8">
        <v>46742</v>
      </c>
      <c r="F25" s="7" t="s">
        <v>25</v>
      </c>
      <c r="G25" s="10" t="s">
        <v>756</v>
      </c>
      <c r="H25" s="7" t="s">
        <v>27</v>
      </c>
      <c r="I25" s="7" t="s">
        <v>617</v>
      </c>
      <c r="J25" s="7" t="s">
        <v>521</v>
      </c>
      <c r="K25" s="7" t="s">
        <v>44</v>
      </c>
      <c r="L25" s="11" t="str">
        <f>HYPERLINK("http://slimages.macys.com/is/image/MCY/10055895 ")</f>
        <v xml:space="preserve">http://slimages.macys.com/is/image/MCY/10055895 </v>
      </c>
    </row>
    <row r="26" spans="1:12" ht="39.950000000000003" customHeight="1" x14ac:dyDescent="0.25">
      <c r="A26" s="6" t="s">
        <v>757</v>
      </c>
      <c r="B26" s="7" t="s">
        <v>758</v>
      </c>
      <c r="C26" s="8">
        <v>1</v>
      </c>
      <c r="D26" s="9">
        <v>25.99</v>
      </c>
      <c r="E26" s="8" t="s">
        <v>759</v>
      </c>
      <c r="F26" s="7" t="s">
        <v>214</v>
      </c>
      <c r="G26" s="10"/>
      <c r="H26" s="7" t="s">
        <v>18</v>
      </c>
      <c r="I26" s="7" t="s">
        <v>86</v>
      </c>
      <c r="J26" s="7" t="s">
        <v>20</v>
      </c>
      <c r="K26" s="7" t="s">
        <v>44</v>
      </c>
      <c r="L26" s="11" t="str">
        <f>HYPERLINK("http://slimages.macys.com/is/image/MCY/12846915 ")</f>
        <v xml:space="preserve">http://slimages.macys.com/is/image/MCY/12846915 </v>
      </c>
    </row>
    <row r="27" spans="1:12" ht="39.950000000000003" customHeight="1" x14ac:dyDescent="0.25">
      <c r="A27" s="6" t="s">
        <v>760</v>
      </c>
      <c r="B27" s="7" t="s">
        <v>761</v>
      </c>
      <c r="C27" s="8">
        <v>2</v>
      </c>
      <c r="D27" s="9">
        <v>59.98</v>
      </c>
      <c r="E27" s="8" t="s">
        <v>762</v>
      </c>
      <c r="F27" s="7" t="s">
        <v>498</v>
      </c>
      <c r="G27" s="10" t="s">
        <v>763</v>
      </c>
      <c r="H27" s="7" t="s">
        <v>426</v>
      </c>
      <c r="I27" s="7" t="s">
        <v>427</v>
      </c>
      <c r="J27" s="7" t="s">
        <v>20</v>
      </c>
      <c r="K27" s="7"/>
      <c r="L27" s="11" t="str">
        <f>HYPERLINK("http://slimages.macys.com/is/image/MCY/9356828 ")</f>
        <v xml:space="preserve">http://slimages.macys.com/is/image/MCY/9356828 </v>
      </c>
    </row>
    <row r="28" spans="1:12" ht="39.950000000000003" customHeight="1" x14ac:dyDescent="0.25">
      <c r="A28" s="6" t="s">
        <v>764</v>
      </c>
      <c r="B28" s="7" t="s">
        <v>765</v>
      </c>
      <c r="C28" s="8">
        <v>2</v>
      </c>
      <c r="D28" s="9">
        <v>59.98</v>
      </c>
      <c r="E28" s="8">
        <v>63976</v>
      </c>
      <c r="F28" s="7" t="s">
        <v>25</v>
      </c>
      <c r="G28" s="10"/>
      <c r="H28" s="7" t="s">
        <v>27</v>
      </c>
      <c r="I28" s="7" t="s">
        <v>617</v>
      </c>
      <c r="J28" s="7" t="s">
        <v>521</v>
      </c>
      <c r="K28" s="7" t="s">
        <v>766</v>
      </c>
      <c r="L28" s="11" t="str">
        <f>HYPERLINK("http://slimages.macys.com/is/image/MCY/3181504 ")</f>
        <v xml:space="preserve">http://slimages.macys.com/is/image/MCY/3181504 </v>
      </c>
    </row>
    <row r="29" spans="1:12" ht="39.950000000000003" customHeight="1" x14ac:dyDescent="0.25">
      <c r="A29" s="6" t="s">
        <v>767</v>
      </c>
      <c r="B29" s="7" t="s">
        <v>768</v>
      </c>
      <c r="C29" s="8">
        <v>1</v>
      </c>
      <c r="D29" s="9">
        <v>28.99</v>
      </c>
      <c r="E29" s="8">
        <v>46741</v>
      </c>
      <c r="F29" s="7" t="s">
        <v>25</v>
      </c>
      <c r="G29" s="10" t="s">
        <v>143</v>
      </c>
      <c r="H29" s="7" t="s">
        <v>27</v>
      </c>
      <c r="I29" s="7" t="s">
        <v>617</v>
      </c>
      <c r="J29" s="7" t="s">
        <v>521</v>
      </c>
      <c r="K29" s="7" t="s">
        <v>87</v>
      </c>
      <c r="L29" s="11" t="str">
        <f>HYPERLINK("http://slimages.macys.com/is/image/MCY/10055895 ")</f>
        <v xml:space="preserve">http://slimages.macys.com/is/image/MCY/10055895 </v>
      </c>
    </row>
    <row r="30" spans="1:12" ht="39.950000000000003" customHeight="1" x14ac:dyDescent="0.25">
      <c r="A30" s="6" t="s">
        <v>769</v>
      </c>
      <c r="B30" s="7" t="s">
        <v>770</v>
      </c>
      <c r="C30" s="8">
        <v>1</v>
      </c>
      <c r="D30" s="9">
        <v>24.99</v>
      </c>
      <c r="E30" s="8">
        <v>65712</v>
      </c>
      <c r="F30" s="7" t="s">
        <v>25</v>
      </c>
      <c r="G30" s="10"/>
      <c r="H30" s="7" t="s">
        <v>27</v>
      </c>
      <c r="I30" s="7" t="s">
        <v>393</v>
      </c>
      <c r="J30" s="7" t="s">
        <v>20</v>
      </c>
      <c r="K30" s="7" t="s">
        <v>298</v>
      </c>
      <c r="L30" s="11" t="str">
        <f>HYPERLINK("http://slimages.macys.com/is/image/MCY/14371054 ")</f>
        <v xml:space="preserve">http://slimages.macys.com/is/image/MCY/14371054 </v>
      </c>
    </row>
    <row r="31" spans="1:12" ht="39.950000000000003" customHeight="1" x14ac:dyDescent="0.25">
      <c r="A31" s="6" t="s">
        <v>771</v>
      </c>
      <c r="B31" s="7" t="s">
        <v>772</v>
      </c>
      <c r="C31" s="8">
        <v>2</v>
      </c>
      <c r="D31" s="9">
        <v>31.98</v>
      </c>
      <c r="E31" s="8" t="s">
        <v>773</v>
      </c>
      <c r="F31" s="7" t="s">
        <v>375</v>
      </c>
      <c r="G31" s="10" t="s">
        <v>113</v>
      </c>
      <c r="H31" s="7" t="s">
        <v>18</v>
      </c>
      <c r="I31" s="7" t="s">
        <v>774</v>
      </c>
      <c r="J31" s="7" t="s">
        <v>20</v>
      </c>
      <c r="K31" s="7" t="s">
        <v>44</v>
      </c>
      <c r="L31" s="11" t="str">
        <f>HYPERLINK("http://slimages.macys.com/is/image/MCY/13057621 ")</f>
        <v xml:space="preserve">http://slimages.macys.com/is/image/MCY/13057621 </v>
      </c>
    </row>
    <row r="32" spans="1:12" ht="39.950000000000003" customHeight="1" x14ac:dyDescent="0.25">
      <c r="A32" s="6" t="s">
        <v>775</v>
      </c>
      <c r="B32" s="7" t="s">
        <v>776</v>
      </c>
      <c r="C32" s="8">
        <v>1</v>
      </c>
      <c r="D32" s="9">
        <v>229.99</v>
      </c>
      <c r="E32" s="8" t="s">
        <v>777</v>
      </c>
      <c r="F32" s="7" t="s">
        <v>778</v>
      </c>
      <c r="G32" s="10"/>
      <c r="H32" s="7" t="s">
        <v>42</v>
      </c>
      <c r="I32" s="7" t="s">
        <v>779</v>
      </c>
      <c r="J32" s="7"/>
      <c r="K32" s="7"/>
      <c r="L32" s="11"/>
    </row>
    <row r="33" spans="1:12" ht="39.950000000000003" customHeight="1" x14ac:dyDescent="0.25">
      <c r="A33" s="6" t="s">
        <v>780</v>
      </c>
      <c r="B33" s="7" t="s">
        <v>781</v>
      </c>
      <c r="C33" s="8">
        <v>1</v>
      </c>
      <c r="D33" s="9">
        <v>179.99</v>
      </c>
      <c r="E33" s="8" t="s">
        <v>782</v>
      </c>
      <c r="F33" s="7" t="s">
        <v>25</v>
      </c>
      <c r="G33" s="10"/>
      <c r="H33" s="7" t="s">
        <v>225</v>
      </c>
      <c r="I33" s="7" t="s">
        <v>783</v>
      </c>
      <c r="J33" s="7"/>
      <c r="K33" s="7"/>
      <c r="L33" s="11"/>
    </row>
    <row r="34" spans="1:12" ht="39.950000000000003" customHeight="1" x14ac:dyDescent="0.25">
      <c r="A34" s="6" t="s">
        <v>784</v>
      </c>
      <c r="B34" s="7" t="s">
        <v>785</v>
      </c>
      <c r="C34" s="8">
        <v>1</v>
      </c>
      <c r="D34" s="9">
        <v>109.99</v>
      </c>
      <c r="E34" s="8" t="s">
        <v>786</v>
      </c>
      <c r="F34" s="7" t="s">
        <v>57</v>
      </c>
      <c r="G34" s="10"/>
      <c r="H34" s="7" t="s">
        <v>787</v>
      </c>
      <c r="I34" s="7" t="s">
        <v>788</v>
      </c>
      <c r="J34" s="7"/>
      <c r="K34" s="7"/>
      <c r="L34" s="11"/>
    </row>
    <row r="35" spans="1:12" ht="39.950000000000003" customHeight="1" x14ac:dyDescent="0.25">
      <c r="A35" s="6" t="s">
        <v>789</v>
      </c>
      <c r="B35" s="7" t="s">
        <v>790</v>
      </c>
      <c r="C35" s="8">
        <v>1</v>
      </c>
      <c r="D35" s="9">
        <v>75.989999999999995</v>
      </c>
      <c r="E35" s="8" t="s">
        <v>791</v>
      </c>
      <c r="F35" s="7" t="s">
        <v>25</v>
      </c>
      <c r="G35" s="10"/>
      <c r="H35" s="7" t="s">
        <v>79</v>
      </c>
      <c r="I35" s="7" t="s">
        <v>792</v>
      </c>
      <c r="J35" s="7"/>
      <c r="K35" s="7"/>
      <c r="L35" s="11"/>
    </row>
    <row r="36" spans="1:12" ht="39.950000000000003" customHeight="1" x14ac:dyDescent="0.25">
      <c r="A36" s="6" t="s">
        <v>793</v>
      </c>
      <c r="B36" s="7" t="s">
        <v>794</v>
      </c>
      <c r="C36" s="8">
        <v>1</v>
      </c>
      <c r="D36" s="9">
        <v>69.989999999999995</v>
      </c>
      <c r="E36" s="8" t="s">
        <v>795</v>
      </c>
      <c r="F36" s="7" t="s">
        <v>25</v>
      </c>
      <c r="G36" s="10" t="s">
        <v>796</v>
      </c>
      <c r="H36" s="7" t="s">
        <v>519</v>
      </c>
      <c r="I36" s="7" t="s">
        <v>736</v>
      </c>
      <c r="J36" s="7"/>
      <c r="K36" s="7"/>
      <c r="L36" s="11"/>
    </row>
    <row r="37" spans="1:12" ht="39.950000000000003" customHeight="1" x14ac:dyDescent="0.25">
      <c r="A37" s="6" t="s">
        <v>797</v>
      </c>
      <c r="B37" s="7" t="s">
        <v>798</v>
      </c>
      <c r="C37" s="8">
        <v>1</v>
      </c>
      <c r="D37" s="9">
        <v>49.99</v>
      </c>
      <c r="E37" s="8" t="s">
        <v>799</v>
      </c>
      <c r="F37" s="7" t="s">
        <v>778</v>
      </c>
      <c r="G37" s="10"/>
      <c r="H37" s="7" t="s">
        <v>92</v>
      </c>
      <c r="I37" s="7" t="s">
        <v>461</v>
      </c>
      <c r="J37" s="7"/>
      <c r="K37" s="7"/>
      <c r="L37" s="11"/>
    </row>
    <row r="38" spans="1:12" ht="39.950000000000003" customHeight="1" x14ac:dyDescent="0.25">
      <c r="A38" s="6" t="s">
        <v>800</v>
      </c>
      <c r="B38" s="7" t="s">
        <v>801</v>
      </c>
      <c r="C38" s="8">
        <v>1</v>
      </c>
      <c r="D38" s="9">
        <v>79.989999999999995</v>
      </c>
      <c r="E38" s="8" t="s">
        <v>802</v>
      </c>
      <c r="F38" s="7" t="s">
        <v>25</v>
      </c>
      <c r="G38" s="10"/>
      <c r="H38" s="7" t="s">
        <v>67</v>
      </c>
      <c r="I38" s="7" t="s">
        <v>803</v>
      </c>
      <c r="J38" s="7"/>
      <c r="K38" s="7"/>
      <c r="L38" s="11"/>
    </row>
    <row r="39" spans="1:12" ht="39.950000000000003" customHeight="1" x14ac:dyDescent="0.25">
      <c r="A39" s="6" t="s">
        <v>804</v>
      </c>
      <c r="B39" s="7" t="s">
        <v>805</v>
      </c>
      <c r="C39" s="8">
        <v>1</v>
      </c>
      <c r="D39" s="9">
        <v>32.99</v>
      </c>
      <c r="E39" s="8" t="s">
        <v>806</v>
      </c>
      <c r="F39" s="7" t="s">
        <v>52</v>
      </c>
      <c r="G39" s="10"/>
      <c r="H39" s="7" t="s">
        <v>73</v>
      </c>
      <c r="I39" s="7" t="s">
        <v>807</v>
      </c>
      <c r="J39" s="7"/>
      <c r="K39" s="7"/>
      <c r="L39" s="11"/>
    </row>
    <row r="40" spans="1:12" ht="39.950000000000003" customHeight="1" x14ac:dyDescent="0.25">
      <c r="A40" s="6" t="s">
        <v>808</v>
      </c>
      <c r="B40" s="7" t="s">
        <v>809</v>
      </c>
      <c r="C40" s="8">
        <v>1</v>
      </c>
      <c r="D40" s="9">
        <v>28.99</v>
      </c>
      <c r="E40" s="8" t="s">
        <v>810</v>
      </c>
      <c r="F40" s="7" t="s">
        <v>25</v>
      </c>
      <c r="G40" s="10"/>
      <c r="H40" s="7" t="s">
        <v>73</v>
      </c>
      <c r="I40" s="7" t="s">
        <v>811</v>
      </c>
      <c r="J40" s="7"/>
      <c r="K40" s="7"/>
      <c r="L40" s="11"/>
    </row>
    <row r="41" spans="1:12" ht="39.950000000000003" customHeight="1" x14ac:dyDescent="0.25">
      <c r="A41" s="6" t="s">
        <v>812</v>
      </c>
      <c r="B41" s="7" t="s">
        <v>813</v>
      </c>
      <c r="C41" s="8">
        <v>1</v>
      </c>
      <c r="D41" s="9">
        <v>19.989999999999998</v>
      </c>
      <c r="E41" s="8" t="s">
        <v>814</v>
      </c>
      <c r="F41" s="7" t="s">
        <v>17</v>
      </c>
      <c r="G41" s="10"/>
      <c r="H41" s="7" t="s">
        <v>73</v>
      </c>
      <c r="I41" s="7" t="s">
        <v>807</v>
      </c>
      <c r="J41" s="7"/>
      <c r="K41" s="7"/>
      <c r="L41" s="11"/>
    </row>
    <row r="42" spans="1:12" ht="39.950000000000003" customHeight="1" x14ac:dyDescent="0.25">
      <c r="A42" s="6" t="s">
        <v>815</v>
      </c>
      <c r="B42" s="7" t="s">
        <v>816</v>
      </c>
      <c r="C42" s="8">
        <v>1</v>
      </c>
      <c r="D42" s="9">
        <v>14.99</v>
      </c>
      <c r="E42" s="8" t="s">
        <v>817</v>
      </c>
      <c r="F42" s="7" t="s">
        <v>25</v>
      </c>
      <c r="G42" s="10" t="s">
        <v>751</v>
      </c>
      <c r="H42" s="7" t="s">
        <v>42</v>
      </c>
      <c r="I42" s="7" t="s">
        <v>818</v>
      </c>
      <c r="J42" s="7"/>
      <c r="K42" s="7"/>
      <c r="L42" s="11"/>
    </row>
    <row r="43" spans="1:12" ht="39.950000000000003" customHeight="1" x14ac:dyDescent="0.25">
      <c r="A43" s="6"/>
      <c r="B43" s="7"/>
      <c r="C43" s="8"/>
      <c r="D43" s="9"/>
      <c r="E43" s="8"/>
      <c r="F43" s="7"/>
      <c r="G43" s="10"/>
      <c r="H43" s="7"/>
      <c r="I43" s="7"/>
      <c r="J43" s="7"/>
      <c r="K43" s="7"/>
      <c r="L43" s="11"/>
    </row>
    <row r="44" spans="1:12" ht="39.950000000000003" customHeight="1" x14ac:dyDescent="0.25">
      <c r="A44" s="6"/>
      <c r="B44" s="7"/>
      <c r="C44" s="8"/>
      <c r="D44" s="9"/>
      <c r="E44" s="8"/>
      <c r="F44" s="7"/>
      <c r="G44" s="10"/>
      <c r="H44" s="7"/>
      <c r="I44" s="7"/>
      <c r="J44" s="7"/>
      <c r="K44" s="7"/>
      <c r="L44" s="11"/>
    </row>
    <row r="45" spans="1:12" ht="39.950000000000003" customHeight="1" x14ac:dyDescent="0.25">
      <c r="A45" s="6"/>
      <c r="B45" s="7"/>
      <c r="C45" s="8"/>
      <c r="D45" s="9"/>
      <c r="E45" s="8"/>
      <c r="F45" s="7"/>
      <c r="G45" s="10"/>
      <c r="H45" s="7"/>
      <c r="I45" s="7"/>
      <c r="J45" s="7"/>
      <c r="K45" s="7"/>
      <c r="L45" s="11"/>
    </row>
    <row r="46" spans="1:12" ht="39.950000000000003" customHeight="1" x14ac:dyDescent="0.25">
      <c r="A46" s="6"/>
      <c r="B46" s="7"/>
      <c r="C46" s="8"/>
      <c r="D46" s="9"/>
      <c r="E46" s="8"/>
      <c r="F46" s="7"/>
      <c r="G46" s="10"/>
      <c r="H46" s="7"/>
      <c r="I46" s="7"/>
      <c r="J46" s="7"/>
      <c r="K46" s="7"/>
      <c r="L46" s="11"/>
    </row>
    <row r="47" spans="1:12" ht="39.950000000000003" customHeight="1" x14ac:dyDescent="0.25">
      <c r="A47" s="6"/>
      <c r="B47" s="7"/>
      <c r="C47" s="8"/>
      <c r="D47" s="9"/>
      <c r="E47" s="8"/>
      <c r="F47" s="7"/>
      <c r="G47" s="10"/>
      <c r="H47" s="7"/>
      <c r="I47" s="7"/>
      <c r="J47" s="7"/>
      <c r="K47" s="7"/>
      <c r="L47" s="11"/>
    </row>
    <row r="48" spans="1:12" ht="39.950000000000003" customHeight="1" x14ac:dyDescent="0.25">
      <c r="A48" s="6"/>
      <c r="B48" s="7"/>
      <c r="C48" s="8"/>
      <c r="D48" s="9"/>
      <c r="E48" s="8"/>
      <c r="F48" s="7"/>
      <c r="G48" s="10"/>
      <c r="H48" s="7"/>
      <c r="I48" s="7"/>
      <c r="J48" s="7"/>
      <c r="K48" s="7"/>
      <c r="L48" s="11"/>
    </row>
    <row r="49" spans="1:12" ht="39.950000000000003" customHeight="1" x14ac:dyDescent="0.25">
      <c r="A49" s="6"/>
      <c r="B49" s="7"/>
      <c r="C49" s="8"/>
      <c r="D49" s="9"/>
      <c r="E49" s="8"/>
      <c r="F49" s="7"/>
      <c r="G49" s="10"/>
      <c r="H49" s="7"/>
      <c r="I49" s="7"/>
      <c r="J49" s="7"/>
      <c r="K49" s="7"/>
      <c r="L49" s="11"/>
    </row>
    <row r="50" spans="1:12" ht="39.950000000000003" customHeight="1" x14ac:dyDescent="0.25">
      <c r="A50" s="6"/>
      <c r="B50" s="7"/>
      <c r="C50" s="8"/>
      <c r="D50" s="9"/>
      <c r="E50" s="8"/>
      <c r="F50" s="7"/>
      <c r="G50" s="10"/>
      <c r="H50" s="7"/>
      <c r="I50" s="7"/>
      <c r="J50" s="7"/>
      <c r="K50" s="7"/>
      <c r="L50" s="11"/>
    </row>
    <row r="51" spans="1:12" ht="39.950000000000003" customHeight="1" x14ac:dyDescent="0.25">
      <c r="A51" s="6"/>
      <c r="B51" s="7"/>
      <c r="C51" s="8"/>
      <c r="D51" s="9"/>
      <c r="E51" s="8"/>
      <c r="F51" s="7"/>
      <c r="G51" s="10"/>
      <c r="H51" s="7"/>
      <c r="I51" s="7"/>
      <c r="J51" s="7"/>
      <c r="K51" s="7"/>
      <c r="L51" s="11"/>
    </row>
    <row r="52" spans="1:12" ht="39.950000000000003" customHeight="1" x14ac:dyDescent="0.25">
      <c r="A52" s="6"/>
      <c r="B52" s="7"/>
      <c r="C52" s="8"/>
      <c r="D52" s="9"/>
      <c r="E52" s="8"/>
      <c r="F52" s="7"/>
      <c r="G52" s="10"/>
      <c r="H52" s="7"/>
      <c r="I52" s="7"/>
      <c r="J52" s="7"/>
      <c r="K52" s="7"/>
      <c r="L52" s="11"/>
    </row>
    <row r="53" spans="1:12" ht="39.950000000000003" customHeight="1" x14ac:dyDescent="0.25">
      <c r="A53" s="6"/>
      <c r="B53" s="7"/>
      <c r="C53" s="8"/>
      <c r="D53" s="9"/>
      <c r="E53" s="8"/>
      <c r="F53" s="7"/>
      <c r="G53" s="10"/>
      <c r="H53" s="7"/>
      <c r="I53" s="7"/>
      <c r="J53" s="7"/>
      <c r="K53" s="7"/>
      <c r="L53" s="11"/>
    </row>
    <row r="54" spans="1:12" ht="39.950000000000003" customHeight="1" x14ac:dyDescent="0.25">
      <c r="A54" s="6"/>
      <c r="B54" s="7"/>
      <c r="C54" s="8"/>
      <c r="D54" s="9"/>
      <c r="E54" s="8"/>
      <c r="F54" s="7"/>
      <c r="G54" s="10"/>
      <c r="H54" s="7"/>
      <c r="I54" s="7"/>
      <c r="J54" s="7"/>
      <c r="K54" s="7"/>
      <c r="L54" s="11"/>
    </row>
    <row r="55" spans="1:12" ht="39.950000000000003" customHeight="1" x14ac:dyDescent="0.25">
      <c r="A55" s="6"/>
      <c r="B55" s="7"/>
      <c r="C55" s="8"/>
      <c r="D55" s="9"/>
      <c r="E55" s="8"/>
      <c r="F55" s="7"/>
      <c r="G55" s="10"/>
      <c r="H55" s="7"/>
      <c r="I55" s="7"/>
      <c r="J55" s="7"/>
      <c r="K55" s="7"/>
      <c r="L55" s="11"/>
    </row>
    <row r="56" spans="1:12" ht="39.950000000000003" customHeight="1" x14ac:dyDescent="0.25">
      <c r="A56" s="6"/>
      <c r="B56" s="7"/>
      <c r="C56" s="8"/>
      <c r="D56" s="9"/>
      <c r="E56" s="8"/>
      <c r="F56" s="7"/>
      <c r="G56" s="10"/>
      <c r="H56" s="7"/>
      <c r="I56" s="7"/>
      <c r="J56" s="7"/>
      <c r="K56" s="7"/>
      <c r="L56" s="1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472C5-E894-4A6B-88F9-6C7647038F6E}">
  <dimension ref="A1:L56"/>
  <sheetViews>
    <sheetView workbookViewId="0"/>
  </sheetViews>
  <sheetFormatPr defaultRowHeight="39.950000000000003" customHeight="1" x14ac:dyDescent="0.25"/>
  <cols>
    <col min="1" max="1" width="14.28515625" customWidth="1"/>
    <col min="2" max="2" width="22.28515625" customWidth="1"/>
    <col min="3" max="3" width="15" customWidth="1"/>
    <col min="4" max="4" width="10.28515625" customWidth="1"/>
    <col min="5" max="5" width="17.140625" customWidth="1"/>
    <col min="6" max="6" width="11.42578125" customWidth="1"/>
    <col min="7" max="7" width="10.85546875" customWidth="1"/>
    <col min="8" max="8" width="12.140625" customWidth="1"/>
    <col min="9" max="9" width="36.5703125" bestFit="1" customWidth="1"/>
    <col min="10" max="11" width="20.7109375" customWidth="1"/>
    <col min="12" max="12" width="64.28515625" customWidth="1"/>
  </cols>
  <sheetData>
    <row r="1" spans="1:12" ht="39.950000000000003" customHeight="1" x14ac:dyDescent="0.25">
      <c r="A1" s="5" t="s">
        <v>2</v>
      </c>
      <c r="B1" s="5" t="s">
        <v>3</v>
      </c>
      <c r="C1" s="5" t="s">
        <v>4</v>
      </c>
      <c r="D1" s="5" t="s">
        <v>5</v>
      </c>
      <c r="E1" s="5" t="s">
        <v>6</v>
      </c>
      <c r="F1" s="5" t="s">
        <v>7</v>
      </c>
      <c r="G1" s="5" t="s">
        <v>8</v>
      </c>
      <c r="H1" s="5" t="s">
        <v>9</v>
      </c>
      <c r="I1" s="5" t="s">
        <v>10</v>
      </c>
      <c r="J1" s="5" t="s">
        <v>11</v>
      </c>
      <c r="K1" s="5" t="s">
        <v>12</v>
      </c>
      <c r="L1" s="5" t="s">
        <v>13</v>
      </c>
    </row>
    <row r="2" spans="1:12" ht="39.950000000000003" customHeight="1" x14ac:dyDescent="0.25">
      <c r="A2" s="6" t="s">
        <v>819</v>
      </c>
      <c r="B2" s="7" t="s">
        <v>820</v>
      </c>
      <c r="C2" s="8">
        <v>1</v>
      </c>
      <c r="D2" s="9">
        <v>500</v>
      </c>
      <c r="E2" s="8" t="s">
        <v>821</v>
      </c>
      <c r="F2" s="7" t="s">
        <v>344</v>
      </c>
      <c r="G2" s="10"/>
      <c r="H2" s="7" t="s">
        <v>225</v>
      </c>
      <c r="I2" s="7" t="s">
        <v>822</v>
      </c>
      <c r="J2" s="7"/>
      <c r="K2" s="7"/>
      <c r="L2" s="11" t="str">
        <f>HYPERLINK("http://slimages.macys.com/is/image/MCY/16904372 ")</f>
        <v xml:space="preserve">http://slimages.macys.com/is/image/MCY/16904372 </v>
      </c>
    </row>
    <row r="3" spans="1:12" ht="39.950000000000003" customHeight="1" x14ac:dyDescent="0.25">
      <c r="A3" s="6" t="s">
        <v>823</v>
      </c>
      <c r="B3" s="7" t="s">
        <v>824</v>
      </c>
      <c r="C3" s="8">
        <v>1</v>
      </c>
      <c r="D3" s="9">
        <v>213.99</v>
      </c>
      <c r="E3" s="8" t="s">
        <v>825</v>
      </c>
      <c r="F3" s="7" t="s">
        <v>214</v>
      </c>
      <c r="G3" s="10" t="s">
        <v>826</v>
      </c>
      <c r="H3" s="7" t="s">
        <v>73</v>
      </c>
      <c r="I3" s="7" t="s">
        <v>827</v>
      </c>
      <c r="J3" s="7" t="s">
        <v>20</v>
      </c>
      <c r="K3" s="7" t="s">
        <v>109</v>
      </c>
      <c r="L3" s="11" t="str">
        <f>HYPERLINK("http://slimages.macys.com/is/image/MCY/13067744 ")</f>
        <v xml:space="preserve">http://slimages.macys.com/is/image/MCY/13067744 </v>
      </c>
    </row>
    <row r="4" spans="1:12" ht="39.950000000000003" customHeight="1" x14ac:dyDescent="0.25">
      <c r="A4" s="6" t="s">
        <v>828</v>
      </c>
      <c r="B4" s="7" t="s">
        <v>829</v>
      </c>
      <c r="C4" s="8">
        <v>1</v>
      </c>
      <c r="D4" s="9">
        <v>199.99</v>
      </c>
      <c r="E4" s="8" t="s">
        <v>830</v>
      </c>
      <c r="F4" s="7" t="s">
        <v>831</v>
      </c>
      <c r="G4" s="10"/>
      <c r="H4" s="7" t="s">
        <v>225</v>
      </c>
      <c r="I4" s="7" t="s">
        <v>832</v>
      </c>
      <c r="J4" s="7" t="s">
        <v>20</v>
      </c>
      <c r="K4" s="7" t="s">
        <v>833</v>
      </c>
      <c r="L4" s="11" t="str">
        <f>HYPERLINK("http://slimages.macys.com/is/image/MCY/11337403 ")</f>
        <v xml:space="preserve">http://slimages.macys.com/is/image/MCY/11337403 </v>
      </c>
    </row>
    <row r="5" spans="1:12" ht="39.950000000000003" customHeight="1" x14ac:dyDescent="0.25">
      <c r="A5" s="6" t="s">
        <v>834</v>
      </c>
      <c r="B5" s="7" t="s">
        <v>835</v>
      </c>
      <c r="C5" s="8">
        <v>1</v>
      </c>
      <c r="D5" s="9">
        <v>179.99</v>
      </c>
      <c r="E5" s="8" t="s">
        <v>836</v>
      </c>
      <c r="F5" s="7" t="s">
        <v>34</v>
      </c>
      <c r="G5" s="10"/>
      <c r="H5" s="7" t="s">
        <v>242</v>
      </c>
      <c r="I5" s="7" t="s">
        <v>837</v>
      </c>
      <c r="J5" s="7" t="s">
        <v>20</v>
      </c>
      <c r="K5" s="7" t="s">
        <v>233</v>
      </c>
      <c r="L5" s="11" t="str">
        <f>HYPERLINK("http://slimages.macys.com/is/image/MCY/15363738 ")</f>
        <v xml:space="preserve">http://slimages.macys.com/is/image/MCY/15363738 </v>
      </c>
    </row>
    <row r="6" spans="1:12" ht="39.950000000000003" customHeight="1" x14ac:dyDescent="0.25">
      <c r="A6" s="6" t="s">
        <v>838</v>
      </c>
      <c r="B6" s="7" t="s">
        <v>839</v>
      </c>
      <c r="C6" s="8">
        <v>1</v>
      </c>
      <c r="D6" s="9">
        <v>149.99</v>
      </c>
      <c r="E6" s="8">
        <v>217148</v>
      </c>
      <c r="F6" s="7" t="s">
        <v>34</v>
      </c>
      <c r="G6" s="10"/>
      <c r="H6" s="7" t="s">
        <v>242</v>
      </c>
      <c r="I6" s="7" t="s">
        <v>495</v>
      </c>
      <c r="J6" s="7" t="s">
        <v>20</v>
      </c>
      <c r="K6" s="7"/>
      <c r="L6" s="11" t="str">
        <f>HYPERLINK("http://slimages.macys.com/is/image/MCY/8245544 ")</f>
        <v xml:space="preserve">http://slimages.macys.com/is/image/MCY/8245544 </v>
      </c>
    </row>
    <row r="7" spans="1:12" ht="39.950000000000003" customHeight="1" x14ac:dyDescent="0.25">
      <c r="A7" s="6" t="s">
        <v>840</v>
      </c>
      <c r="B7" s="7" t="s">
        <v>841</v>
      </c>
      <c r="C7" s="8">
        <v>1</v>
      </c>
      <c r="D7" s="9">
        <v>279.99</v>
      </c>
      <c r="E7" s="8" t="s">
        <v>842</v>
      </c>
      <c r="F7" s="7" t="s">
        <v>17</v>
      </c>
      <c r="G7" s="10"/>
      <c r="H7" s="7" t="s">
        <v>67</v>
      </c>
      <c r="I7" s="7" t="s">
        <v>843</v>
      </c>
      <c r="J7" s="7" t="s">
        <v>20</v>
      </c>
      <c r="K7" s="7" t="s">
        <v>109</v>
      </c>
      <c r="L7" s="11" t="str">
        <f>HYPERLINK("http://slimages.macys.com/is/image/MCY/14788488 ")</f>
        <v xml:space="preserve">http://slimages.macys.com/is/image/MCY/14788488 </v>
      </c>
    </row>
    <row r="8" spans="1:12" ht="39.950000000000003" customHeight="1" x14ac:dyDescent="0.25">
      <c r="A8" s="6" t="s">
        <v>844</v>
      </c>
      <c r="B8" s="7" t="s">
        <v>845</v>
      </c>
      <c r="C8" s="8">
        <v>1</v>
      </c>
      <c r="D8" s="9">
        <v>231.99</v>
      </c>
      <c r="E8" s="8" t="s">
        <v>846</v>
      </c>
      <c r="F8" s="7" t="s">
        <v>25</v>
      </c>
      <c r="G8" s="10"/>
      <c r="H8" s="7" t="s">
        <v>27</v>
      </c>
      <c r="I8" s="7" t="s">
        <v>28</v>
      </c>
      <c r="J8" s="7" t="s">
        <v>20</v>
      </c>
      <c r="K8" s="7" t="s">
        <v>847</v>
      </c>
      <c r="L8" s="11" t="str">
        <f>HYPERLINK("http://slimages.macys.com/is/image/MCY/11798864 ")</f>
        <v xml:space="preserve">http://slimages.macys.com/is/image/MCY/11798864 </v>
      </c>
    </row>
    <row r="9" spans="1:12" ht="39.950000000000003" customHeight="1" x14ac:dyDescent="0.25">
      <c r="A9" s="6" t="s">
        <v>848</v>
      </c>
      <c r="B9" s="7" t="s">
        <v>849</v>
      </c>
      <c r="C9" s="8">
        <v>1</v>
      </c>
      <c r="D9" s="9">
        <v>249.99</v>
      </c>
      <c r="E9" s="8" t="s">
        <v>850</v>
      </c>
      <c r="F9" s="7" t="s">
        <v>52</v>
      </c>
      <c r="G9" s="10" t="s">
        <v>78</v>
      </c>
      <c r="H9" s="7" t="s">
        <v>67</v>
      </c>
      <c r="I9" s="7" t="s">
        <v>851</v>
      </c>
      <c r="J9" s="7"/>
      <c r="K9" s="7"/>
      <c r="L9" s="11" t="str">
        <f>HYPERLINK("http://slimages.macys.com/is/image/MCY/17793762 ")</f>
        <v xml:space="preserve">http://slimages.macys.com/is/image/MCY/17793762 </v>
      </c>
    </row>
    <row r="10" spans="1:12" ht="39.950000000000003" customHeight="1" x14ac:dyDescent="0.25">
      <c r="A10" s="6" t="s">
        <v>852</v>
      </c>
      <c r="B10" s="7" t="s">
        <v>853</v>
      </c>
      <c r="C10" s="8">
        <v>1</v>
      </c>
      <c r="D10" s="9">
        <v>149.99</v>
      </c>
      <c r="E10" s="8" t="s">
        <v>854</v>
      </c>
      <c r="F10" s="7" t="s">
        <v>25</v>
      </c>
      <c r="G10" s="10"/>
      <c r="H10" s="7" t="s">
        <v>225</v>
      </c>
      <c r="I10" s="7" t="s">
        <v>855</v>
      </c>
      <c r="J10" s="7" t="s">
        <v>20</v>
      </c>
      <c r="K10" s="7" t="s">
        <v>708</v>
      </c>
      <c r="L10" s="11" t="str">
        <f>HYPERLINK("http://slimages.macys.com/is/image/MCY/15614670 ")</f>
        <v xml:space="preserve">http://slimages.macys.com/is/image/MCY/15614670 </v>
      </c>
    </row>
    <row r="11" spans="1:12" ht="39.950000000000003" customHeight="1" x14ac:dyDescent="0.25">
      <c r="A11" s="6" t="s">
        <v>856</v>
      </c>
      <c r="B11" s="7" t="s">
        <v>857</v>
      </c>
      <c r="C11" s="8">
        <v>1</v>
      </c>
      <c r="D11" s="9">
        <v>129.99</v>
      </c>
      <c r="E11" s="8" t="s">
        <v>858</v>
      </c>
      <c r="F11" s="7" t="s">
        <v>97</v>
      </c>
      <c r="G11" s="10"/>
      <c r="H11" s="7" t="s">
        <v>242</v>
      </c>
      <c r="I11" s="7" t="s">
        <v>328</v>
      </c>
      <c r="J11" s="7" t="s">
        <v>20</v>
      </c>
      <c r="K11" s="7"/>
      <c r="L11" s="11" t="str">
        <f>HYPERLINK("http://slimages.macys.com/is/image/MCY/8419272 ")</f>
        <v xml:space="preserve">http://slimages.macys.com/is/image/MCY/8419272 </v>
      </c>
    </row>
    <row r="12" spans="1:12" ht="39.950000000000003" customHeight="1" x14ac:dyDescent="0.25">
      <c r="A12" s="6" t="s">
        <v>859</v>
      </c>
      <c r="B12" s="7" t="s">
        <v>860</v>
      </c>
      <c r="C12" s="8">
        <v>1</v>
      </c>
      <c r="D12" s="9">
        <v>150</v>
      </c>
      <c r="E12" s="8" t="s">
        <v>861</v>
      </c>
      <c r="F12" s="7" t="s">
        <v>344</v>
      </c>
      <c r="G12" s="10"/>
      <c r="H12" s="7" t="s">
        <v>225</v>
      </c>
      <c r="I12" s="7" t="s">
        <v>822</v>
      </c>
      <c r="J12" s="7"/>
      <c r="K12" s="7"/>
      <c r="L12" s="11" t="str">
        <f>HYPERLINK("http://slimages.macys.com/is/image/MCY/16904358 ")</f>
        <v xml:space="preserve">http://slimages.macys.com/is/image/MCY/16904358 </v>
      </c>
    </row>
    <row r="13" spans="1:12" ht="39.950000000000003" customHeight="1" x14ac:dyDescent="0.25">
      <c r="A13" s="6" t="s">
        <v>862</v>
      </c>
      <c r="B13" s="7" t="s">
        <v>863</v>
      </c>
      <c r="C13" s="8">
        <v>1</v>
      </c>
      <c r="D13" s="9">
        <v>124.99</v>
      </c>
      <c r="E13" s="8" t="s">
        <v>864</v>
      </c>
      <c r="F13" s="7" t="s">
        <v>163</v>
      </c>
      <c r="G13" s="10" t="s">
        <v>763</v>
      </c>
      <c r="H13" s="7" t="s">
        <v>67</v>
      </c>
      <c r="I13" s="7" t="s">
        <v>348</v>
      </c>
      <c r="J13" s="7" t="s">
        <v>20</v>
      </c>
      <c r="K13" s="7" t="s">
        <v>740</v>
      </c>
      <c r="L13" s="11" t="str">
        <f>HYPERLINK("http://slimages.macys.com/is/image/MCY/8182285 ")</f>
        <v xml:space="preserve">http://slimages.macys.com/is/image/MCY/8182285 </v>
      </c>
    </row>
    <row r="14" spans="1:12" ht="39.950000000000003" customHeight="1" x14ac:dyDescent="0.25">
      <c r="A14" s="6" t="s">
        <v>865</v>
      </c>
      <c r="B14" s="7" t="s">
        <v>866</v>
      </c>
      <c r="C14" s="8">
        <v>1</v>
      </c>
      <c r="D14" s="9">
        <v>67.989999999999995</v>
      </c>
      <c r="E14" s="8" t="s">
        <v>867</v>
      </c>
      <c r="F14" s="7" t="s">
        <v>320</v>
      </c>
      <c r="G14" s="10"/>
      <c r="H14" s="7" t="s">
        <v>18</v>
      </c>
      <c r="I14" s="7" t="s">
        <v>248</v>
      </c>
      <c r="J14" s="7" t="s">
        <v>20</v>
      </c>
      <c r="K14" s="7" t="s">
        <v>59</v>
      </c>
      <c r="L14" s="11" t="str">
        <f>HYPERLINK("http://slimages.macys.com/is/image/MCY/15721434 ")</f>
        <v xml:space="preserve">http://slimages.macys.com/is/image/MCY/15721434 </v>
      </c>
    </row>
    <row r="15" spans="1:12" ht="39.950000000000003" customHeight="1" x14ac:dyDescent="0.25">
      <c r="A15" s="6" t="s">
        <v>868</v>
      </c>
      <c r="B15" s="7" t="s">
        <v>869</v>
      </c>
      <c r="C15" s="8">
        <v>1</v>
      </c>
      <c r="D15" s="9">
        <v>70.989999999999995</v>
      </c>
      <c r="E15" s="8" t="s">
        <v>870</v>
      </c>
      <c r="F15" s="7" t="s">
        <v>25</v>
      </c>
      <c r="G15" s="10"/>
      <c r="H15" s="7" t="s">
        <v>366</v>
      </c>
      <c r="I15" s="7" t="s">
        <v>871</v>
      </c>
      <c r="J15" s="7" t="s">
        <v>20</v>
      </c>
      <c r="K15" s="7" t="s">
        <v>872</v>
      </c>
      <c r="L15" s="11" t="str">
        <f>HYPERLINK("http://slimages.macys.com/is/image/MCY/10753703 ")</f>
        <v xml:space="preserve">http://slimages.macys.com/is/image/MCY/10753703 </v>
      </c>
    </row>
    <row r="16" spans="1:12" ht="39.950000000000003" customHeight="1" x14ac:dyDescent="0.25">
      <c r="A16" s="6" t="s">
        <v>873</v>
      </c>
      <c r="B16" s="7" t="s">
        <v>874</v>
      </c>
      <c r="C16" s="8">
        <v>1</v>
      </c>
      <c r="D16" s="9">
        <v>89.99</v>
      </c>
      <c r="E16" s="8">
        <v>10004467800</v>
      </c>
      <c r="F16" s="7" t="s">
        <v>271</v>
      </c>
      <c r="G16" s="10"/>
      <c r="H16" s="7" t="s">
        <v>67</v>
      </c>
      <c r="I16" s="7" t="s">
        <v>272</v>
      </c>
      <c r="J16" s="7" t="s">
        <v>20</v>
      </c>
      <c r="K16" s="7"/>
      <c r="L16" s="11" t="str">
        <f>HYPERLINK("http://slimages.macys.com/is/image/MCY/10467369 ")</f>
        <v xml:space="preserve">http://slimages.macys.com/is/image/MCY/10467369 </v>
      </c>
    </row>
    <row r="17" spans="1:12" ht="39.950000000000003" customHeight="1" x14ac:dyDescent="0.25">
      <c r="A17" s="6" t="s">
        <v>875</v>
      </c>
      <c r="B17" s="7" t="s">
        <v>876</v>
      </c>
      <c r="C17" s="8">
        <v>2</v>
      </c>
      <c r="D17" s="9">
        <v>79.98</v>
      </c>
      <c r="E17" s="8">
        <v>9758216</v>
      </c>
      <c r="F17" s="7" t="s">
        <v>613</v>
      </c>
      <c r="G17" s="10"/>
      <c r="H17" s="7" t="s">
        <v>92</v>
      </c>
      <c r="I17" s="7" t="s">
        <v>215</v>
      </c>
      <c r="J17" s="7" t="s">
        <v>20</v>
      </c>
      <c r="K17" s="7" t="s">
        <v>708</v>
      </c>
      <c r="L17" s="11" t="str">
        <f>HYPERLINK("http://slimages.macys.com/is/image/MCY/14772388 ")</f>
        <v xml:space="preserve">http://slimages.macys.com/is/image/MCY/14772388 </v>
      </c>
    </row>
    <row r="18" spans="1:12" ht="39.950000000000003" customHeight="1" x14ac:dyDescent="0.25">
      <c r="A18" s="6" t="s">
        <v>877</v>
      </c>
      <c r="B18" s="7" t="s">
        <v>878</v>
      </c>
      <c r="C18" s="8">
        <v>1</v>
      </c>
      <c r="D18" s="9">
        <v>67.989999999999995</v>
      </c>
      <c r="E18" s="8" t="s">
        <v>879</v>
      </c>
      <c r="F18" s="7" t="s">
        <v>57</v>
      </c>
      <c r="G18" s="10" t="s">
        <v>751</v>
      </c>
      <c r="H18" s="7" t="s">
        <v>42</v>
      </c>
      <c r="I18" s="7" t="s">
        <v>880</v>
      </c>
      <c r="J18" s="7" t="s">
        <v>20</v>
      </c>
      <c r="K18" s="7" t="s">
        <v>127</v>
      </c>
      <c r="L18" s="11" t="str">
        <f>HYPERLINK("http://slimages.macys.com/is/image/MCY/12471371 ")</f>
        <v xml:space="preserve">http://slimages.macys.com/is/image/MCY/12471371 </v>
      </c>
    </row>
    <row r="19" spans="1:12" ht="39.950000000000003" customHeight="1" x14ac:dyDescent="0.25">
      <c r="A19" s="6" t="s">
        <v>881</v>
      </c>
      <c r="B19" s="7" t="s">
        <v>882</v>
      </c>
      <c r="C19" s="8">
        <v>2</v>
      </c>
      <c r="D19" s="9">
        <v>119.98</v>
      </c>
      <c r="E19" s="8" t="s">
        <v>883</v>
      </c>
      <c r="F19" s="7" t="s">
        <v>52</v>
      </c>
      <c r="G19" s="10"/>
      <c r="H19" s="7" t="s">
        <v>366</v>
      </c>
      <c r="I19" s="7" t="s">
        <v>884</v>
      </c>
      <c r="J19" s="7" t="s">
        <v>20</v>
      </c>
      <c r="K19" s="7" t="s">
        <v>885</v>
      </c>
      <c r="L19" s="11" t="str">
        <f>HYPERLINK("http://slimages.macys.com/is/image/MCY/15745380 ")</f>
        <v xml:space="preserve">http://slimages.macys.com/is/image/MCY/15745380 </v>
      </c>
    </row>
    <row r="20" spans="1:12" ht="39.950000000000003" customHeight="1" x14ac:dyDescent="0.25">
      <c r="A20" s="6" t="s">
        <v>886</v>
      </c>
      <c r="B20" s="7" t="s">
        <v>887</v>
      </c>
      <c r="C20" s="8">
        <v>1</v>
      </c>
      <c r="D20" s="9">
        <v>69.989999999999995</v>
      </c>
      <c r="E20" s="8" t="s">
        <v>888</v>
      </c>
      <c r="F20" s="7" t="s">
        <v>52</v>
      </c>
      <c r="G20" s="10"/>
      <c r="H20" s="7" t="s">
        <v>92</v>
      </c>
      <c r="I20" s="7" t="s">
        <v>219</v>
      </c>
      <c r="J20" s="7" t="s">
        <v>20</v>
      </c>
      <c r="K20" s="7" t="s">
        <v>889</v>
      </c>
      <c r="L20" s="11" t="str">
        <f>HYPERLINK("http://slimages.macys.com/is/image/MCY/15920440 ")</f>
        <v xml:space="preserve">http://slimages.macys.com/is/image/MCY/15920440 </v>
      </c>
    </row>
    <row r="21" spans="1:12" ht="39.950000000000003" customHeight="1" x14ac:dyDescent="0.25">
      <c r="A21" s="6" t="s">
        <v>890</v>
      </c>
      <c r="B21" s="7" t="s">
        <v>891</v>
      </c>
      <c r="C21" s="8">
        <v>1</v>
      </c>
      <c r="D21" s="9">
        <v>39.99</v>
      </c>
      <c r="E21" s="8" t="s">
        <v>892</v>
      </c>
      <c r="F21" s="7" t="s">
        <v>25</v>
      </c>
      <c r="G21" s="10"/>
      <c r="H21" s="7" t="s">
        <v>18</v>
      </c>
      <c r="I21" s="7" t="s">
        <v>893</v>
      </c>
      <c r="J21" s="7"/>
      <c r="K21" s="7"/>
      <c r="L21" s="11" t="str">
        <f>HYPERLINK("http://slimages.macys.com/is/image/MCY/18222657 ")</f>
        <v xml:space="preserve">http://slimages.macys.com/is/image/MCY/18222657 </v>
      </c>
    </row>
    <row r="22" spans="1:12" ht="39.950000000000003" customHeight="1" x14ac:dyDescent="0.25">
      <c r="A22" s="6" t="s">
        <v>292</v>
      </c>
      <c r="B22" s="7" t="s">
        <v>141</v>
      </c>
      <c r="C22" s="8">
        <v>1</v>
      </c>
      <c r="D22" s="9">
        <v>67.989999999999995</v>
      </c>
      <c r="E22" s="8" t="s">
        <v>293</v>
      </c>
      <c r="F22" s="7" t="s">
        <v>25</v>
      </c>
      <c r="G22" s="10" t="s">
        <v>143</v>
      </c>
      <c r="H22" s="7" t="s">
        <v>27</v>
      </c>
      <c r="I22" s="7" t="s">
        <v>28</v>
      </c>
      <c r="J22" s="7" t="s">
        <v>29</v>
      </c>
      <c r="K22" s="7" t="s">
        <v>30</v>
      </c>
      <c r="L22" s="11" t="str">
        <f>HYPERLINK("http://slimages.macys.com/is/image/MCY/11798186 ")</f>
        <v xml:space="preserve">http://slimages.macys.com/is/image/MCY/11798186 </v>
      </c>
    </row>
    <row r="23" spans="1:12" ht="39.950000000000003" customHeight="1" x14ac:dyDescent="0.25">
      <c r="A23" s="6" t="s">
        <v>894</v>
      </c>
      <c r="B23" s="7" t="s">
        <v>895</v>
      </c>
      <c r="C23" s="8">
        <v>1</v>
      </c>
      <c r="D23" s="9">
        <v>39.99</v>
      </c>
      <c r="E23" s="8">
        <v>56608</v>
      </c>
      <c r="F23" s="7" t="s">
        <v>163</v>
      </c>
      <c r="G23" s="10"/>
      <c r="H23" s="7" t="s">
        <v>42</v>
      </c>
      <c r="I23" s="7" t="s">
        <v>164</v>
      </c>
      <c r="J23" s="7" t="s">
        <v>20</v>
      </c>
      <c r="K23" s="7" t="s">
        <v>44</v>
      </c>
      <c r="L23" s="11" t="str">
        <f>HYPERLINK("http://slimages.macys.com/is/image/MCY/16060565 ")</f>
        <v xml:space="preserve">http://slimages.macys.com/is/image/MCY/16060565 </v>
      </c>
    </row>
    <row r="24" spans="1:12" ht="39.950000000000003" customHeight="1" x14ac:dyDescent="0.25">
      <c r="A24" s="6" t="s">
        <v>896</v>
      </c>
      <c r="B24" s="7" t="s">
        <v>897</v>
      </c>
      <c r="C24" s="8">
        <v>1</v>
      </c>
      <c r="D24" s="9">
        <v>62.99</v>
      </c>
      <c r="E24" s="8" t="s">
        <v>898</v>
      </c>
      <c r="F24" s="7" t="s">
        <v>52</v>
      </c>
      <c r="G24" s="10" t="s">
        <v>143</v>
      </c>
      <c r="H24" s="7" t="s">
        <v>27</v>
      </c>
      <c r="I24" s="7" t="s">
        <v>28</v>
      </c>
      <c r="J24" s="7" t="s">
        <v>29</v>
      </c>
      <c r="K24" s="7" t="s">
        <v>899</v>
      </c>
      <c r="L24" s="11" t="str">
        <f>HYPERLINK("http://slimages.macys.com/is/image/MCY/11798916 ")</f>
        <v xml:space="preserve">http://slimages.macys.com/is/image/MCY/11798916 </v>
      </c>
    </row>
    <row r="25" spans="1:12" ht="39.950000000000003" customHeight="1" x14ac:dyDescent="0.25">
      <c r="A25" s="6" t="s">
        <v>900</v>
      </c>
      <c r="B25" s="7" t="s">
        <v>901</v>
      </c>
      <c r="C25" s="8">
        <v>1</v>
      </c>
      <c r="D25" s="9">
        <v>35.99</v>
      </c>
      <c r="E25" s="8">
        <v>56532</v>
      </c>
      <c r="F25" s="7" t="s">
        <v>163</v>
      </c>
      <c r="G25" s="10"/>
      <c r="H25" s="7" t="s">
        <v>42</v>
      </c>
      <c r="I25" s="7" t="s">
        <v>164</v>
      </c>
      <c r="J25" s="7" t="s">
        <v>20</v>
      </c>
      <c r="K25" s="7" t="s">
        <v>109</v>
      </c>
      <c r="L25" s="11" t="str">
        <f>HYPERLINK("http://slimages.macys.com/is/image/MCY/11247680 ")</f>
        <v xml:space="preserve">http://slimages.macys.com/is/image/MCY/11247680 </v>
      </c>
    </row>
    <row r="26" spans="1:12" ht="39.950000000000003" customHeight="1" x14ac:dyDescent="0.25">
      <c r="A26" s="6" t="s">
        <v>902</v>
      </c>
      <c r="B26" s="7" t="s">
        <v>903</v>
      </c>
      <c r="C26" s="8">
        <v>1</v>
      </c>
      <c r="D26" s="9">
        <v>64.989999999999995</v>
      </c>
      <c r="E26" s="8" t="s">
        <v>904</v>
      </c>
      <c r="F26" s="7" t="s">
        <v>375</v>
      </c>
      <c r="G26" s="10"/>
      <c r="H26" s="7" t="s">
        <v>67</v>
      </c>
      <c r="I26" s="7" t="s">
        <v>843</v>
      </c>
      <c r="J26" s="7" t="s">
        <v>20</v>
      </c>
      <c r="K26" s="7" t="s">
        <v>109</v>
      </c>
      <c r="L26" s="11" t="str">
        <f>HYPERLINK("http://slimages.macys.com/is/image/MCY/14788489 ")</f>
        <v xml:space="preserve">http://slimages.macys.com/is/image/MCY/14788489 </v>
      </c>
    </row>
    <row r="27" spans="1:12" ht="39.950000000000003" customHeight="1" x14ac:dyDescent="0.25">
      <c r="A27" s="6" t="s">
        <v>905</v>
      </c>
      <c r="B27" s="7" t="s">
        <v>906</v>
      </c>
      <c r="C27" s="8">
        <v>1</v>
      </c>
      <c r="D27" s="9">
        <v>33.99</v>
      </c>
      <c r="E27" s="8" t="s">
        <v>907</v>
      </c>
      <c r="F27" s="7" t="s">
        <v>344</v>
      </c>
      <c r="G27" s="10"/>
      <c r="H27" s="7" t="s">
        <v>18</v>
      </c>
      <c r="I27" s="7" t="s">
        <v>86</v>
      </c>
      <c r="J27" s="7" t="s">
        <v>20</v>
      </c>
      <c r="K27" s="7" t="s">
        <v>44</v>
      </c>
      <c r="L27" s="11" t="str">
        <f>HYPERLINK("http://slimages.macys.com/is/image/MCY/9616503 ")</f>
        <v xml:space="preserve">http://slimages.macys.com/is/image/MCY/9616503 </v>
      </c>
    </row>
    <row r="28" spans="1:12" ht="39.950000000000003" customHeight="1" x14ac:dyDescent="0.25">
      <c r="A28" s="6" t="s">
        <v>908</v>
      </c>
      <c r="B28" s="7" t="s">
        <v>909</v>
      </c>
      <c r="C28" s="8">
        <v>1</v>
      </c>
      <c r="D28" s="9">
        <v>24.99</v>
      </c>
      <c r="E28" s="8">
        <v>56696</v>
      </c>
      <c r="F28" s="7" t="s">
        <v>163</v>
      </c>
      <c r="G28" s="10" t="s">
        <v>910</v>
      </c>
      <c r="H28" s="7" t="s">
        <v>42</v>
      </c>
      <c r="I28" s="7" t="s">
        <v>164</v>
      </c>
      <c r="J28" s="7" t="s">
        <v>20</v>
      </c>
      <c r="K28" s="7" t="s">
        <v>44</v>
      </c>
      <c r="L28" s="11" t="str">
        <f>HYPERLINK("http://slimages.macys.com/is/image/MCY/16061254 ")</f>
        <v xml:space="preserve">http://slimages.macys.com/is/image/MCY/16061254 </v>
      </c>
    </row>
    <row r="29" spans="1:12" ht="39.950000000000003" customHeight="1" x14ac:dyDescent="0.25">
      <c r="A29" s="6" t="s">
        <v>911</v>
      </c>
      <c r="B29" s="7" t="s">
        <v>912</v>
      </c>
      <c r="C29" s="8">
        <v>1</v>
      </c>
      <c r="D29" s="9">
        <v>29.99</v>
      </c>
      <c r="E29" s="8" t="s">
        <v>913</v>
      </c>
      <c r="F29" s="7" t="s">
        <v>25</v>
      </c>
      <c r="G29" s="10" t="s">
        <v>187</v>
      </c>
      <c r="H29" s="7" t="s">
        <v>103</v>
      </c>
      <c r="I29" s="7" t="s">
        <v>104</v>
      </c>
      <c r="J29" s="7" t="s">
        <v>20</v>
      </c>
      <c r="K29" s="7" t="s">
        <v>298</v>
      </c>
      <c r="L29" s="11" t="str">
        <f>HYPERLINK("http://slimages.macys.com/is/image/MCY/13285480 ")</f>
        <v xml:space="preserve">http://slimages.macys.com/is/image/MCY/13285480 </v>
      </c>
    </row>
    <row r="30" spans="1:12" ht="39.950000000000003" customHeight="1" x14ac:dyDescent="0.25">
      <c r="A30" s="6" t="s">
        <v>914</v>
      </c>
      <c r="B30" s="7" t="s">
        <v>915</v>
      </c>
      <c r="C30" s="8">
        <v>1</v>
      </c>
      <c r="D30" s="9">
        <v>39.99</v>
      </c>
      <c r="E30" s="8" t="s">
        <v>916</v>
      </c>
      <c r="F30" s="7" t="s">
        <v>25</v>
      </c>
      <c r="G30" s="10" t="s">
        <v>26</v>
      </c>
      <c r="H30" s="7" t="s">
        <v>519</v>
      </c>
      <c r="I30" s="7" t="s">
        <v>712</v>
      </c>
      <c r="J30" s="7" t="s">
        <v>521</v>
      </c>
      <c r="K30" s="7"/>
      <c r="L30" s="11" t="str">
        <f>HYPERLINK("http://slimages.macys.com/is/image/MCY/12384987 ")</f>
        <v xml:space="preserve">http://slimages.macys.com/is/image/MCY/12384987 </v>
      </c>
    </row>
    <row r="31" spans="1:12" ht="39.950000000000003" customHeight="1" x14ac:dyDescent="0.25">
      <c r="A31" s="6" t="s">
        <v>917</v>
      </c>
      <c r="B31" s="7" t="s">
        <v>918</v>
      </c>
      <c r="C31" s="8">
        <v>1</v>
      </c>
      <c r="D31" s="9">
        <v>29.99</v>
      </c>
      <c r="E31" s="8" t="s">
        <v>919</v>
      </c>
      <c r="F31" s="7" t="s">
        <v>473</v>
      </c>
      <c r="G31" s="10"/>
      <c r="H31" s="7" t="s">
        <v>787</v>
      </c>
      <c r="I31" s="7" t="s">
        <v>788</v>
      </c>
      <c r="J31" s="7"/>
      <c r="K31" s="7"/>
      <c r="L31" s="11" t="str">
        <f>HYPERLINK("http://slimages.macys.com/is/image/MCY/18941429 ")</f>
        <v xml:space="preserve">http://slimages.macys.com/is/image/MCY/18941429 </v>
      </c>
    </row>
    <row r="32" spans="1:12" ht="39.950000000000003" customHeight="1" x14ac:dyDescent="0.25">
      <c r="A32" s="6" t="s">
        <v>920</v>
      </c>
      <c r="B32" s="7" t="s">
        <v>921</v>
      </c>
      <c r="C32" s="8">
        <v>1</v>
      </c>
      <c r="D32" s="9">
        <v>17.989999999999998</v>
      </c>
      <c r="E32" s="8" t="s">
        <v>922</v>
      </c>
      <c r="F32" s="7" t="s">
        <v>214</v>
      </c>
      <c r="G32" s="10" t="s">
        <v>187</v>
      </c>
      <c r="H32" s="7" t="s">
        <v>103</v>
      </c>
      <c r="I32" s="7" t="s">
        <v>104</v>
      </c>
      <c r="J32" s="7" t="s">
        <v>20</v>
      </c>
      <c r="K32" s="7" t="s">
        <v>87</v>
      </c>
      <c r="L32" s="11" t="str">
        <f>HYPERLINK("http://slimages.macys.com/is/image/MCY/3964365 ")</f>
        <v xml:space="preserve">http://slimages.macys.com/is/image/MCY/3964365 </v>
      </c>
    </row>
    <row r="33" spans="1:12" ht="39.950000000000003" customHeight="1" x14ac:dyDescent="0.25">
      <c r="A33" s="6" t="s">
        <v>923</v>
      </c>
      <c r="B33" s="7" t="s">
        <v>924</v>
      </c>
      <c r="C33" s="8">
        <v>1</v>
      </c>
      <c r="D33" s="9">
        <v>24.99</v>
      </c>
      <c r="E33" s="8" t="s">
        <v>925</v>
      </c>
      <c r="F33" s="7" t="s">
        <v>778</v>
      </c>
      <c r="G33" s="10" t="s">
        <v>199</v>
      </c>
      <c r="H33" s="7" t="s">
        <v>103</v>
      </c>
      <c r="I33" s="7" t="s">
        <v>104</v>
      </c>
      <c r="J33" s="7" t="s">
        <v>20</v>
      </c>
      <c r="K33" s="7" t="s">
        <v>926</v>
      </c>
      <c r="L33" s="11" t="str">
        <f>HYPERLINK("http://slimages.macys.com/is/image/MCY/14322102 ")</f>
        <v xml:space="preserve">http://slimages.macys.com/is/image/MCY/14322102 </v>
      </c>
    </row>
    <row r="34" spans="1:12" ht="39.950000000000003" customHeight="1" x14ac:dyDescent="0.25">
      <c r="A34" s="6" t="s">
        <v>927</v>
      </c>
      <c r="B34" s="7" t="s">
        <v>928</v>
      </c>
      <c r="C34" s="8">
        <v>5</v>
      </c>
      <c r="D34" s="9">
        <v>29.95</v>
      </c>
      <c r="E34" s="8" t="s">
        <v>929</v>
      </c>
      <c r="F34" s="7" t="s">
        <v>163</v>
      </c>
      <c r="G34" s="10" t="s">
        <v>199</v>
      </c>
      <c r="H34" s="7" t="s">
        <v>103</v>
      </c>
      <c r="I34" s="7" t="s">
        <v>191</v>
      </c>
      <c r="J34" s="7" t="s">
        <v>20</v>
      </c>
      <c r="K34" s="7" t="s">
        <v>87</v>
      </c>
      <c r="L34" s="11" t="str">
        <f>HYPERLINK("http://slimages.macys.com/is/image/MCY/12723265 ")</f>
        <v xml:space="preserve">http://slimages.macys.com/is/image/MCY/12723265 </v>
      </c>
    </row>
    <row r="35" spans="1:12" ht="39.950000000000003" customHeight="1" x14ac:dyDescent="0.25">
      <c r="A35" s="6" t="s">
        <v>930</v>
      </c>
      <c r="B35" s="7" t="s">
        <v>931</v>
      </c>
      <c r="C35" s="8">
        <v>1</v>
      </c>
      <c r="D35" s="9">
        <v>149.99</v>
      </c>
      <c r="E35" s="8" t="s">
        <v>932</v>
      </c>
      <c r="F35" s="7" t="s">
        <v>52</v>
      </c>
      <c r="G35" s="10"/>
      <c r="H35" s="7" t="s">
        <v>42</v>
      </c>
      <c r="I35" s="7" t="s">
        <v>361</v>
      </c>
      <c r="J35" s="7"/>
      <c r="K35" s="7"/>
      <c r="L35" s="11"/>
    </row>
    <row r="36" spans="1:12" ht="39.950000000000003" customHeight="1" x14ac:dyDescent="0.25">
      <c r="A36" s="6" t="s">
        <v>207</v>
      </c>
      <c r="B36" s="7" t="s">
        <v>208</v>
      </c>
      <c r="C36" s="8">
        <v>2</v>
      </c>
      <c r="D36" s="9">
        <v>80</v>
      </c>
      <c r="E36" s="8"/>
      <c r="F36" s="7" t="s">
        <v>209</v>
      </c>
      <c r="G36" s="10" t="s">
        <v>113</v>
      </c>
      <c r="H36" s="7" t="s">
        <v>210</v>
      </c>
      <c r="I36" s="7" t="s">
        <v>211</v>
      </c>
      <c r="J36" s="7"/>
      <c r="K36" s="7"/>
      <c r="L36" s="11"/>
    </row>
    <row r="37" spans="1:12" ht="39.950000000000003" customHeight="1" x14ac:dyDescent="0.25">
      <c r="A37" s="6" t="s">
        <v>933</v>
      </c>
      <c r="B37" s="7" t="s">
        <v>934</v>
      </c>
      <c r="C37" s="8">
        <v>1</v>
      </c>
      <c r="D37" s="9">
        <v>81.99</v>
      </c>
      <c r="E37" s="8" t="s">
        <v>935</v>
      </c>
      <c r="F37" s="7" t="s">
        <v>468</v>
      </c>
      <c r="G37" s="10"/>
      <c r="H37" s="7" t="s">
        <v>36</v>
      </c>
      <c r="I37" s="7" t="s">
        <v>453</v>
      </c>
      <c r="J37" s="7"/>
      <c r="K37" s="7"/>
      <c r="L37" s="11"/>
    </row>
    <row r="38" spans="1:12" ht="39.950000000000003" customHeight="1" x14ac:dyDescent="0.25">
      <c r="A38" s="6" t="s">
        <v>936</v>
      </c>
      <c r="B38" s="7" t="s">
        <v>937</v>
      </c>
      <c r="C38" s="8">
        <v>1</v>
      </c>
      <c r="D38" s="9">
        <v>79.989999999999995</v>
      </c>
      <c r="E38" s="8" t="s">
        <v>938</v>
      </c>
      <c r="F38" s="7" t="s">
        <v>195</v>
      </c>
      <c r="G38" s="10" t="s">
        <v>546</v>
      </c>
      <c r="H38" s="7" t="s">
        <v>92</v>
      </c>
      <c r="I38" s="7" t="s">
        <v>93</v>
      </c>
      <c r="J38" s="7"/>
      <c r="K38" s="7"/>
      <c r="L38" s="11"/>
    </row>
    <row r="39" spans="1:12" ht="39.950000000000003" customHeight="1" x14ac:dyDescent="0.25">
      <c r="A39" s="6" t="s">
        <v>939</v>
      </c>
      <c r="B39" s="7" t="s">
        <v>940</v>
      </c>
      <c r="C39" s="8">
        <v>1</v>
      </c>
      <c r="D39" s="9">
        <v>74.989999999999995</v>
      </c>
      <c r="E39" s="8" t="s">
        <v>941</v>
      </c>
      <c r="F39" s="7" t="s">
        <v>25</v>
      </c>
      <c r="G39" s="10"/>
      <c r="H39" s="7" t="s">
        <v>27</v>
      </c>
      <c r="I39" s="7" t="s">
        <v>942</v>
      </c>
      <c r="J39" s="7"/>
      <c r="K39" s="7"/>
      <c r="L39" s="11"/>
    </row>
    <row r="40" spans="1:12" ht="39.950000000000003" customHeight="1" x14ac:dyDescent="0.25">
      <c r="A40" s="6" t="s">
        <v>943</v>
      </c>
      <c r="B40" s="7" t="s">
        <v>944</v>
      </c>
      <c r="C40" s="8">
        <v>1</v>
      </c>
      <c r="D40" s="9">
        <v>79.989999999999995</v>
      </c>
      <c r="E40" s="8" t="s">
        <v>945</v>
      </c>
      <c r="F40" s="7" t="s">
        <v>946</v>
      </c>
      <c r="G40" s="10"/>
      <c r="H40" s="7" t="s">
        <v>787</v>
      </c>
      <c r="I40" s="7" t="s">
        <v>788</v>
      </c>
      <c r="J40" s="7"/>
      <c r="K40" s="7"/>
      <c r="L40" s="11"/>
    </row>
    <row r="41" spans="1:12" ht="39.950000000000003" customHeight="1" x14ac:dyDescent="0.25">
      <c r="A41" s="6" t="s">
        <v>947</v>
      </c>
      <c r="B41" s="7" t="s">
        <v>948</v>
      </c>
      <c r="C41" s="8">
        <v>1</v>
      </c>
      <c r="D41" s="9">
        <v>78.11</v>
      </c>
      <c r="E41" s="8" t="s">
        <v>949</v>
      </c>
      <c r="F41" s="7"/>
      <c r="G41" s="10"/>
      <c r="H41" s="7" t="s">
        <v>92</v>
      </c>
      <c r="I41" s="7" t="s">
        <v>93</v>
      </c>
      <c r="J41" s="7"/>
      <c r="K41" s="7"/>
      <c r="L41" s="11"/>
    </row>
    <row r="42" spans="1:12" ht="39.950000000000003" customHeight="1" x14ac:dyDescent="0.25">
      <c r="A42" s="6" t="s">
        <v>950</v>
      </c>
      <c r="B42" s="7" t="s">
        <v>951</v>
      </c>
      <c r="C42" s="8">
        <v>6</v>
      </c>
      <c r="D42" s="9">
        <v>209.94</v>
      </c>
      <c r="E42" s="8" t="s">
        <v>952</v>
      </c>
      <c r="F42" s="7" t="s">
        <v>214</v>
      </c>
      <c r="G42" s="10" t="s">
        <v>751</v>
      </c>
      <c r="H42" s="7" t="s">
        <v>42</v>
      </c>
      <c r="I42" s="7" t="s">
        <v>63</v>
      </c>
      <c r="J42" s="7"/>
      <c r="K42" s="7"/>
      <c r="L42" s="11"/>
    </row>
    <row r="43" spans="1:12" ht="39.950000000000003" customHeight="1" x14ac:dyDescent="0.25">
      <c r="A43" s="6"/>
      <c r="B43" s="7"/>
      <c r="C43" s="8"/>
      <c r="D43" s="9"/>
      <c r="E43" s="8"/>
      <c r="F43" s="7"/>
      <c r="G43" s="10"/>
      <c r="H43" s="7"/>
      <c r="I43" s="7"/>
      <c r="J43" s="7"/>
      <c r="K43" s="7"/>
      <c r="L43" s="11"/>
    </row>
    <row r="44" spans="1:12" ht="39.950000000000003" customHeight="1" x14ac:dyDescent="0.25">
      <c r="A44" s="6"/>
      <c r="B44" s="7"/>
      <c r="C44" s="8"/>
      <c r="D44" s="9"/>
      <c r="E44" s="8"/>
      <c r="F44" s="7"/>
      <c r="G44" s="10"/>
      <c r="H44" s="7"/>
      <c r="I44" s="7"/>
      <c r="J44" s="7"/>
      <c r="K44" s="7"/>
      <c r="L44" s="11"/>
    </row>
    <row r="45" spans="1:12" ht="39.950000000000003" customHeight="1" x14ac:dyDescent="0.25">
      <c r="A45" s="6"/>
      <c r="B45" s="7"/>
      <c r="C45" s="8"/>
      <c r="D45" s="9"/>
      <c r="E45" s="8"/>
      <c r="F45" s="7"/>
      <c r="G45" s="10"/>
      <c r="H45" s="7"/>
      <c r="I45" s="7"/>
      <c r="J45" s="7"/>
      <c r="K45" s="7"/>
      <c r="L45" s="11"/>
    </row>
    <row r="46" spans="1:12" ht="39.950000000000003" customHeight="1" x14ac:dyDescent="0.25">
      <c r="A46" s="6"/>
      <c r="B46" s="7"/>
      <c r="C46" s="8"/>
      <c r="D46" s="9"/>
      <c r="E46" s="8"/>
      <c r="F46" s="7"/>
      <c r="G46" s="10"/>
      <c r="H46" s="7"/>
      <c r="I46" s="7"/>
      <c r="J46" s="7"/>
      <c r="K46" s="7"/>
      <c r="L46" s="11"/>
    </row>
    <row r="47" spans="1:12" ht="39.950000000000003" customHeight="1" x14ac:dyDescent="0.25">
      <c r="A47" s="6"/>
      <c r="B47" s="7"/>
      <c r="C47" s="8"/>
      <c r="D47" s="9"/>
      <c r="E47" s="8"/>
      <c r="F47" s="7"/>
      <c r="G47" s="10"/>
      <c r="H47" s="7"/>
      <c r="I47" s="7"/>
      <c r="J47" s="7"/>
      <c r="K47" s="7"/>
      <c r="L47" s="11"/>
    </row>
    <row r="48" spans="1:12" ht="39.950000000000003" customHeight="1" x14ac:dyDescent="0.25">
      <c r="A48" s="6"/>
      <c r="B48" s="7"/>
      <c r="C48" s="8"/>
      <c r="D48" s="9"/>
      <c r="E48" s="8"/>
      <c r="F48" s="7"/>
      <c r="G48" s="10"/>
      <c r="H48" s="7"/>
      <c r="I48" s="7"/>
      <c r="J48" s="7"/>
      <c r="K48" s="7"/>
      <c r="L48" s="11"/>
    </row>
    <row r="49" spans="1:12" ht="39.950000000000003" customHeight="1" x14ac:dyDescent="0.25">
      <c r="A49" s="6"/>
      <c r="B49" s="7"/>
      <c r="C49" s="8"/>
      <c r="D49" s="9"/>
      <c r="E49" s="8"/>
      <c r="F49" s="7"/>
      <c r="G49" s="10"/>
      <c r="H49" s="7"/>
      <c r="I49" s="7"/>
      <c r="J49" s="7"/>
      <c r="K49" s="7"/>
      <c r="L49" s="11"/>
    </row>
    <row r="50" spans="1:12" ht="39.950000000000003" customHeight="1" x14ac:dyDescent="0.25">
      <c r="A50" s="6"/>
      <c r="B50" s="7"/>
      <c r="C50" s="8"/>
      <c r="D50" s="9"/>
      <c r="E50" s="8"/>
      <c r="F50" s="7"/>
      <c r="G50" s="10"/>
      <c r="H50" s="7"/>
      <c r="I50" s="7"/>
      <c r="J50" s="7"/>
      <c r="K50" s="7"/>
      <c r="L50" s="11"/>
    </row>
    <row r="51" spans="1:12" ht="39.950000000000003" customHeight="1" x14ac:dyDescent="0.25">
      <c r="A51" s="6"/>
      <c r="B51" s="7"/>
      <c r="C51" s="8"/>
      <c r="D51" s="9"/>
      <c r="E51" s="8"/>
      <c r="F51" s="7"/>
      <c r="G51" s="10"/>
      <c r="H51" s="7"/>
      <c r="I51" s="7"/>
      <c r="J51" s="7"/>
      <c r="K51" s="7"/>
      <c r="L51" s="11"/>
    </row>
    <row r="52" spans="1:12" ht="39.950000000000003" customHeight="1" x14ac:dyDescent="0.25">
      <c r="A52" s="6"/>
      <c r="B52" s="7"/>
      <c r="C52" s="8"/>
      <c r="D52" s="9"/>
      <c r="E52" s="8"/>
      <c r="F52" s="7"/>
      <c r="G52" s="10"/>
      <c r="H52" s="7"/>
      <c r="I52" s="7"/>
      <c r="J52" s="7"/>
      <c r="K52" s="7"/>
      <c r="L52" s="11"/>
    </row>
    <row r="53" spans="1:12" ht="39.950000000000003" customHeight="1" x14ac:dyDescent="0.25">
      <c r="A53" s="6"/>
      <c r="B53" s="7"/>
      <c r="C53" s="8"/>
      <c r="D53" s="9"/>
      <c r="E53" s="8"/>
      <c r="F53" s="7"/>
      <c r="G53" s="10"/>
      <c r="H53" s="7"/>
      <c r="I53" s="7"/>
      <c r="J53" s="7"/>
      <c r="K53" s="7"/>
      <c r="L53" s="11"/>
    </row>
    <row r="54" spans="1:12" ht="39.950000000000003" customHeight="1" x14ac:dyDescent="0.25">
      <c r="A54" s="6"/>
      <c r="B54" s="7"/>
      <c r="C54" s="8"/>
      <c r="D54" s="9"/>
      <c r="E54" s="8"/>
      <c r="F54" s="7"/>
      <c r="G54" s="10"/>
      <c r="H54" s="7"/>
      <c r="I54" s="7"/>
      <c r="J54" s="7"/>
      <c r="K54" s="7"/>
      <c r="L54" s="11"/>
    </row>
    <row r="55" spans="1:12" ht="39.950000000000003" customHeight="1" x14ac:dyDescent="0.25">
      <c r="A55" s="6"/>
      <c r="B55" s="7"/>
      <c r="C55" s="8"/>
      <c r="D55" s="9"/>
      <c r="E55" s="8"/>
      <c r="F55" s="7"/>
      <c r="G55" s="10"/>
      <c r="H55" s="7"/>
      <c r="I55" s="7"/>
      <c r="J55" s="7"/>
      <c r="K55" s="7"/>
      <c r="L55" s="11"/>
    </row>
    <row r="56" spans="1:12" ht="39.950000000000003" customHeight="1" x14ac:dyDescent="0.25">
      <c r="A56" s="6"/>
      <c r="B56" s="7"/>
      <c r="C56" s="8"/>
      <c r="D56" s="9"/>
      <c r="E56" s="8"/>
      <c r="F56" s="7"/>
      <c r="G56" s="10"/>
      <c r="H56" s="7"/>
      <c r="I56" s="7"/>
      <c r="J56" s="7"/>
      <c r="K56" s="7"/>
      <c r="L56" s="1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972E7-82EF-4415-91B9-37110EC67FF2}">
  <dimension ref="A1:L56"/>
  <sheetViews>
    <sheetView workbookViewId="0"/>
  </sheetViews>
  <sheetFormatPr defaultRowHeight="39.950000000000003" customHeight="1" x14ac:dyDescent="0.25"/>
  <cols>
    <col min="1" max="1" width="14.28515625" customWidth="1"/>
    <col min="2" max="2" width="22.28515625" customWidth="1"/>
    <col min="3" max="3" width="15" customWidth="1"/>
    <col min="4" max="4" width="10.28515625" customWidth="1"/>
    <col min="5" max="5" width="17.140625" customWidth="1"/>
    <col min="6" max="6" width="11.42578125" customWidth="1"/>
    <col min="7" max="7" width="10.85546875" customWidth="1"/>
    <col min="8" max="8" width="12.140625" customWidth="1"/>
    <col min="9" max="9" width="36.5703125" bestFit="1" customWidth="1"/>
    <col min="10" max="11" width="20.7109375" customWidth="1"/>
    <col min="12" max="12" width="64.28515625" customWidth="1"/>
  </cols>
  <sheetData>
    <row r="1" spans="1:12" ht="39.950000000000003" customHeight="1" x14ac:dyDescent="0.25">
      <c r="A1" s="5" t="s">
        <v>2</v>
      </c>
      <c r="B1" s="5" t="s">
        <v>3</v>
      </c>
      <c r="C1" s="5" t="s">
        <v>4</v>
      </c>
      <c r="D1" s="5" t="s">
        <v>5</v>
      </c>
      <c r="E1" s="5" t="s">
        <v>6</v>
      </c>
      <c r="F1" s="5" t="s">
        <v>7</v>
      </c>
      <c r="G1" s="5" t="s">
        <v>8</v>
      </c>
      <c r="H1" s="5" t="s">
        <v>9</v>
      </c>
      <c r="I1" s="5" t="s">
        <v>10</v>
      </c>
      <c r="J1" s="5" t="s">
        <v>11</v>
      </c>
      <c r="K1" s="5" t="s">
        <v>12</v>
      </c>
      <c r="L1" s="5" t="s">
        <v>13</v>
      </c>
    </row>
    <row r="2" spans="1:12" ht="39.950000000000003" customHeight="1" x14ac:dyDescent="0.25">
      <c r="A2" s="6" t="s">
        <v>953</v>
      </c>
      <c r="B2" s="7" t="s">
        <v>954</v>
      </c>
      <c r="C2" s="8">
        <v>1</v>
      </c>
      <c r="D2" s="9">
        <v>279.99</v>
      </c>
      <c r="E2" s="8" t="s">
        <v>955</v>
      </c>
      <c r="F2" s="7" t="s">
        <v>778</v>
      </c>
      <c r="G2" s="10"/>
      <c r="H2" s="7" t="s">
        <v>67</v>
      </c>
      <c r="I2" s="7" t="s">
        <v>272</v>
      </c>
      <c r="J2" s="7" t="s">
        <v>20</v>
      </c>
      <c r="K2" s="7" t="s">
        <v>956</v>
      </c>
      <c r="L2" s="11" t="str">
        <f>HYPERLINK("http://slimages.macys.com/is/image/MCY/15767044 ")</f>
        <v xml:space="preserve">http://slimages.macys.com/is/image/MCY/15767044 </v>
      </c>
    </row>
    <row r="3" spans="1:12" ht="39.950000000000003" customHeight="1" x14ac:dyDescent="0.25">
      <c r="A3" s="6" t="s">
        <v>957</v>
      </c>
      <c r="B3" s="7" t="s">
        <v>958</v>
      </c>
      <c r="C3" s="8">
        <v>1</v>
      </c>
      <c r="D3" s="9">
        <v>329.99</v>
      </c>
      <c r="E3" s="8" t="s">
        <v>959</v>
      </c>
      <c r="F3" s="7" t="s">
        <v>778</v>
      </c>
      <c r="G3" s="10"/>
      <c r="H3" s="7" t="s">
        <v>67</v>
      </c>
      <c r="I3" s="7" t="s">
        <v>348</v>
      </c>
      <c r="J3" s="7" t="s">
        <v>20</v>
      </c>
      <c r="K3" s="7" t="s">
        <v>960</v>
      </c>
      <c r="L3" s="11" t="str">
        <f>HYPERLINK("http://slimages.macys.com/is/image/MCY/15604029 ")</f>
        <v xml:space="preserve">http://slimages.macys.com/is/image/MCY/15604029 </v>
      </c>
    </row>
    <row r="4" spans="1:12" ht="39.950000000000003" customHeight="1" x14ac:dyDescent="0.25">
      <c r="A4" s="6" t="s">
        <v>961</v>
      </c>
      <c r="B4" s="7" t="s">
        <v>962</v>
      </c>
      <c r="C4" s="8">
        <v>1</v>
      </c>
      <c r="D4" s="9">
        <v>199.99</v>
      </c>
      <c r="E4" s="8" t="s">
        <v>963</v>
      </c>
      <c r="F4" s="7" t="s">
        <v>34</v>
      </c>
      <c r="G4" s="10" t="s">
        <v>78</v>
      </c>
      <c r="H4" s="7" t="s">
        <v>699</v>
      </c>
      <c r="I4" s="7" t="s">
        <v>964</v>
      </c>
      <c r="J4" s="7" t="s">
        <v>20</v>
      </c>
      <c r="K4" s="7" t="s">
        <v>965</v>
      </c>
      <c r="L4" s="11" t="str">
        <f>HYPERLINK("http://slimages.macys.com/is/image/MCY/10264817 ")</f>
        <v xml:space="preserve">http://slimages.macys.com/is/image/MCY/10264817 </v>
      </c>
    </row>
    <row r="5" spans="1:12" ht="39.950000000000003" customHeight="1" x14ac:dyDescent="0.25">
      <c r="A5" s="6" t="s">
        <v>856</v>
      </c>
      <c r="B5" s="7" t="s">
        <v>857</v>
      </c>
      <c r="C5" s="8">
        <v>1</v>
      </c>
      <c r="D5" s="9">
        <v>129.99</v>
      </c>
      <c r="E5" s="8" t="s">
        <v>858</v>
      </c>
      <c r="F5" s="7" t="s">
        <v>97</v>
      </c>
      <c r="G5" s="10"/>
      <c r="H5" s="7" t="s">
        <v>242</v>
      </c>
      <c r="I5" s="7" t="s">
        <v>328</v>
      </c>
      <c r="J5" s="7" t="s">
        <v>20</v>
      </c>
      <c r="K5" s="7"/>
      <c r="L5" s="11" t="str">
        <f>HYPERLINK("http://slimages.macys.com/is/image/MCY/8419272 ")</f>
        <v xml:space="preserve">http://slimages.macys.com/is/image/MCY/8419272 </v>
      </c>
    </row>
    <row r="6" spans="1:12" ht="39.950000000000003" customHeight="1" x14ac:dyDescent="0.25">
      <c r="A6" s="6" t="s">
        <v>966</v>
      </c>
      <c r="B6" s="7" t="s">
        <v>967</v>
      </c>
      <c r="C6" s="8">
        <v>1</v>
      </c>
      <c r="D6" s="9">
        <v>149.99</v>
      </c>
      <c r="E6" s="8" t="s">
        <v>968</v>
      </c>
      <c r="F6" s="7" t="s">
        <v>498</v>
      </c>
      <c r="G6" s="10"/>
      <c r="H6" s="7" t="s">
        <v>787</v>
      </c>
      <c r="I6" s="7" t="s">
        <v>788</v>
      </c>
      <c r="J6" s="7"/>
      <c r="K6" s="7"/>
      <c r="L6" s="11" t="str">
        <f>HYPERLINK("http://slimages.macys.com/is/image/MCY/17773249 ")</f>
        <v xml:space="preserve">http://slimages.macys.com/is/image/MCY/17773249 </v>
      </c>
    </row>
    <row r="7" spans="1:12" ht="39.950000000000003" customHeight="1" x14ac:dyDescent="0.25">
      <c r="A7" s="6" t="s">
        <v>969</v>
      </c>
      <c r="B7" s="7" t="s">
        <v>970</v>
      </c>
      <c r="C7" s="8">
        <v>1</v>
      </c>
      <c r="D7" s="9">
        <v>111.99</v>
      </c>
      <c r="E7" s="8" t="s">
        <v>971</v>
      </c>
      <c r="F7" s="7" t="s">
        <v>97</v>
      </c>
      <c r="G7" s="10"/>
      <c r="H7" s="7" t="s">
        <v>242</v>
      </c>
      <c r="I7" s="7" t="s">
        <v>663</v>
      </c>
      <c r="J7" s="7" t="s">
        <v>20</v>
      </c>
      <c r="K7" s="7" t="s">
        <v>972</v>
      </c>
      <c r="L7" s="11" t="str">
        <f>HYPERLINK("http://slimages.macys.com/is/image/MCY/10425884 ")</f>
        <v xml:space="preserve">http://slimages.macys.com/is/image/MCY/10425884 </v>
      </c>
    </row>
    <row r="8" spans="1:12" ht="39.950000000000003" customHeight="1" x14ac:dyDescent="0.25">
      <c r="A8" s="6" t="s">
        <v>973</v>
      </c>
      <c r="B8" s="7" t="s">
        <v>974</v>
      </c>
      <c r="C8" s="8">
        <v>1</v>
      </c>
      <c r="D8" s="9">
        <v>149.99</v>
      </c>
      <c r="E8" s="8" t="s">
        <v>975</v>
      </c>
      <c r="F8" s="7" t="s">
        <v>25</v>
      </c>
      <c r="G8" s="10"/>
      <c r="H8" s="7" t="s">
        <v>699</v>
      </c>
      <c r="I8" s="7" t="s">
        <v>964</v>
      </c>
      <c r="J8" s="7" t="s">
        <v>220</v>
      </c>
      <c r="K8" s="7"/>
      <c r="L8" s="11" t="str">
        <f>HYPERLINK("http://slimages.macys.com/is/image/MCY/8905437 ")</f>
        <v xml:space="preserve">http://slimages.macys.com/is/image/MCY/8905437 </v>
      </c>
    </row>
    <row r="9" spans="1:12" ht="39.950000000000003" customHeight="1" x14ac:dyDescent="0.25">
      <c r="A9" s="6" t="s">
        <v>976</v>
      </c>
      <c r="B9" s="7" t="s">
        <v>977</v>
      </c>
      <c r="C9" s="8">
        <v>1</v>
      </c>
      <c r="D9" s="9">
        <v>139.99</v>
      </c>
      <c r="E9" s="8" t="s">
        <v>978</v>
      </c>
      <c r="F9" s="7" t="s">
        <v>97</v>
      </c>
      <c r="G9" s="10"/>
      <c r="H9" s="7" t="s">
        <v>98</v>
      </c>
      <c r="I9" s="7" t="s">
        <v>99</v>
      </c>
      <c r="J9" s="7" t="s">
        <v>20</v>
      </c>
      <c r="K9" s="7" t="s">
        <v>109</v>
      </c>
      <c r="L9" s="11" t="str">
        <f>HYPERLINK("http://slimages.macys.com/is/image/MCY/11607139 ")</f>
        <v xml:space="preserve">http://slimages.macys.com/is/image/MCY/11607139 </v>
      </c>
    </row>
    <row r="10" spans="1:12" ht="39.950000000000003" customHeight="1" x14ac:dyDescent="0.25">
      <c r="A10" s="6" t="s">
        <v>979</v>
      </c>
      <c r="B10" s="7" t="s">
        <v>980</v>
      </c>
      <c r="C10" s="8">
        <v>1</v>
      </c>
      <c r="D10" s="9">
        <v>85.99</v>
      </c>
      <c r="E10" s="8" t="s">
        <v>981</v>
      </c>
      <c r="F10" s="7" t="s">
        <v>25</v>
      </c>
      <c r="G10" s="10"/>
      <c r="H10" s="7" t="s">
        <v>79</v>
      </c>
      <c r="I10" s="7" t="s">
        <v>63</v>
      </c>
      <c r="J10" s="7" t="s">
        <v>20</v>
      </c>
      <c r="K10" s="7"/>
      <c r="L10" s="11" t="str">
        <f>HYPERLINK("http://slimages.macys.com/is/image/MCY/9802613 ")</f>
        <v xml:space="preserve">http://slimages.macys.com/is/image/MCY/9802613 </v>
      </c>
    </row>
    <row r="11" spans="1:12" ht="39.950000000000003" customHeight="1" x14ac:dyDescent="0.25">
      <c r="A11" s="6" t="s">
        <v>982</v>
      </c>
      <c r="B11" s="7" t="s">
        <v>983</v>
      </c>
      <c r="C11" s="8">
        <v>1</v>
      </c>
      <c r="D11" s="9">
        <v>139.99</v>
      </c>
      <c r="E11" s="8" t="s">
        <v>984</v>
      </c>
      <c r="F11" s="7" t="s">
        <v>375</v>
      </c>
      <c r="G11" s="10" t="s">
        <v>985</v>
      </c>
      <c r="H11" s="7" t="s">
        <v>67</v>
      </c>
      <c r="I11" s="7" t="s">
        <v>843</v>
      </c>
      <c r="J11" s="7" t="s">
        <v>20</v>
      </c>
      <c r="K11" s="7" t="s">
        <v>109</v>
      </c>
      <c r="L11" s="11" t="str">
        <f>HYPERLINK("http://slimages.macys.com/is/image/MCY/14788490 ")</f>
        <v xml:space="preserve">http://slimages.macys.com/is/image/MCY/14788490 </v>
      </c>
    </row>
    <row r="12" spans="1:12" ht="39.950000000000003" customHeight="1" x14ac:dyDescent="0.25">
      <c r="A12" s="6" t="s">
        <v>986</v>
      </c>
      <c r="B12" s="7" t="s">
        <v>987</v>
      </c>
      <c r="C12" s="8">
        <v>1</v>
      </c>
      <c r="D12" s="9">
        <v>139.99</v>
      </c>
      <c r="E12" s="8" t="s">
        <v>988</v>
      </c>
      <c r="F12" s="7" t="s">
        <v>168</v>
      </c>
      <c r="G12" s="10" t="s">
        <v>78</v>
      </c>
      <c r="H12" s="7" t="s">
        <v>699</v>
      </c>
      <c r="I12" s="7" t="s">
        <v>989</v>
      </c>
      <c r="J12" s="7"/>
      <c r="K12" s="7"/>
      <c r="L12" s="11" t="str">
        <f>HYPERLINK("http://slimages.macys.com/is/image/MCY/957575 ")</f>
        <v xml:space="preserve">http://slimages.macys.com/is/image/MCY/957575 </v>
      </c>
    </row>
    <row r="13" spans="1:12" ht="39.950000000000003" customHeight="1" x14ac:dyDescent="0.25">
      <c r="A13" s="6" t="s">
        <v>990</v>
      </c>
      <c r="B13" s="7" t="s">
        <v>991</v>
      </c>
      <c r="C13" s="8">
        <v>1</v>
      </c>
      <c r="D13" s="9">
        <v>119.99</v>
      </c>
      <c r="E13" s="8" t="s">
        <v>992</v>
      </c>
      <c r="F13" s="7" t="s">
        <v>598</v>
      </c>
      <c r="G13" s="10"/>
      <c r="H13" s="7" t="s">
        <v>699</v>
      </c>
      <c r="I13" s="7" t="s">
        <v>964</v>
      </c>
      <c r="J13" s="7" t="s">
        <v>20</v>
      </c>
      <c r="K13" s="7" t="s">
        <v>993</v>
      </c>
      <c r="L13" s="11" t="str">
        <f>HYPERLINK("http://slimages.macys.com/is/image/MCY/16143905 ")</f>
        <v xml:space="preserve">http://slimages.macys.com/is/image/MCY/16143905 </v>
      </c>
    </row>
    <row r="14" spans="1:12" ht="39.950000000000003" customHeight="1" x14ac:dyDescent="0.25">
      <c r="A14" s="6" t="s">
        <v>994</v>
      </c>
      <c r="B14" s="7" t="s">
        <v>995</v>
      </c>
      <c r="C14" s="8">
        <v>1</v>
      </c>
      <c r="D14" s="9">
        <v>139.99</v>
      </c>
      <c r="E14" s="8" t="s">
        <v>996</v>
      </c>
      <c r="F14" s="7" t="s">
        <v>25</v>
      </c>
      <c r="G14" s="10" t="s">
        <v>997</v>
      </c>
      <c r="H14" s="7" t="s">
        <v>67</v>
      </c>
      <c r="I14" s="7" t="s">
        <v>348</v>
      </c>
      <c r="J14" s="7" t="s">
        <v>20</v>
      </c>
      <c r="K14" s="7" t="s">
        <v>740</v>
      </c>
      <c r="L14" s="11" t="str">
        <f>HYPERLINK("http://slimages.macys.com/is/image/MCY/8182285 ")</f>
        <v xml:space="preserve">http://slimages.macys.com/is/image/MCY/8182285 </v>
      </c>
    </row>
    <row r="15" spans="1:12" ht="39.950000000000003" customHeight="1" x14ac:dyDescent="0.25">
      <c r="A15" s="6" t="s">
        <v>998</v>
      </c>
      <c r="B15" s="7" t="s">
        <v>999</v>
      </c>
      <c r="C15" s="8">
        <v>1</v>
      </c>
      <c r="D15" s="9">
        <v>139.99</v>
      </c>
      <c r="E15" s="8" t="s">
        <v>1000</v>
      </c>
      <c r="F15" s="7" t="s">
        <v>17</v>
      </c>
      <c r="G15" s="10" t="s">
        <v>997</v>
      </c>
      <c r="H15" s="7" t="s">
        <v>67</v>
      </c>
      <c r="I15" s="7" t="s">
        <v>348</v>
      </c>
      <c r="J15" s="7" t="s">
        <v>20</v>
      </c>
      <c r="K15" s="7" t="s">
        <v>740</v>
      </c>
      <c r="L15" s="11" t="str">
        <f>HYPERLINK("http://slimages.macys.com/is/image/MCY/8182285 ")</f>
        <v xml:space="preserve">http://slimages.macys.com/is/image/MCY/8182285 </v>
      </c>
    </row>
    <row r="16" spans="1:12" ht="39.950000000000003" customHeight="1" x14ac:dyDescent="0.25">
      <c r="A16" s="6" t="s">
        <v>1001</v>
      </c>
      <c r="B16" s="7" t="s">
        <v>1002</v>
      </c>
      <c r="C16" s="8">
        <v>1</v>
      </c>
      <c r="D16" s="9">
        <v>59.99</v>
      </c>
      <c r="E16" s="8" t="s">
        <v>1003</v>
      </c>
      <c r="F16" s="7" t="s">
        <v>97</v>
      </c>
      <c r="G16" s="10" t="s">
        <v>1004</v>
      </c>
      <c r="H16" s="7" t="s">
        <v>366</v>
      </c>
      <c r="I16" s="7" t="s">
        <v>1005</v>
      </c>
      <c r="J16" s="7" t="s">
        <v>20</v>
      </c>
      <c r="K16" s="7" t="s">
        <v>87</v>
      </c>
      <c r="L16" s="11" t="str">
        <f>HYPERLINK("http://slimages.macys.com/is/image/MCY/13290937 ")</f>
        <v xml:space="preserve">http://slimages.macys.com/is/image/MCY/13290937 </v>
      </c>
    </row>
    <row r="17" spans="1:12" ht="39.950000000000003" customHeight="1" x14ac:dyDescent="0.25">
      <c r="A17" s="6" t="s">
        <v>1006</v>
      </c>
      <c r="B17" s="7" t="s">
        <v>1007</v>
      </c>
      <c r="C17" s="8">
        <v>1</v>
      </c>
      <c r="D17" s="9">
        <v>39.99</v>
      </c>
      <c r="E17" s="8" t="s">
        <v>1008</v>
      </c>
      <c r="F17" s="7" t="s">
        <v>25</v>
      </c>
      <c r="G17" s="10"/>
      <c r="H17" s="7" t="s">
        <v>18</v>
      </c>
      <c r="I17" s="7" t="s">
        <v>173</v>
      </c>
      <c r="J17" s="7"/>
      <c r="K17" s="7"/>
      <c r="L17" s="11" t="str">
        <f>HYPERLINK("http://slimages.macys.com/is/image/MCY/16524334 ")</f>
        <v xml:space="preserve">http://slimages.macys.com/is/image/MCY/16524334 </v>
      </c>
    </row>
    <row r="18" spans="1:12" ht="39.950000000000003" customHeight="1" x14ac:dyDescent="0.25">
      <c r="A18" s="6" t="s">
        <v>1009</v>
      </c>
      <c r="B18" s="7" t="s">
        <v>1010</v>
      </c>
      <c r="C18" s="8">
        <v>1</v>
      </c>
      <c r="D18" s="9">
        <v>49.99</v>
      </c>
      <c r="E18" s="8" t="s">
        <v>1011</v>
      </c>
      <c r="F18" s="7" t="s">
        <v>25</v>
      </c>
      <c r="G18" s="10"/>
      <c r="H18" s="7" t="s">
        <v>18</v>
      </c>
      <c r="I18" s="7" t="s">
        <v>1012</v>
      </c>
      <c r="J18" s="7" t="s">
        <v>20</v>
      </c>
      <c r="K18" s="7" t="s">
        <v>1013</v>
      </c>
      <c r="L18" s="11" t="str">
        <f>HYPERLINK("http://slimages.macys.com/is/image/MCY/16486192 ")</f>
        <v xml:space="preserve">http://slimages.macys.com/is/image/MCY/16486192 </v>
      </c>
    </row>
    <row r="19" spans="1:12" ht="39.950000000000003" customHeight="1" x14ac:dyDescent="0.25">
      <c r="A19" s="6" t="s">
        <v>1014</v>
      </c>
      <c r="B19" s="7" t="s">
        <v>1015</v>
      </c>
      <c r="C19" s="8">
        <v>1</v>
      </c>
      <c r="D19" s="9">
        <v>99.99</v>
      </c>
      <c r="E19" s="8" t="s">
        <v>1016</v>
      </c>
      <c r="F19" s="7" t="s">
        <v>25</v>
      </c>
      <c r="G19" s="10"/>
      <c r="H19" s="7" t="s">
        <v>67</v>
      </c>
      <c r="I19" s="7" t="s">
        <v>348</v>
      </c>
      <c r="J19" s="7" t="s">
        <v>20</v>
      </c>
      <c r="K19" s="7" t="s">
        <v>109</v>
      </c>
      <c r="L19" s="11" t="str">
        <f>HYPERLINK("http://slimages.macys.com/is/image/MCY/8152581 ")</f>
        <v xml:space="preserve">http://slimages.macys.com/is/image/MCY/8152581 </v>
      </c>
    </row>
    <row r="20" spans="1:12" ht="39.950000000000003" customHeight="1" x14ac:dyDescent="0.25">
      <c r="A20" s="6" t="s">
        <v>1017</v>
      </c>
      <c r="B20" s="7" t="s">
        <v>1018</v>
      </c>
      <c r="C20" s="8">
        <v>1</v>
      </c>
      <c r="D20" s="9">
        <v>41.99</v>
      </c>
      <c r="E20" s="8" t="s">
        <v>1019</v>
      </c>
      <c r="F20" s="7" t="s">
        <v>598</v>
      </c>
      <c r="G20" s="10"/>
      <c r="H20" s="7" t="s">
        <v>18</v>
      </c>
      <c r="I20" s="7" t="s">
        <v>58</v>
      </c>
      <c r="J20" s="7" t="s">
        <v>20</v>
      </c>
      <c r="K20" s="7" t="s">
        <v>1020</v>
      </c>
      <c r="L20" s="11" t="str">
        <f>HYPERLINK("http://slimages.macys.com/is/image/MCY/10436504 ")</f>
        <v xml:space="preserve">http://slimages.macys.com/is/image/MCY/10436504 </v>
      </c>
    </row>
    <row r="21" spans="1:12" ht="39.950000000000003" customHeight="1" x14ac:dyDescent="0.25">
      <c r="A21" s="6" t="s">
        <v>1021</v>
      </c>
      <c r="B21" s="7" t="s">
        <v>1022</v>
      </c>
      <c r="C21" s="8">
        <v>1</v>
      </c>
      <c r="D21" s="9">
        <v>79.989999999999995</v>
      </c>
      <c r="E21" s="8" t="s">
        <v>1023</v>
      </c>
      <c r="F21" s="7" t="s">
        <v>271</v>
      </c>
      <c r="G21" s="10"/>
      <c r="H21" s="7" t="s">
        <v>67</v>
      </c>
      <c r="I21" s="7" t="s">
        <v>272</v>
      </c>
      <c r="J21" s="7" t="s">
        <v>20</v>
      </c>
      <c r="K21" s="7"/>
      <c r="L21" s="11" t="str">
        <f>HYPERLINK("http://slimages.macys.com/is/image/MCY/10468085 ")</f>
        <v xml:space="preserve">http://slimages.macys.com/is/image/MCY/10468085 </v>
      </c>
    </row>
    <row r="22" spans="1:12" ht="39.950000000000003" customHeight="1" x14ac:dyDescent="0.25">
      <c r="A22" s="6" t="s">
        <v>1024</v>
      </c>
      <c r="B22" s="7" t="s">
        <v>1025</v>
      </c>
      <c r="C22" s="8">
        <v>1</v>
      </c>
      <c r="D22" s="9">
        <v>43.99</v>
      </c>
      <c r="E22" s="8" t="s">
        <v>1026</v>
      </c>
      <c r="F22" s="7" t="s">
        <v>17</v>
      </c>
      <c r="G22" s="10" t="s">
        <v>113</v>
      </c>
      <c r="H22" s="7" t="s">
        <v>73</v>
      </c>
      <c r="I22" s="7" t="s">
        <v>1027</v>
      </c>
      <c r="J22" s="7"/>
      <c r="K22" s="7"/>
      <c r="L22" s="11" t="str">
        <f>HYPERLINK("http://slimages.macys.com/is/image/MCY/17787499 ")</f>
        <v xml:space="preserve">http://slimages.macys.com/is/image/MCY/17787499 </v>
      </c>
    </row>
    <row r="23" spans="1:12" ht="39.950000000000003" customHeight="1" x14ac:dyDescent="0.25">
      <c r="A23" s="6" t="s">
        <v>1028</v>
      </c>
      <c r="B23" s="7" t="s">
        <v>1029</v>
      </c>
      <c r="C23" s="8">
        <v>2</v>
      </c>
      <c r="D23" s="9">
        <v>91.98</v>
      </c>
      <c r="E23" s="8" t="s">
        <v>1030</v>
      </c>
      <c r="F23" s="7" t="s">
        <v>25</v>
      </c>
      <c r="G23" s="10"/>
      <c r="H23" s="7" t="s">
        <v>27</v>
      </c>
      <c r="I23" s="7" t="s">
        <v>19</v>
      </c>
      <c r="J23" s="7" t="s">
        <v>20</v>
      </c>
      <c r="K23" s="7" t="s">
        <v>1031</v>
      </c>
      <c r="L23" s="11" t="str">
        <f>HYPERLINK("http://slimages.macys.com/is/image/MCY/14776328 ")</f>
        <v xml:space="preserve">http://slimages.macys.com/is/image/MCY/14776328 </v>
      </c>
    </row>
    <row r="24" spans="1:12" ht="39.950000000000003" customHeight="1" x14ac:dyDescent="0.25">
      <c r="A24" s="6" t="s">
        <v>1032</v>
      </c>
      <c r="B24" s="7" t="s">
        <v>1033</v>
      </c>
      <c r="C24" s="8">
        <v>1</v>
      </c>
      <c r="D24" s="9">
        <v>59.99</v>
      </c>
      <c r="E24" s="8" t="s">
        <v>1034</v>
      </c>
      <c r="F24" s="7" t="s">
        <v>280</v>
      </c>
      <c r="G24" s="10"/>
      <c r="H24" s="7" t="s">
        <v>296</v>
      </c>
      <c r="I24" s="7" t="s">
        <v>1035</v>
      </c>
      <c r="J24" s="7" t="s">
        <v>20</v>
      </c>
      <c r="K24" s="7" t="s">
        <v>44</v>
      </c>
      <c r="L24" s="11" t="str">
        <f>HYPERLINK("http://slimages.macys.com/is/image/MCY/10249494 ")</f>
        <v xml:space="preserve">http://slimages.macys.com/is/image/MCY/10249494 </v>
      </c>
    </row>
    <row r="25" spans="1:12" ht="39.950000000000003" customHeight="1" x14ac:dyDescent="0.25">
      <c r="A25" s="6" t="s">
        <v>1036</v>
      </c>
      <c r="B25" s="7" t="s">
        <v>1037</v>
      </c>
      <c r="C25" s="8">
        <v>1</v>
      </c>
      <c r="D25" s="9">
        <v>49.99</v>
      </c>
      <c r="E25" s="8" t="s">
        <v>1038</v>
      </c>
      <c r="F25" s="7"/>
      <c r="G25" s="10"/>
      <c r="H25" s="7" t="s">
        <v>36</v>
      </c>
      <c r="I25" s="7" t="s">
        <v>130</v>
      </c>
      <c r="J25" s="7" t="s">
        <v>220</v>
      </c>
      <c r="K25" s="7" t="s">
        <v>134</v>
      </c>
      <c r="L25" s="11" t="str">
        <f>HYPERLINK("http://slimages.macys.com/is/image/MCY/11707586 ")</f>
        <v xml:space="preserve">http://slimages.macys.com/is/image/MCY/11707586 </v>
      </c>
    </row>
    <row r="26" spans="1:12" ht="39.950000000000003" customHeight="1" x14ac:dyDescent="0.25">
      <c r="A26" s="6" t="s">
        <v>1039</v>
      </c>
      <c r="B26" s="7" t="s">
        <v>1040</v>
      </c>
      <c r="C26" s="8">
        <v>1</v>
      </c>
      <c r="D26" s="9">
        <v>79.989999999999995</v>
      </c>
      <c r="E26" s="8" t="s">
        <v>1041</v>
      </c>
      <c r="F26" s="7" t="s">
        <v>17</v>
      </c>
      <c r="G26" s="10"/>
      <c r="H26" s="7" t="s">
        <v>67</v>
      </c>
      <c r="I26" s="7" t="s">
        <v>843</v>
      </c>
      <c r="J26" s="7" t="s">
        <v>20</v>
      </c>
      <c r="K26" s="7" t="s">
        <v>109</v>
      </c>
      <c r="L26" s="11" t="str">
        <f>HYPERLINK("http://slimages.macys.com/is/image/MCY/14788491 ")</f>
        <v xml:space="preserve">http://slimages.macys.com/is/image/MCY/14788491 </v>
      </c>
    </row>
    <row r="27" spans="1:12" ht="39.950000000000003" customHeight="1" x14ac:dyDescent="0.25">
      <c r="A27" s="6" t="s">
        <v>1042</v>
      </c>
      <c r="B27" s="7" t="s">
        <v>1043</v>
      </c>
      <c r="C27" s="8">
        <v>1</v>
      </c>
      <c r="D27" s="9">
        <v>49.99</v>
      </c>
      <c r="E27" s="8" t="s">
        <v>1044</v>
      </c>
      <c r="F27" s="7" t="s">
        <v>163</v>
      </c>
      <c r="G27" s="10" t="s">
        <v>751</v>
      </c>
      <c r="H27" s="7" t="s">
        <v>92</v>
      </c>
      <c r="I27" s="7" t="s">
        <v>461</v>
      </c>
      <c r="J27" s="7" t="s">
        <v>20</v>
      </c>
      <c r="K27" s="7" t="s">
        <v>44</v>
      </c>
      <c r="L27" s="11" t="str">
        <f>HYPERLINK("http://slimages.macys.com/is/image/MCY/16427567 ")</f>
        <v xml:space="preserve">http://slimages.macys.com/is/image/MCY/16427567 </v>
      </c>
    </row>
    <row r="28" spans="1:12" ht="39.950000000000003" customHeight="1" x14ac:dyDescent="0.25">
      <c r="A28" s="6" t="s">
        <v>1045</v>
      </c>
      <c r="B28" s="7" t="s">
        <v>1046</v>
      </c>
      <c r="C28" s="8">
        <v>4</v>
      </c>
      <c r="D28" s="9">
        <v>399.96</v>
      </c>
      <c r="E28" s="8" t="s">
        <v>1047</v>
      </c>
      <c r="F28" s="7" t="s">
        <v>25</v>
      </c>
      <c r="G28" s="10"/>
      <c r="H28" s="7" t="s">
        <v>67</v>
      </c>
      <c r="I28" s="7" t="s">
        <v>1048</v>
      </c>
      <c r="J28" s="7" t="s">
        <v>20</v>
      </c>
      <c r="K28" s="7" t="s">
        <v>740</v>
      </c>
      <c r="L28" s="11" t="str">
        <f>HYPERLINK("http://slimages.macys.com/is/image/MCY/15162803 ")</f>
        <v xml:space="preserve">http://slimages.macys.com/is/image/MCY/15162803 </v>
      </c>
    </row>
    <row r="29" spans="1:12" ht="39.950000000000003" customHeight="1" x14ac:dyDescent="0.25">
      <c r="A29" s="6" t="s">
        <v>1049</v>
      </c>
      <c r="B29" s="7" t="s">
        <v>1050</v>
      </c>
      <c r="C29" s="8">
        <v>1</v>
      </c>
      <c r="D29" s="9">
        <v>26.99</v>
      </c>
      <c r="E29" s="8" t="s">
        <v>1051</v>
      </c>
      <c r="F29" s="7" t="s">
        <v>1052</v>
      </c>
      <c r="G29" s="10" t="s">
        <v>113</v>
      </c>
      <c r="H29" s="7" t="s">
        <v>296</v>
      </c>
      <c r="I29" s="7" t="s">
        <v>1053</v>
      </c>
      <c r="J29" s="7" t="s">
        <v>20</v>
      </c>
      <c r="K29" s="7" t="s">
        <v>1054</v>
      </c>
      <c r="L29" s="11" t="str">
        <f>HYPERLINK("http://slimages.macys.com/is/image/MCY/16276337 ")</f>
        <v xml:space="preserve">http://slimages.macys.com/is/image/MCY/16276337 </v>
      </c>
    </row>
    <row r="30" spans="1:12" ht="39.950000000000003" customHeight="1" x14ac:dyDescent="0.25">
      <c r="A30" s="6" t="s">
        <v>1055</v>
      </c>
      <c r="B30" s="7" t="s">
        <v>1056</v>
      </c>
      <c r="C30" s="8">
        <v>1</v>
      </c>
      <c r="D30" s="9">
        <v>39.99</v>
      </c>
      <c r="E30" s="8" t="s">
        <v>1057</v>
      </c>
      <c r="F30" s="7" t="s">
        <v>176</v>
      </c>
      <c r="G30" s="10"/>
      <c r="H30" s="7" t="s">
        <v>92</v>
      </c>
      <c r="I30" s="7" t="s">
        <v>556</v>
      </c>
      <c r="J30" s="7" t="s">
        <v>20</v>
      </c>
      <c r="K30" s="7"/>
      <c r="L30" s="11" t="str">
        <f>HYPERLINK("http://slimages.macys.com/is/image/MCY/9936654 ")</f>
        <v xml:space="preserve">http://slimages.macys.com/is/image/MCY/9936654 </v>
      </c>
    </row>
    <row r="31" spans="1:12" ht="39.950000000000003" customHeight="1" x14ac:dyDescent="0.25">
      <c r="A31" s="6" t="s">
        <v>1058</v>
      </c>
      <c r="B31" s="7" t="s">
        <v>1059</v>
      </c>
      <c r="C31" s="8">
        <v>2</v>
      </c>
      <c r="D31" s="9">
        <v>79.98</v>
      </c>
      <c r="E31" s="8" t="s">
        <v>1060</v>
      </c>
      <c r="F31" s="7" t="s">
        <v>57</v>
      </c>
      <c r="G31" s="10" t="s">
        <v>187</v>
      </c>
      <c r="H31" s="7" t="s">
        <v>103</v>
      </c>
      <c r="I31" s="7" t="s">
        <v>104</v>
      </c>
      <c r="J31" s="7" t="s">
        <v>20</v>
      </c>
      <c r="K31" s="7" t="s">
        <v>926</v>
      </c>
      <c r="L31" s="11" t="str">
        <f>HYPERLINK("http://slimages.macys.com/is/image/MCY/15098992 ")</f>
        <v xml:space="preserve">http://slimages.macys.com/is/image/MCY/15098992 </v>
      </c>
    </row>
    <row r="32" spans="1:12" ht="39.950000000000003" customHeight="1" x14ac:dyDescent="0.25">
      <c r="A32" s="6" t="s">
        <v>1061</v>
      </c>
      <c r="B32" s="7" t="s">
        <v>1062</v>
      </c>
      <c r="C32" s="8">
        <v>1</v>
      </c>
      <c r="D32" s="9">
        <v>39.99</v>
      </c>
      <c r="E32" s="8">
        <v>1005876900</v>
      </c>
      <c r="F32" s="7" t="s">
        <v>34</v>
      </c>
      <c r="G32" s="10" t="s">
        <v>1063</v>
      </c>
      <c r="H32" s="7" t="s">
        <v>1064</v>
      </c>
      <c r="I32" s="7" t="s">
        <v>843</v>
      </c>
      <c r="J32" s="7" t="s">
        <v>20</v>
      </c>
      <c r="K32" s="7" t="s">
        <v>708</v>
      </c>
      <c r="L32" s="11" t="str">
        <f>HYPERLINK("http://slimages.macys.com/is/image/MCY/13933533 ")</f>
        <v xml:space="preserve">http://slimages.macys.com/is/image/MCY/13933533 </v>
      </c>
    </row>
    <row r="33" spans="1:12" ht="39.950000000000003" customHeight="1" x14ac:dyDescent="0.25">
      <c r="A33" s="6" t="s">
        <v>1065</v>
      </c>
      <c r="B33" s="7" t="s">
        <v>1066</v>
      </c>
      <c r="C33" s="8">
        <v>2</v>
      </c>
      <c r="D33" s="9">
        <v>59.98</v>
      </c>
      <c r="E33" s="8" t="s">
        <v>1067</v>
      </c>
      <c r="F33" s="7" t="s">
        <v>473</v>
      </c>
      <c r="G33" s="10" t="s">
        <v>321</v>
      </c>
      <c r="H33" s="7" t="s">
        <v>296</v>
      </c>
      <c r="I33" s="7" t="s">
        <v>1053</v>
      </c>
      <c r="J33" s="7" t="s">
        <v>20</v>
      </c>
      <c r="K33" s="7" t="s">
        <v>1054</v>
      </c>
      <c r="L33" s="11" t="str">
        <f>HYPERLINK("http://slimages.macys.com/is/image/MCY/14915252 ")</f>
        <v xml:space="preserve">http://slimages.macys.com/is/image/MCY/14915252 </v>
      </c>
    </row>
    <row r="34" spans="1:12" ht="39.950000000000003" customHeight="1" x14ac:dyDescent="0.25">
      <c r="A34" s="6" t="s">
        <v>767</v>
      </c>
      <c r="B34" s="7" t="s">
        <v>768</v>
      </c>
      <c r="C34" s="8">
        <v>1</v>
      </c>
      <c r="D34" s="9">
        <v>28.99</v>
      </c>
      <c r="E34" s="8">
        <v>46741</v>
      </c>
      <c r="F34" s="7" t="s">
        <v>25</v>
      </c>
      <c r="G34" s="10" t="s">
        <v>143</v>
      </c>
      <c r="H34" s="7" t="s">
        <v>27</v>
      </c>
      <c r="I34" s="7" t="s">
        <v>617</v>
      </c>
      <c r="J34" s="7" t="s">
        <v>521</v>
      </c>
      <c r="K34" s="7" t="s">
        <v>87</v>
      </c>
      <c r="L34" s="11" t="str">
        <f>HYPERLINK("http://slimages.macys.com/is/image/MCY/10055895 ")</f>
        <v xml:space="preserve">http://slimages.macys.com/is/image/MCY/10055895 </v>
      </c>
    </row>
    <row r="35" spans="1:12" ht="39.950000000000003" customHeight="1" x14ac:dyDescent="0.25">
      <c r="A35" s="6" t="s">
        <v>1068</v>
      </c>
      <c r="B35" s="7" t="s">
        <v>1069</v>
      </c>
      <c r="C35" s="8">
        <v>1</v>
      </c>
      <c r="D35" s="9">
        <v>22.99</v>
      </c>
      <c r="E35" s="8" t="s">
        <v>1070</v>
      </c>
      <c r="F35" s="7" t="s">
        <v>25</v>
      </c>
      <c r="G35" s="10"/>
      <c r="H35" s="7" t="s">
        <v>73</v>
      </c>
      <c r="I35" s="7" t="s">
        <v>818</v>
      </c>
      <c r="J35" s="7"/>
      <c r="K35" s="7"/>
      <c r="L35" s="11" t="str">
        <f>HYPERLINK("http://slimages.macys.com/is/image/MCY/18542802 ")</f>
        <v xml:space="preserve">http://slimages.macys.com/is/image/MCY/18542802 </v>
      </c>
    </row>
    <row r="36" spans="1:12" ht="39.950000000000003" customHeight="1" x14ac:dyDescent="0.25">
      <c r="A36" s="6" t="s">
        <v>1071</v>
      </c>
      <c r="B36" s="7" t="s">
        <v>1072</v>
      </c>
      <c r="C36" s="8">
        <v>1</v>
      </c>
      <c r="D36" s="9">
        <v>34.99</v>
      </c>
      <c r="E36" s="8" t="s">
        <v>1073</v>
      </c>
      <c r="F36" s="7" t="s">
        <v>52</v>
      </c>
      <c r="G36" s="10"/>
      <c r="H36" s="7" t="s">
        <v>787</v>
      </c>
      <c r="I36" s="7" t="s">
        <v>788</v>
      </c>
      <c r="J36" s="7"/>
      <c r="K36" s="7"/>
      <c r="L36" s="11" t="str">
        <f>HYPERLINK("http://slimages.macys.com/is/image/MCY/18513763 ")</f>
        <v xml:space="preserve">http://slimages.macys.com/is/image/MCY/18513763 </v>
      </c>
    </row>
    <row r="37" spans="1:12" ht="39.950000000000003" customHeight="1" x14ac:dyDescent="0.25">
      <c r="A37" s="6" t="s">
        <v>1074</v>
      </c>
      <c r="B37" s="7" t="s">
        <v>1075</v>
      </c>
      <c r="C37" s="8">
        <v>1</v>
      </c>
      <c r="D37" s="9">
        <v>27.99</v>
      </c>
      <c r="E37" s="8" t="s">
        <v>1076</v>
      </c>
      <c r="F37" s="7" t="s">
        <v>52</v>
      </c>
      <c r="G37" s="10"/>
      <c r="H37" s="7" t="s">
        <v>42</v>
      </c>
      <c r="I37" s="7" t="s">
        <v>525</v>
      </c>
      <c r="J37" s="7" t="s">
        <v>20</v>
      </c>
      <c r="K37" s="7" t="s">
        <v>127</v>
      </c>
      <c r="L37" s="11" t="str">
        <f>HYPERLINK("http://slimages.macys.com/is/image/MCY/11685877 ")</f>
        <v xml:space="preserve">http://slimages.macys.com/is/image/MCY/11685877 </v>
      </c>
    </row>
    <row r="38" spans="1:12" ht="39.950000000000003" customHeight="1" x14ac:dyDescent="0.25">
      <c r="A38" s="6" t="s">
        <v>1077</v>
      </c>
      <c r="B38" s="7" t="s">
        <v>1078</v>
      </c>
      <c r="C38" s="8">
        <v>1</v>
      </c>
      <c r="D38" s="9">
        <v>21.99</v>
      </c>
      <c r="E38" s="8">
        <v>14749</v>
      </c>
      <c r="F38" s="7" t="s">
        <v>52</v>
      </c>
      <c r="G38" s="10" t="s">
        <v>113</v>
      </c>
      <c r="H38" s="7" t="s">
        <v>42</v>
      </c>
      <c r="I38" s="7" t="s">
        <v>1079</v>
      </c>
      <c r="J38" s="7"/>
      <c r="K38" s="7"/>
      <c r="L38" s="11" t="str">
        <f>HYPERLINK("http://slimages.macys.com/is/image/MCY/17260701 ")</f>
        <v xml:space="preserve">http://slimages.macys.com/is/image/MCY/17260701 </v>
      </c>
    </row>
    <row r="39" spans="1:12" ht="39.950000000000003" customHeight="1" x14ac:dyDescent="0.25">
      <c r="A39" s="6" t="s">
        <v>207</v>
      </c>
      <c r="B39" s="7" t="s">
        <v>208</v>
      </c>
      <c r="C39" s="8">
        <v>2</v>
      </c>
      <c r="D39" s="9">
        <v>80</v>
      </c>
      <c r="E39" s="8"/>
      <c r="F39" s="7" t="s">
        <v>209</v>
      </c>
      <c r="G39" s="10" t="s">
        <v>113</v>
      </c>
      <c r="H39" s="7" t="s">
        <v>210</v>
      </c>
      <c r="I39" s="7" t="s">
        <v>211</v>
      </c>
      <c r="J39" s="7"/>
      <c r="K39" s="7"/>
      <c r="L39" s="11"/>
    </row>
    <row r="40" spans="1:12" ht="39.950000000000003" customHeight="1" x14ac:dyDescent="0.25">
      <c r="A40" s="6"/>
      <c r="B40" s="7"/>
      <c r="C40" s="8"/>
      <c r="D40" s="9"/>
      <c r="E40" s="8"/>
      <c r="F40" s="7"/>
      <c r="G40" s="10"/>
      <c r="H40" s="7"/>
      <c r="I40" s="7"/>
      <c r="J40" s="7"/>
      <c r="K40" s="7"/>
      <c r="L40" s="11"/>
    </row>
    <row r="41" spans="1:12" ht="39.950000000000003" customHeight="1" x14ac:dyDescent="0.25">
      <c r="A41" s="6"/>
      <c r="B41" s="7"/>
      <c r="C41" s="8"/>
      <c r="D41" s="9"/>
      <c r="E41" s="8"/>
      <c r="F41" s="7"/>
      <c r="G41" s="10"/>
      <c r="H41" s="7"/>
      <c r="I41" s="7"/>
      <c r="J41" s="7"/>
      <c r="K41" s="7"/>
      <c r="L41" s="11"/>
    </row>
    <row r="42" spans="1:12" ht="39.950000000000003" customHeight="1" x14ac:dyDescent="0.25">
      <c r="A42" s="6"/>
      <c r="B42" s="7"/>
      <c r="C42" s="8"/>
      <c r="D42" s="9"/>
      <c r="E42" s="8"/>
      <c r="F42" s="7"/>
      <c r="G42" s="10"/>
      <c r="H42" s="7"/>
      <c r="I42" s="7"/>
      <c r="J42" s="7"/>
      <c r="K42" s="7"/>
      <c r="L42" s="11"/>
    </row>
    <row r="43" spans="1:12" ht="39.950000000000003" customHeight="1" x14ac:dyDescent="0.25">
      <c r="A43" s="6"/>
      <c r="B43" s="7"/>
      <c r="C43" s="8"/>
      <c r="D43" s="9"/>
      <c r="E43" s="8"/>
      <c r="F43" s="7"/>
      <c r="G43" s="10"/>
      <c r="H43" s="7"/>
      <c r="I43" s="7"/>
      <c r="J43" s="7"/>
      <c r="K43" s="7"/>
      <c r="L43" s="11"/>
    </row>
    <row r="44" spans="1:12" ht="39.950000000000003" customHeight="1" x14ac:dyDescent="0.25">
      <c r="A44" s="6"/>
      <c r="B44" s="7"/>
      <c r="C44" s="8"/>
      <c r="D44" s="9"/>
      <c r="E44" s="8"/>
      <c r="F44" s="7"/>
      <c r="G44" s="10"/>
      <c r="H44" s="7"/>
      <c r="I44" s="7"/>
      <c r="J44" s="7"/>
      <c r="K44" s="7"/>
      <c r="L44" s="11"/>
    </row>
    <row r="45" spans="1:12" ht="39.950000000000003" customHeight="1" x14ac:dyDescent="0.25">
      <c r="A45" s="6"/>
      <c r="B45" s="7"/>
      <c r="C45" s="8"/>
      <c r="D45" s="9"/>
      <c r="E45" s="8"/>
      <c r="F45" s="7"/>
      <c r="G45" s="10"/>
      <c r="H45" s="7"/>
      <c r="I45" s="7"/>
      <c r="J45" s="7"/>
      <c r="K45" s="7"/>
      <c r="L45" s="11"/>
    </row>
    <row r="46" spans="1:12" ht="39.950000000000003" customHeight="1" x14ac:dyDescent="0.25">
      <c r="A46" s="6"/>
      <c r="B46" s="7"/>
      <c r="C46" s="8"/>
      <c r="D46" s="9"/>
      <c r="E46" s="8"/>
      <c r="F46" s="7"/>
      <c r="G46" s="10"/>
      <c r="H46" s="7"/>
      <c r="I46" s="7"/>
      <c r="J46" s="7"/>
      <c r="K46" s="7"/>
      <c r="L46" s="11"/>
    </row>
    <row r="47" spans="1:12" ht="39.950000000000003" customHeight="1" x14ac:dyDescent="0.25">
      <c r="A47" s="6"/>
      <c r="B47" s="7"/>
      <c r="C47" s="8"/>
      <c r="D47" s="9"/>
      <c r="E47" s="8"/>
      <c r="F47" s="7"/>
      <c r="G47" s="10"/>
      <c r="H47" s="7"/>
      <c r="I47" s="7"/>
      <c r="J47" s="7"/>
      <c r="K47" s="7"/>
      <c r="L47" s="11"/>
    </row>
    <row r="48" spans="1:12" ht="39.950000000000003" customHeight="1" x14ac:dyDescent="0.25">
      <c r="A48" s="6"/>
      <c r="B48" s="7"/>
      <c r="C48" s="8"/>
      <c r="D48" s="9"/>
      <c r="E48" s="8"/>
      <c r="F48" s="7"/>
      <c r="G48" s="10"/>
      <c r="H48" s="7"/>
      <c r="I48" s="7"/>
      <c r="J48" s="7"/>
      <c r="K48" s="7"/>
      <c r="L48" s="11"/>
    </row>
    <row r="49" spans="1:12" ht="39.950000000000003" customHeight="1" x14ac:dyDescent="0.25">
      <c r="A49" s="6"/>
      <c r="B49" s="7"/>
      <c r="C49" s="8"/>
      <c r="D49" s="9"/>
      <c r="E49" s="8"/>
      <c r="F49" s="7"/>
      <c r="G49" s="10"/>
      <c r="H49" s="7"/>
      <c r="I49" s="7"/>
      <c r="J49" s="7"/>
      <c r="K49" s="7"/>
      <c r="L49" s="11"/>
    </row>
    <row r="50" spans="1:12" ht="39.950000000000003" customHeight="1" x14ac:dyDescent="0.25">
      <c r="A50" s="6"/>
      <c r="B50" s="7"/>
      <c r="C50" s="8"/>
      <c r="D50" s="9"/>
      <c r="E50" s="8"/>
      <c r="F50" s="7"/>
      <c r="G50" s="10"/>
      <c r="H50" s="7"/>
      <c r="I50" s="7"/>
      <c r="J50" s="7"/>
      <c r="K50" s="7"/>
      <c r="L50" s="11"/>
    </row>
    <row r="51" spans="1:12" ht="39.950000000000003" customHeight="1" x14ac:dyDescent="0.25">
      <c r="A51" s="6"/>
      <c r="B51" s="7"/>
      <c r="C51" s="8"/>
      <c r="D51" s="9"/>
      <c r="E51" s="8"/>
      <c r="F51" s="7"/>
      <c r="G51" s="10"/>
      <c r="H51" s="7"/>
      <c r="I51" s="7"/>
      <c r="J51" s="7"/>
      <c r="K51" s="7"/>
      <c r="L51" s="11"/>
    </row>
    <row r="52" spans="1:12" ht="39.950000000000003" customHeight="1" x14ac:dyDescent="0.25">
      <c r="A52" s="6"/>
      <c r="B52" s="7"/>
      <c r="C52" s="8"/>
      <c r="D52" s="9"/>
      <c r="E52" s="8"/>
      <c r="F52" s="7"/>
      <c r="G52" s="10"/>
      <c r="H52" s="7"/>
      <c r="I52" s="7"/>
      <c r="J52" s="7"/>
      <c r="K52" s="7"/>
      <c r="L52" s="11"/>
    </row>
    <row r="53" spans="1:12" ht="39.950000000000003" customHeight="1" x14ac:dyDescent="0.25">
      <c r="A53" s="6"/>
      <c r="B53" s="7"/>
      <c r="C53" s="8"/>
      <c r="D53" s="9"/>
      <c r="E53" s="8"/>
      <c r="F53" s="7"/>
      <c r="G53" s="10"/>
      <c r="H53" s="7"/>
      <c r="I53" s="7"/>
      <c r="J53" s="7"/>
      <c r="K53" s="7"/>
      <c r="L53" s="11"/>
    </row>
    <row r="54" spans="1:12" ht="39.950000000000003" customHeight="1" x14ac:dyDescent="0.25">
      <c r="A54" s="6"/>
      <c r="B54" s="7"/>
      <c r="C54" s="8"/>
      <c r="D54" s="9"/>
      <c r="E54" s="8"/>
      <c r="F54" s="7"/>
      <c r="G54" s="10"/>
      <c r="H54" s="7"/>
      <c r="I54" s="7"/>
      <c r="J54" s="7"/>
      <c r="K54" s="7"/>
      <c r="L54" s="11"/>
    </row>
    <row r="55" spans="1:12" ht="39.950000000000003" customHeight="1" x14ac:dyDescent="0.25">
      <c r="A55" s="6"/>
      <c r="B55" s="7"/>
      <c r="C55" s="8"/>
      <c r="D55" s="9"/>
      <c r="E55" s="8"/>
      <c r="F55" s="7"/>
      <c r="G55" s="10"/>
      <c r="H55" s="7"/>
      <c r="I55" s="7"/>
      <c r="J55" s="7"/>
      <c r="K55" s="7"/>
      <c r="L55" s="11"/>
    </row>
    <row r="56" spans="1:12" ht="39.950000000000003" customHeight="1" x14ac:dyDescent="0.25">
      <c r="A56" s="6"/>
      <c r="B56" s="7"/>
      <c r="C56" s="8"/>
      <c r="D56" s="9"/>
      <c r="E56" s="8"/>
      <c r="F56" s="7"/>
      <c r="G56" s="10"/>
      <c r="H56" s="7"/>
      <c r="I56" s="7"/>
      <c r="J56" s="7"/>
      <c r="K56" s="7"/>
      <c r="L56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Summary </vt:lpstr>
      <vt:lpstr>Pallet 1</vt:lpstr>
      <vt:lpstr>Pallet 2</vt:lpstr>
      <vt:lpstr>Pallet 3</vt:lpstr>
      <vt:lpstr>Pallet 4</vt:lpstr>
      <vt:lpstr>Pallet 5</vt:lpstr>
      <vt:lpstr>Pallet 6</vt:lpstr>
      <vt:lpstr>Pallet 7</vt:lpstr>
      <vt:lpstr>Pallet 8</vt:lpstr>
      <vt:lpstr>Pallet 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otgst</dc:creator>
  <cp:lastModifiedBy>Dell</cp:lastModifiedBy>
  <dcterms:created xsi:type="dcterms:W3CDTF">2021-04-27T14:20:11Z</dcterms:created>
  <dcterms:modified xsi:type="dcterms:W3CDTF">2021-05-28T15:31:29Z</dcterms:modified>
</cp:coreProperties>
</file>