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xr:revisionPtr revIDLastSave="0" documentId="8_{AC4E65E7-A4F0-4BE6-BA8A-B90F554237BC}" xr6:coauthVersionLast="38" xr6:coauthVersionMax="38" xr10:uidLastSave="{00000000-0000-0000-0000-000000000000}"/>
  <bookViews>
    <workbookView xWindow="0" yWindow="0" windowWidth="28800" windowHeight="11565" xr2:uid="{00000000-000D-0000-FFFF-FFFF00000000}"/>
  </bookViews>
  <sheets>
    <sheet name="Pallets" sheetId="62" r:id="rId1"/>
    <sheet name="10041825" sheetId="9" r:id="rId2"/>
    <sheet name="10046104" sheetId="10" r:id="rId3"/>
    <sheet name="10063308" sheetId="17" r:id="rId4"/>
    <sheet name="10071075" sheetId="20" r:id="rId5"/>
    <sheet name="10077602" sheetId="24" r:id="rId6"/>
    <sheet name="10084823" sheetId="26" r:id="rId7"/>
    <sheet name="10007558" sheetId="27" r:id="rId8"/>
    <sheet name="10022611" sheetId="32" r:id="rId9"/>
    <sheet name="9827090" sheetId="46" r:id="rId10"/>
    <sheet name="9828152" sheetId="48" r:id="rId11"/>
    <sheet name="9918336" sheetId="51" r:id="rId12"/>
    <sheet name="9941999" sheetId="55" r:id="rId13"/>
    <sheet name="9950488" sheetId="56" r:id="rId14"/>
    <sheet name="9953358" sheetId="58" r:id="rId15"/>
    <sheet name="9954082" sheetId="59" r:id="rId16"/>
    <sheet name="9974547" sheetId="60" r:id="rId17"/>
  </sheets>
  <definedNames>
    <definedName name="Index_Sheet_Kutools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" i="46" l="1"/>
  <c r="D19" i="62" l="1"/>
  <c r="M379" i="60" l="1"/>
  <c r="M378" i="60"/>
  <c r="M377" i="60"/>
  <c r="M376" i="60"/>
  <c r="M375" i="60"/>
  <c r="M374" i="60"/>
  <c r="M373" i="60"/>
  <c r="M372" i="60"/>
  <c r="M371" i="60"/>
  <c r="M370" i="60"/>
  <c r="M369" i="60"/>
  <c r="M368" i="60"/>
  <c r="M367" i="60"/>
  <c r="M366" i="60"/>
  <c r="M365" i="60"/>
  <c r="M364" i="60"/>
  <c r="M363" i="60"/>
  <c r="M362" i="60"/>
  <c r="M361" i="60"/>
  <c r="M360" i="60"/>
  <c r="M359" i="60"/>
  <c r="M358" i="60"/>
  <c r="M357" i="60"/>
  <c r="M356" i="60"/>
  <c r="M355" i="60"/>
  <c r="M354" i="60"/>
  <c r="M353" i="60"/>
  <c r="M352" i="60"/>
  <c r="M351" i="60"/>
  <c r="M350" i="60"/>
  <c r="M349" i="60"/>
  <c r="M348" i="60"/>
  <c r="M347" i="60"/>
  <c r="M346" i="60"/>
  <c r="M345" i="60"/>
  <c r="M344" i="60"/>
  <c r="M343" i="60"/>
  <c r="M342" i="60"/>
  <c r="M341" i="60"/>
  <c r="M340" i="60"/>
  <c r="M339" i="60"/>
  <c r="M338" i="60"/>
  <c r="M337" i="60"/>
  <c r="M336" i="60"/>
  <c r="M335" i="60"/>
  <c r="M334" i="60"/>
  <c r="M333" i="60"/>
  <c r="M332" i="60"/>
  <c r="M331" i="60"/>
  <c r="M330" i="60"/>
  <c r="M329" i="60"/>
  <c r="M328" i="60"/>
  <c r="M327" i="60"/>
  <c r="M326" i="60"/>
  <c r="M325" i="60"/>
  <c r="M324" i="60"/>
  <c r="M323" i="60"/>
  <c r="M322" i="60"/>
  <c r="M321" i="60"/>
  <c r="M320" i="60"/>
  <c r="M319" i="60"/>
  <c r="M318" i="60"/>
  <c r="M317" i="60"/>
  <c r="M316" i="60"/>
  <c r="M315" i="60"/>
  <c r="M314" i="60"/>
  <c r="M313" i="60"/>
  <c r="M312" i="60"/>
  <c r="M311" i="60"/>
  <c r="M310" i="60"/>
  <c r="M309" i="60"/>
  <c r="M308" i="60"/>
  <c r="M307" i="60"/>
  <c r="M306" i="60"/>
  <c r="M305" i="60"/>
  <c r="M304" i="60"/>
  <c r="M303" i="60"/>
  <c r="M302" i="60"/>
  <c r="M301" i="60"/>
  <c r="M300" i="60"/>
  <c r="M299" i="60"/>
  <c r="M298" i="60"/>
  <c r="M297" i="60"/>
  <c r="M296" i="60"/>
  <c r="M295" i="60"/>
  <c r="M294" i="60"/>
  <c r="M293" i="60"/>
  <c r="M292" i="60"/>
  <c r="M291" i="60"/>
  <c r="M290" i="60"/>
  <c r="M289" i="60"/>
  <c r="M288" i="60"/>
  <c r="M287" i="60"/>
  <c r="M286" i="60"/>
  <c r="M285" i="60"/>
  <c r="M284" i="60"/>
  <c r="M283" i="60"/>
  <c r="M282" i="60"/>
  <c r="M281" i="60"/>
  <c r="M280" i="60"/>
  <c r="M279" i="60"/>
  <c r="M278" i="60"/>
  <c r="M277" i="60"/>
  <c r="M276" i="60"/>
  <c r="M275" i="60"/>
  <c r="M274" i="60"/>
  <c r="M273" i="60"/>
  <c r="M272" i="60"/>
  <c r="M271" i="60"/>
  <c r="M270" i="60"/>
  <c r="M269" i="60"/>
  <c r="M268" i="60"/>
  <c r="M267" i="60"/>
  <c r="M266" i="60"/>
  <c r="M265" i="60"/>
  <c r="M264" i="60"/>
  <c r="M263" i="60"/>
  <c r="M262" i="60"/>
  <c r="M261" i="60"/>
  <c r="M260" i="60"/>
  <c r="M259" i="60"/>
  <c r="M258" i="60"/>
  <c r="M257" i="60"/>
  <c r="M256" i="60"/>
  <c r="M255" i="60"/>
  <c r="M254" i="60"/>
  <c r="M253" i="60"/>
  <c r="M252" i="60"/>
  <c r="M251" i="60"/>
  <c r="M250" i="60"/>
  <c r="M249" i="60"/>
  <c r="M248" i="60"/>
  <c r="M247" i="60"/>
  <c r="M246" i="60"/>
  <c r="M245" i="60"/>
  <c r="M244" i="60"/>
  <c r="M243" i="60"/>
  <c r="M242" i="60"/>
  <c r="M241" i="60"/>
  <c r="M240" i="60"/>
  <c r="M239" i="60"/>
  <c r="M238" i="60"/>
  <c r="M237" i="60"/>
  <c r="M236" i="60"/>
  <c r="M235" i="60"/>
  <c r="M234" i="60"/>
  <c r="M233" i="60"/>
  <c r="M232" i="60"/>
  <c r="M231" i="60"/>
  <c r="M230" i="60"/>
  <c r="M229" i="60"/>
  <c r="M228" i="60"/>
  <c r="M227" i="60"/>
  <c r="M226" i="60"/>
  <c r="M225" i="60"/>
  <c r="M224" i="60"/>
  <c r="M223" i="60"/>
  <c r="M222" i="60"/>
  <c r="M221" i="60"/>
  <c r="M220" i="60"/>
  <c r="M219" i="60"/>
  <c r="M218" i="60"/>
  <c r="M217" i="60"/>
  <c r="M216" i="60"/>
  <c r="M215" i="60"/>
  <c r="M214" i="60"/>
  <c r="M213" i="60"/>
  <c r="M212" i="60"/>
  <c r="M211" i="60"/>
  <c r="M210" i="60"/>
  <c r="M209" i="60"/>
  <c r="M208" i="60"/>
  <c r="M207" i="60"/>
  <c r="M206" i="60"/>
  <c r="M205" i="60"/>
  <c r="M204" i="60"/>
  <c r="M203" i="60"/>
  <c r="M202" i="60"/>
  <c r="M201" i="60"/>
  <c r="M200" i="60"/>
  <c r="M199" i="60"/>
  <c r="M198" i="60"/>
  <c r="M197" i="60"/>
  <c r="M196" i="60"/>
  <c r="M195" i="60"/>
  <c r="M194" i="60"/>
  <c r="M193" i="60"/>
  <c r="M192" i="60"/>
  <c r="M191" i="60"/>
  <c r="M190" i="60"/>
  <c r="M189" i="60"/>
  <c r="M188" i="60"/>
  <c r="M187" i="60"/>
  <c r="M186" i="60"/>
  <c r="M185" i="60"/>
  <c r="M184" i="60"/>
  <c r="M183" i="60"/>
  <c r="M182" i="60"/>
  <c r="M181" i="60"/>
  <c r="M180" i="60"/>
  <c r="M179" i="60"/>
  <c r="M178" i="60"/>
  <c r="M177" i="60"/>
  <c r="M176" i="60"/>
  <c r="M175" i="60"/>
  <c r="M174" i="60"/>
  <c r="M173" i="60"/>
  <c r="M172" i="60"/>
  <c r="M171" i="60"/>
  <c r="M170" i="60"/>
  <c r="M169" i="60"/>
  <c r="M168" i="60"/>
  <c r="M167" i="60"/>
  <c r="M166" i="60"/>
  <c r="M165" i="60"/>
  <c r="M164" i="60"/>
  <c r="M163" i="60"/>
  <c r="M162" i="60"/>
  <c r="M161" i="60"/>
  <c r="M160" i="60"/>
  <c r="M159" i="60"/>
  <c r="M158" i="60"/>
  <c r="M157" i="60"/>
  <c r="M156" i="60"/>
  <c r="M155" i="60"/>
  <c r="M154" i="60"/>
  <c r="M153" i="60"/>
  <c r="M152" i="60"/>
  <c r="M151" i="60"/>
  <c r="M150" i="60"/>
  <c r="M149" i="60"/>
  <c r="M148" i="60"/>
  <c r="M147" i="60"/>
  <c r="M146" i="60"/>
  <c r="M145" i="60"/>
  <c r="M144" i="60"/>
  <c r="M143" i="60"/>
  <c r="M142" i="60"/>
  <c r="M141" i="60"/>
  <c r="M140" i="60"/>
  <c r="M139" i="60"/>
  <c r="M138" i="60"/>
  <c r="M137" i="60"/>
  <c r="M136" i="60"/>
  <c r="M135" i="60"/>
  <c r="M134" i="60"/>
  <c r="M133" i="60"/>
  <c r="M132" i="60"/>
  <c r="M131" i="60"/>
  <c r="M130" i="60"/>
  <c r="M129" i="60"/>
  <c r="M128" i="60"/>
  <c r="M127" i="60"/>
  <c r="M126" i="60"/>
  <c r="M125" i="60"/>
  <c r="M124" i="60"/>
  <c r="M123" i="60"/>
  <c r="M122" i="60"/>
  <c r="M121" i="60"/>
  <c r="M120" i="60"/>
  <c r="M119" i="60"/>
  <c r="M118" i="60"/>
  <c r="M117" i="60"/>
  <c r="M116" i="60"/>
  <c r="M115" i="60"/>
  <c r="M114" i="60"/>
  <c r="M113" i="60"/>
  <c r="M112" i="60"/>
  <c r="M111" i="60"/>
  <c r="M110" i="60"/>
  <c r="M109" i="60"/>
  <c r="M108" i="60"/>
  <c r="M107" i="60"/>
  <c r="M106" i="60"/>
  <c r="M105" i="60"/>
  <c r="M104" i="60"/>
  <c r="M103" i="60"/>
  <c r="M102" i="60"/>
  <c r="M101" i="60"/>
  <c r="M100" i="60"/>
  <c r="M99" i="60"/>
  <c r="M98" i="60"/>
  <c r="M97" i="60"/>
  <c r="M96" i="60"/>
  <c r="M95" i="60"/>
  <c r="M94" i="60"/>
  <c r="M93" i="60"/>
  <c r="M92" i="60"/>
  <c r="M91" i="60"/>
  <c r="M90" i="60"/>
  <c r="M89" i="60"/>
  <c r="M88" i="60"/>
  <c r="M87" i="60"/>
  <c r="M86" i="60"/>
  <c r="M85" i="60"/>
  <c r="M84" i="60"/>
  <c r="M83" i="60"/>
  <c r="M82" i="60"/>
  <c r="M81" i="60"/>
  <c r="M80" i="60"/>
  <c r="M79" i="60"/>
  <c r="M78" i="60"/>
  <c r="M77" i="60"/>
  <c r="M76" i="60"/>
  <c r="M75" i="60"/>
  <c r="M74" i="60"/>
  <c r="M73" i="60"/>
  <c r="M72" i="60"/>
  <c r="M71" i="60"/>
  <c r="M70" i="60"/>
  <c r="M69" i="60"/>
  <c r="M68" i="60"/>
  <c r="M67" i="60"/>
  <c r="M66" i="60"/>
  <c r="M65" i="60"/>
  <c r="M64" i="60"/>
  <c r="M63" i="60"/>
  <c r="M62" i="60"/>
  <c r="M61" i="60"/>
  <c r="M60" i="60"/>
  <c r="M59" i="60"/>
  <c r="M58" i="60"/>
  <c r="M57" i="60"/>
  <c r="M56" i="60"/>
  <c r="M55" i="60"/>
  <c r="M54" i="60"/>
  <c r="M53" i="60"/>
  <c r="M52" i="60"/>
  <c r="M51" i="60"/>
  <c r="M50" i="60"/>
  <c r="M49" i="60"/>
  <c r="M48" i="60"/>
  <c r="M47" i="60"/>
  <c r="M46" i="60"/>
  <c r="M45" i="60"/>
  <c r="M44" i="60"/>
  <c r="M43" i="60"/>
  <c r="M42" i="60"/>
  <c r="M41" i="60"/>
  <c r="M40" i="60"/>
  <c r="M39" i="60"/>
  <c r="M38" i="60"/>
  <c r="M37" i="60"/>
  <c r="M36" i="60"/>
  <c r="M35" i="60"/>
  <c r="M34" i="60"/>
  <c r="M33" i="60"/>
  <c r="M32" i="60"/>
  <c r="M31" i="60"/>
  <c r="M30" i="60"/>
  <c r="M29" i="60"/>
  <c r="M28" i="60"/>
  <c r="M27" i="60"/>
  <c r="M26" i="60"/>
  <c r="M25" i="60"/>
  <c r="M24" i="60"/>
  <c r="M23" i="60"/>
  <c r="M22" i="60"/>
  <c r="M21" i="60"/>
  <c r="M20" i="60"/>
  <c r="M19" i="60"/>
  <c r="M18" i="60"/>
  <c r="M17" i="60"/>
  <c r="M16" i="60"/>
  <c r="M15" i="60"/>
  <c r="M14" i="60"/>
  <c r="M13" i="60"/>
  <c r="M12" i="60"/>
  <c r="M11" i="60"/>
  <c r="M10" i="60"/>
  <c r="M9" i="60"/>
  <c r="M8" i="60"/>
  <c r="M7" i="60"/>
  <c r="M6" i="60"/>
  <c r="M5" i="60"/>
  <c r="M4" i="60"/>
  <c r="M3" i="60"/>
  <c r="M2" i="60"/>
  <c r="M394" i="59"/>
  <c r="M393" i="59"/>
  <c r="M392" i="59"/>
  <c r="M391" i="59"/>
  <c r="M390" i="59"/>
  <c r="M389" i="59"/>
  <c r="M388" i="59"/>
  <c r="M387" i="59"/>
  <c r="M386" i="59"/>
  <c r="M385" i="59"/>
  <c r="M384" i="59"/>
  <c r="M383" i="59"/>
  <c r="M382" i="59"/>
  <c r="M381" i="59"/>
  <c r="M380" i="59"/>
  <c r="M379" i="59"/>
  <c r="M378" i="59"/>
  <c r="M377" i="59"/>
  <c r="M376" i="59"/>
  <c r="M375" i="59"/>
  <c r="M374" i="59"/>
  <c r="M373" i="59"/>
  <c r="M372" i="59"/>
  <c r="M371" i="59"/>
  <c r="M370" i="59"/>
  <c r="M369" i="59"/>
  <c r="M368" i="59"/>
  <c r="M367" i="59"/>
  <c r="M366" i="59"/>
  <c r="M365" i="59"/>
  <c r="M364" i="59"/>
  <c r="M363" i="59"/>
  <c r="M362" i="59"/>
  <c r="M361" i="59"/>
  <c r="M360" i="59"/>
  <c r="M359" i="59"/>
  <c r="M358" i="59"/>
  <c r="M357" i="59"/>
  <c r="M356" i="59"/>
  <c r="M355" i="59"/>
  <c r="M354" i="59"/>
  <c r="M353" i="59"/>
  <c r="M352" i="59"/>
  <c r="M351" i="59"/>
  <c r="M350" i="59"/>
  <c r="M349" i="59"/>
  <c r="M348" i="59"/>
  <c r="M347" i="59"/>
  <c r="M346" i="59"/>
  <c r="M345" i="59"/>
  <c r="M344" i="59"/>
  <c r="M343" i="59"/>
  <c r="M342" i="59"/>
  <c r="M341" i="59"/>
  <c r="M340" i="59"/>
  <c r="M339" i="59"/>
  <c r="M338" i="59"/>
  <c r="M337" i="59"/>
  <c r="M336" i="59"/>
  <c r="M335" i="59"/>
  <c r="M334" i="59"/>
  <c r="M333" i="59"/>
  <c r="M332" i="59"/>
  <c r="M331" i="59"/>
  <c r="M330" i="59"/>
  <c r="M329" i="59"/>
  <c r="M328" i="59"/>
  <c r="M327" i="59"/>
  <c r="M326" i="59"/>
  <c r="M325" i="59"/>
  <c r="M324" i="59"/>
  <c r="M323" i="59"/>
  <c r="M322" i="59"/>
  <c r="M321" i="59"/>
  <c r="M320" i="59"/>
  <c r="M319" i="59"/>
  <c r="M318" i="59"/>
  <c r="M317" i="59"/>
  <c r="M316" i="59"/>
  <c r="M315" i="59"/>
  <c r="M314" i="59"/>
  <c r="M313" i="59"/>
  <c r="M312" i="59"/>
  <c r="M311" i="59"/>
  <c r="M310" i="59"/>
  <c r="M309" i="59"/>
  <c r="M308" i="59"/>
  <c r="M307" i="59"/>
  <c r="M306" i="59"/>
  <c r="M305" i="59"/>
  <c r="M304" i="59"/>
  <c r="M303" i="59"/>
  <c r="M302" i="59"/>
  <c r="M301" i="59"/>
  <c r="M300" i="59"/>
  <c r="M299" i="59"/>
  <c r="M298" i="59"/>
  <c r="M297" i="59"/>
  <c r="M296" i="59"/>
  <c r="M295" i="59"/>
  <c r="M294" i="59"/>
  <c r="M293" i="59"/>
  <c r="M292" i="59"/>
  <c r="M291" i="59"/>
  <c r="M290" i="59"/>
  <c r="M289" i="59"/>
  <c r="M288" i="59"/>
  <c r="M287" i="59"/>
  <c r="M286" i="59"/>
  <c r="M285" i="59"/>
  <c r="M284" i="59"/>
  <c r="M283" i="59"/>
  <c r="M282" i="59"/>
  <c r="M281" i="59"/>
  <c r="M280" i="59"/>
  <c r="M279" i="59"/>
  <c r="M278" i="59"/>
  <c r="M277" i="59"/>
  <c r="M276" i="59"/>
  <c r="M275" i="59"/>
  <c r="M274" i="59"/>
  <c r="M273" i="59"/>
  <c r="M272" i="59"/>
  <c r="M271" i="59"/>
  <c r="M270" i="59"/>
  <c r="M269" i="59"/>
  <c r="M268" i="59"/>
  <c r="M267" i="59"/>
  <c r="M266" i="59"/>
  <c r="M265" i="59"/>
  <c r="M264" i="59"/>
  <c r="M263" i="59"/>
  <c r="M262" i="59"/>
  <c r="M261" i="59"/>
  <c r="M260" i="59"/>
  <c r="M259" i="59"/>
  <c r="M258" i="59"/>
  <c r="M257" i="59"/>
  <c r="M256" i="59"/>
  <c r="M255" i="59"/>
  <c r="M254" i="59"/>
  <c r="M253" i="59"/>
  <c r="M252" i="59"/>
  <c r="M251" i="59"/>
  <c r="M250" i="59"/>
  <c r="M249" i="59"/>
  <c r="M248" i="59"/>
  <c r="M247" i="59"/>
  <c r="M246" i="59"/>
  <c r="M245" i="59"/>
  <c r="M244" i="59"/>
  <c r="M243" i="59"/>
  <c r="M242" i="59"/>
  <c r="M241" i="59"/>
  <c r="M240" i="59"/>
  <c r="M239" i="59"/>
  <c r="M238" i="59"/>
  <c r="M237" i="59"/>
  <c r="M236" i="59"/>
  <c r="M235" i="59"/>
  <c r="M234" i="59"/>
  <c r="M233" i="59"/>
  <c r="M232" i="59"/>
  <c r="M231" i="59"/>
  <c r="M230" i="59"/>
  <c r="M229" i="59"/>
  <c r="M228" i="59"/>
  <c r="M227" i="59"/>
  <c r="M226" i="59"/>
  <c r="M225" i="59"/>
  <c r="M224" i="59"/>
  <c r="M223" i="59"/>
  <c r="M222" i="59"/>
  <c r="M221" i="59"/>
  <c r="M220" i="59"/>
  <c r="M219" i="59"/>
  <c r="M218" i="59"/>
  <c r="M217" i="59"/>
  <c r="M216" i="59"/>
  <c r="M215" i="59"/>
  <c r="M214" i="59"/>
  <c r="M213" i="59"/>
  <c r="M212" i="59"/>
  <c r="M211" i="59"/>
  <c r="M210" i="59"/>
  <c r="M209" i="59"/>
  <c r="M208" i="59"/>
  <c r="M207" i="59"/>
  <c r="M206" i="59"/>
  <c r="M205" i="59"/>
  <c r="M204" i="59"/>
  <c r="M203" i="59"/>
  <c r="M202" i="59"/>
  <c r="M201" i="59"/>
  <c r="M200" i="59"/>
  <c r="M199" i="59"/>
  <c r="M198" i="59"/>
  <c r="M197" i="59"/>
  <c r="M196" i="59"/>
  <c r="M195" i="59"/>
  <c r="M194" i="59"/>
  <c r="M193" i="59"/>
  <c r="M192" i="59"/>
  <c r="M191" i="59"/>
  <c r="M190" i="59"/>
  <c r="M189" i="59"/>
  <c r="M188" i="59"/>
  <c r="M187" i="59"/>
  <c r="M186" i="59"/>
  <c r="M185" i="59"/>
  <c r="M184" i="59"/>
  <c r="M183" i="59"/>
  <c r="M182" i="59"/>
  <c r="M181" i="59"/>
  <c r="M180" i="59"/>
  <c r="M179" i="59"/>
  <c r="M178" i="59"/>
  <c r="M177" i="59"/>
  <c r="M176" i="59"/>
  <c r="M175" i="59"/>
  <c r="M174" i="59"/>
  <c r="M173" i="59"/>
  <c r="M172" i="59"/>
  <c r="M171" i="59"/>
  <c r="M170" i="59"/>
  <c r="M169" i="59"/>
  <c r="M168" i="59"/>
  <c r="M167" i="59"/>
  <c r="M166" i="59"/>
  <c r="M165" i="59"/>
  <c r="M164" i="59"/>
  <c r="M163" i="59"/>
  <c r="M162" i="59"/>
  <c r="M161" i="59"/>
  <c r="M160" i="59"/>
  <c r="M159" i="59"/>
  <c r="M158" i="59"/>
  <c r="M157" i="59"/>
  <c r="M156" i="59"/>
  <c r="M155" i="59"/>
  <c r="M154" i="59"/>
  <c r="M153" i="59"/>
  <c r="M152" i="59"/>
  <c r="M151" i="59"/>
  <c r="M150" i="59"/>
  <c r="M149" i="59"/>
  <c r="M148" i="59"/>
  <c r="M147" i="59"/>
  <c r="M146" i="59"/>
  <c r="M145" i="59"/>
  <c r="M144" i="59"/>
  <c r="M143" i="59"/>
  <c r="M142" i="59"/>
  <c r="M141" i="59"/>
  <c r="M140" i="59"/>
  <c r="M139" i="59"/>
  <c r="M138" i="59"/>
  <c r="M137" i="59"/>
  <c r="M136" i="59"/>
  <c r="M135" i="59"/>
  <c r="M134" i="59"/>
  <c r="M133" i="59"/>
  <c r="M132" i="59"/>
  <c r="M131" i="59"/>
  <c r="M130" i="59"/>
  <c r="M129" i="59"/>
  <c r="M128" i="59"/>
  <c r="M127" i="59"/>
  <c r="M126" i="59"/>
  <c r="M125" i="59"/>
  <c r="M124" i="59"/>
  <c r="M123" i="59"/>
  <c r="M122" i="59"/>
  <c r="M121" i="59"/>
  <c r="M120" i="59"/>
  <c r="M119" i="59"/>
  <c r="M118" i="59"/>
  <c r="M117" i="59"/>
  <c r="M116" i="59"/>
  <c r="M115" i="59"/>
  <c r="M114" i="59"/>
  <c r="M113" i="59"/>
  <c r="M112" i="59"/>
  <c r="M111" i="59"/>
  <c r="M110" i="59"/>
  <c r="M109" i="59"/>
  <c r="M108" i="59"/>
  <c r="M107" i="59"/>
  <c r="M106" i="59"/>
  <c r="M105" i="59"/>
  <c r="M104" i="59"/>
  <c r="M103" i="59"/>
  <c r="M102" i="59"/>
  <c r="M101" i="59"/>
  <c r="M100" i="59"/>
  <c r="M99" i="59"/>
  <c r="M98" i="59"/>
  <c r="M97" i="59"/>
  <c r="M96" i="59"/>
  <c r="M95" i="59"/>
  <c r="M94" i="59"/>
  <c r="M93" i="59"/>
  <c r="M92" i="59"/>
  <c r="M91" i="59"/>
  <c r="M90" i="59"/>
  <c r="M89" i="59"/>
  <c r="M88" i="59"/>
  <c r="M87" i="59"/>
  <c r="M86" i="59"/>
  <c r="M85" i="59"/>
  <c r="M84" i="59"/>
  <c r="M83" i="59"/>
  <c r="M82" i="59"/>
  <c r="M81" i="59"/>
  <c r="M80" i="59"/>
  <c r="M79" i="59"/>
  <c r="M78" i="59"/>
  <c r="M77" i="59"/>
  <c r="M76" i="59"/>
  <c r="M75" i="59"/>
  <c r="M74" i="59"/>
  <c r="M73" i="59"/>
  <c r="M72" i="59"/>
  <c r="M71" i="59"/>
  <c r="M70" i="59"/>
  <c r="M69" i="59"/>
  <c r="M68" i="59"/>
  <c r="M67" i="59"/>
  <c r="M66" i="59"/>
  <c r="M65" i="59"/>
  <c r="M64" i="59"/>
  <c r="M63" i="59"/>
  <c r="M62" i="59"/>
  <c r="M61" i="59"/>
  <c r="M60" i="59"/>
  <c r="M59" i="59"/>
  <c r="M58" i="59"/>
  <c r="M57" i="59"/>
  <c r="M56" i="59"/>
  <c r="M55" i="59"/>
  <c r="M54" i="59"/>
  <c r="M53" i="59"/>
  <c r="M52" i="59"/>
  <c r="M51" i="59"/>
  <c r="M50" i="59"/>
  <c r="M49" i="59"/>
  <c r="M48" i="59"/>
  <c r="M47" i="59"/>
  <c r="M46" i="59"/>
  <c r="M45" i="59"/>
  <c r="M44" i="59"/>
  <c r="M43" i="59"/>
  <c r="M42" i="59"/>
  <c r="M41" i="59"/>
  <c r="M40" i="59"/>
  <c r="M39" i="59"/>
  <c r="M38" i="59"/>
  <c r="M37" i="59"/>
  <c r="M36" i="59"/>
  <c r="M35" i="59"/>
  <c r="M34" i="59"/>
  <c r="M33" i="59"/>
  <c r="M32" i="59"/>
  <c r="M31" i="59"/>
  <c r="M30" i="59"/>
  <c r="M29" i="59"/>
  <c r="M28" i="59"/>
  <c r="M27" i="59"/>
  <c r="M26" i="59"/>
  <c r="M25" i="59"/>
  <c r="M24" i="59"/>
  <c r="M23" i="59"/>
  <c r="M22" i="59"/>
  <c r="M21" i="59"/>
  <c r="M20" i="59"/>
  <c r="M19" i="59"/>
  <c r="M18" i="59"/>
  <c r="M17" i="59"/>
  <c r="M16" i="59"/>
  <c r="M15" i="59"/>
  <c r="M14" i="59"/>
  <c r="M13" i="59"/>
  <c r="M12" i="59"/>
  <c r="M11" i="59"/>
  <c r="M10" i="59"/>
  <c r="M9" i="59"/>
  <c r="M8" i="59"/>
  <c r="M7" i="59"/>
  <c r="M6" i="59"/>
  <c r="M5" i="59"/>
  <c r="M4" i="59"/>
  <c r="M3" i="59"/>
  <c r="M2" i="59"/>
  <c r="M387" i="58"/>
  <c r="M386" i="58"/>
  <c r="M385" i="58"/>
  <c r="M384" i="58"/>
  <c r="M383" i="58"/>
  <c r="M382" i="58"/>
  <c r="M381" i="58"/>
  <c r="M380" i="58"/>
  <c r="M379" i="58"/>
  <c r="M378" i="58"/>
  <c r="M377" i="58"/>
  <c r="M376" i="58"/>
  <c r="M375" i="58"/>
  <c r="M374" i="58"/>
  <c r="M373" i="58"/>
  <c r="M372" i="58"/>
  <c r="M371" i="58"/>
  <c r="M370" i="58"/>
  <c r="M369" i="58"/>
  <c r="M368" i="58"/>
  <c r="M367" i="58"/>
  <c r="M366" i="58"/>
  <c r="M365" i="58"/>
  <c r="M364" i="58"/>
  <c r="M363" i="58"/>
  <c r="M362" i="58"/>
  <c r="M361" i="58"/>
  <c r="M360" i="58"/>
  <c r="M359" i="58"/>
  <c r="M358" i="58"/>
  <c r="M357" i="58"/>
  <c r="M356" i="58"/>
  <c r="M355" i="58"/>
  <c r="M354" i="58"/>
  <c r="M353" i="58"/>
  <c r="M352" i="58"/>
  <c r="M351" i="58"/>
  <c r="M350" i="58"/>
  <c r="M349" i="58"/>
  <c r="M348" i="58"/>
  <c r="M347" i="58"/>
  <c r="M346" i="58"/>
  <c r="M345" i="58"/>
  <c r="M344" i="58"/>
  <c r="M343" i="58"/>
  <c r="M342" i="58"/>
  <c r="M341" i="58"/>
  <c r="M340" i="58"/>
  <c r="M339" i="58"/>
  <c r="M338" i="58"/>
  <c r="M337" i="58"/>
  <c r="M336" i="58"/>
  <c r="M335" i="58"/>
  <c r="M334" i="58"/>
  <c r="M333" i="58"/>
  <c r="M332" i="58"/>
  <c r="M331" i="58"/>
  <c r="M330" i="58"/>
  <c r="M329" i="58"/>
  <c r="M328" i="58"/>
  <c r="M327" i="58"/>
  <c r="M326" i="58"/>
  <c r="M325" i="58"/>
  <c r="M324" i="58"/>
  <c r="M323" i="58"/>
  <c r="M322" i="58"/>
  <c r="M321" i="58"/>
  <c r="M320" i="58"/>
  <c r="M319" i="58"/>
  <c r="M318" i="58"/>
  <c r="M317" i="58"/>
  <c r="M316" i="58"/>
  <c r="M315" i="58"/>
  <c r="M314" i="58"/>
  <c r="M313" i="58"/>
  <c r="M312" i="58"/>
  <c r="M311" i="58"/>
  <c r="M310" i="58"/>
  <c r="M309" i="58"/>
  <c r="M308" i="58"/>
  <c r="M307" i="58"/>
  <c r="M306" i="58"/>
  <c r="M305" i="58"/>
  <c r="M304" i="58"/>
  <c r="M303" i="58"/>
  <c r="M302" i="58"/>
  <c r="M301" i="58"/>
  <c r="M300" i="58"/>
  <c r="M299" i="58"/>
  <c r="M298" i="58"/>
  <c r="M297" i="58"/>
  <c r="M296" i="58"/>
  <c r="M295" i="58"/>
  <c r="M294" i="58"/>
  <c r="M293" i="58"/>
  <c r="M292" i="58"/>
  <c r="M291" i="58"/>
  <c r="M290" i="58"/>
  <c r="M289" i="58"/>
  <c r="M288" i="58"/>
  <c r="M287" i="58"/>
  <c r="M286" i="58"/>
  <c r="M285" i="58"/>
  <c r="M284" i="58"/>
  <c r="M283" i="58"/>
  <c r="M282" i="58"/>
  <c r="M281" i="58"/>
  <c r="M280" i="58"/>
  <c r="M279" i="58"/>
  <c r="M278" i="58"/>
  <c r="M277" i="58"/>
  <c r="M276" i="58"/>
  <c r="M275" i="58"/>
  <c r="M274" i="58"/>
  <c r="M273" i="58"/>
  <c r="M272" i="58"/>
  <c r="M271" i="58"/>
  <c r="M270" i="58"/>
  <c r="M269" i="58"/>
  <c r="M268" i="58"/>
  <c r="M267" i="58"/>
  <c r="M266" i="58"/>
  <c r="M265" i="58"/>
  <c r="M264" i="58"/>
  <c r="M263" i="58"/>
  <c r="M262" i="58"/>
  <c r="M261" i="58"/>
  <c r="M260" i="58"/>
  <c r="M259" i="58"/>
  <c r="M258" i="58"/>
  <c r="M257" i="58"/>
  <c r="M256" i="58"/>
  <c r="M255" i="58"/>
  <c r="M254" i="58"/>
  <c r="M253" i="58"/>
  <c r="M252" i="58"/>
  <c r="M251" i="58"/>
  <c r="M250" i="58"/>
  <c r="M249" i="58"/>
  <c r="M248" i="58"/>
  <c r="M247" i="58"/>
  <c r="M246" i="58"/>
  <c r="M245" i="58"/>
  <c r="M244" i="58"/>
  <c r="M243" i="58"/>
  <c r="M242" i="58"/>
  <c r="M241" i="58"/>
  <c r="M240" i="58"/>
  <c r="M239" i="58"/>
  <c r="M238" i="58"/>
  <c r="M237" i="58"/>
  <c r="M236" i="58"/>
  <c r="M235" i="58"/>
  <c r="M234" i="58"/>
  <c r="M233" i="58"/>
  <c r="M232" i="58"/>
  <c r="M231" i="58"/>
  <c r="M230" i="58"/>
  <c r="M229" i="58"/>
  <c r="M228" i="58"/>
  <c r="M227" i="58"/>
  <c r="M226" i="58"/>
  <c r="M225" i="58"/>
  <c r="M224" i="58"/>
  <c r="M223" i="58"/>
  <c r="M222" i="58"/>
  <c r="M221" i="58"/>
  <c r="M220" i="58"/>
  <c r="M219" i="58"/>
  <c r="M218" i="58"/>
  <c r="M217" i="58"/>
  <c r="M216" i="58"/>
  <c r="M215" i="58"/>
  <c r="M214" i="58"/>
  <c r="M213" i="58"/>
  <c r="M212" i="58"/>
  <c r="M211" i="58"/>
  <c r="M210" i="58"/>
  <c r="M209" i="58"/>
  <c r="M208" i="58"/>
  <c r="M207" i="58"/>
  <c r="M206" i="58"/>
  <c r="M205" i="58"/>
  <c r="M204" i="58"/>
  <c r="M203" i="58"/>
  <c r="M202" i="58"/>
  <c r="M201" i="58"/>
  <c r="M200" i="58"/>
  <c r="M199" i="58"/>
  <c r="M198" i="58"/>
  <c r="M197" i="58"/>
  <c r="M196" i="58"/>
  <c r="M195" i="58"/>
  <c r="M194" i="58"/>
  <c r="M193" i="58"/>
  <c r="M192" i="58"/>
  <c r="M191" i="58"/>
  <c r="M190" i="58"/>
  <c r="M189" i="58"/>
  <c r="M188" i="58"/>
  <c r="M187" i="58"/>
  <c r="M186" i="58"/>
  <c r="M185" i="58"/>
  <c r="M184" i="58"/>
  <c r="M183" i="58"/>
  <c r="M182" i="58"/>
  <c r="M181" i="58"/>
  <c r="M180" i="58"/>
  <c r="M179" i="58"/>
  <c r="M178" i="58"/>
  <c r="M177" i="58"/>
  <c r="M176" i="58"/>
  <c r="M175" i="58"/>
  <c r="M174" i="58"/>
  <c r="M173" i="58"/>
  <c r="M172" i="58"/>
  <c r="M171" i="58"/>
  <c r="M170" i="58"/>
  <c r="M169" i="58"/>
  <c r="M168" i="58"/>
  <c r="M167" i="58"/>
  <c r="M166" i="58"/>
  <c r="M165" i="58"/>
  <c r="M164" i="58"/>
  <c r="M163" i="58"/>
  <c r="M162" i="58"/>
  <c r="M161" i="58"/>
  <c r="M160" i="58"/>
  <c r="M159" i="58"/>
  <c r="M158" i="58"/>
  <c r="M157" i="58"/>
  <c r="M156" i="58"/>
  <c r="M155" i="58"/>
  <c r="M154" i="58"/>
  <c r="M153" i="58"/>
  <c r="M152" i="58"/>
  <c r="M151" i="58"/>
  <c r="M150" i="58"/>
  <c r="M149" i="58"/>
  <c r="M148" i="58"/>
  <c r="M147" i="58"/>
  <c r="M146" i="58"/>
  <c r="M145" i="58"/>
  <c r="M144" i="58"/>
  <c r="M143" i="58"/>
  <c r="M142" i="58"/>
  <c r="M141" i="58"/>
  <c r="M140" i="58"/>
  <c r="M139" i="58"/>
  <c r="M138" i="58"/>
  <c r="M137" i="58"/>
  <c r="M136" i="58"/>
  <c r="M135" i="58"/>
  <c r="M134" i="58"/>
  <c r="M133" i="58"/>
  <c r="M132" i="58"/>
  <c r="M131" i="58"/>
  <c r="M130" i="58"/>
  <c r="M129" i="58"/>
  <c r="M128" i="58"/>
  <c r="M127" i="58"/>
  <c r="M126" i="58"/>
  <c r="M125" i="58"/>
  <c r="M124" i="58"/>
  <c r="M123" i="58"/>
  <c r="M122" i="58"/>
  <c r="M121" i="58"/>
  <c r="M120" i="58"/>
  <c r="M119" i="58"/>
  <c r="M118" i="58"/>
  <c r="M117" i="58"/>
  <c r="M116" i="58"/>
  <c r="M115" i="58"/>
  <c r="M114" i="58"/>
  <c r="M113" i="58"/>
  <c r="M112" i="58"/>
  <c r="M111" i="58"/>
  <c r="M110" i="58"/>
  <c r="M109" i="58"/>
  <c r="M108" i="58"/>
  <c r="M107" i="58"/>
  <c r="M106" i="58"/>
  <c r="M105" i="58"/>
  <c r="M104" i="58"/>
  <c r="M103" i="58"/>
  <c r="M102" i="58"/>
  <c r="M101" i="58"/>
  <c r="M100" i="58"/>
  <c r="M99" i="58"/>
  <c r="M98" i="58"/>
  <c r="M97" i="58"/>
  <c r="M96" i="58"/>
  <c r="M95" i="58"/>
  <c r="M94" i="58"/>
  <c r="M93" i="58"/>
  <c r="M92" i="58"/>
  <c r="M91" i="58"/>
  <c r="M90" i="58"/>
  <c r="M89" i="58"/>
  <c r="M88" i="58"/>
  <c r="M87" i="58"/>
  <c r="M86" i="58"/>
  <c r="M85" i="58"/>
  <c r="M84" i="58"/>
  <c r="M83" i="58"/>
  <c r="M82" i="58"/>
  <c r="M81" i="58"/>
  <c r="M80" i="58"/>
  <c r="M79" i="58"/>
  <c r="M78" i="58"/>
  <c r="M77" i="58"/>
  <c r="M76" i="58"/>
  <c r="M75" i="58"/>
  <c r="M74" i="58"/>
  <c r="M73" i="58"/>
  <c r="M72" i="58"/>
  <c r="M71" i="58"/>
  <c r="M70" i="58"/>
  <c r="M69" i="58"/>
  <c r="M68" i="58"/>
  <c r="M67" i="58"/>
  <c r="M66" i="58"/>
  <c r="M65" i="58"/>
  <c r="M64" i="58"/>
  <c r="M63" i="58"/>
  <c r="M62" i="58"/>
  <c r="M61" i="58"/>
  <c r="M60" i="58"/>
  <c r="M59" i="58"/>
  <c r="M58" i="58"/>
  <c r="M57" i="58"/>
  <c r="M56" i="58"/>
  <c r="M55" i="58"/>
  <c r="M54" i="58"/>
  <c r="M53" i="58"/>
  <c r="M52" i="58"/>
  <c r="M51" i="58"/>
  <c r="M50" i="58"/>
  <c r="M49" i="58"/>
  <c r="M48" i="58"/>
  <c r="M47" i="58"/>
  <c r="M46" i="58"/>
  <c r="M45" i="58"/>
  <c r="M44" i="58"/>
  <c r="M43" i="58"/>
  <c r="M42" i="58"/>
  <c r="M41" i="58"/>
  <c r="M40" i="58"/>
  <c r="M39" i="58"/>
  <c r="M38" i="58"/>
  <c r="M37" i="58"/>
  <c r="M36" i="58"/>
  <c r="M35" i="58"/>
  <c r="M34" i="58"/>
  <c r="M33" i="58"/>
  <c r="M32" i="58"/>
  <c r="M31" i="58"/>
  <c r="M30" i="58"/>
  <c r="M29" i="58"/>
  <c r="M28" i="58"/>
  <c r="M27" i="58"/>
  <c r="M26" i="58"/>
  <c r="M25" i="58"/>
  <c r="M24" i="58"/>
  <c r="M23" i="58"/>
  <c r="M22" i="58"/>
  <c r="M21" i="58"/>
  <c r="M20" i="58"/>
  <c r="M19" i="58"/>
  <c r="M18" i="58"/>
  <c r="M17" i="58"/>
  <c r="M16" i="58"/>
  <c r="M15" i="58"/>
  <c r="M14" i="58"/>
  <c r="M13" i="58"/>
  <c r="M12" i="58"/>
  <c r="M11" i="58"/>
  <c r="M10" i="58"/>
  <c r="M9" i="58"/>
  <c r="M8" i="58"/>
  <c r="M7" i="58"/>
  <c r="M6" i="58"/>
  <c r="M5" i="58"/>
  <c r="M4" i="58"/>
  <c r="M3" i="58"/>
  <c r="M2" i="58"/>
  <c r="M370" i="56"/>
  <c r="M369" i="56"/>
  <c r="M368" i="56"/>
  <c r="M367" i="56"/>
  <c r="M366" i="56"/>
  <c r="M365" i="56"/>
  <c r="M364" i="56"/>
  <c r="M363" i="56"/>
  <c r="M362" i="56"/>
  <c r="M361" i="56"/>
  <c r="M360" i="56"/>
  <c r="M359" i="56"/>
  <c r="M358" i="56"/>
  <c r="M357" i="56"/>
  <c r="M356" i="56"/>
  <c r="M355" i="56"/>
  <c r="M354" i="56"/>
  <c r="M353" i="56"/>
  <c r="M352" i="56"/>
  <c r="M351" i="56"/>
  <c r="M350" i="56"/>
  <c r="M349" i="56"/>
  <c r="M348" i="56"/>
  <c r="M347" i="56"/>
  <c r="M346" i="56"/>
  <c r="M345" i="56"/>
  <c r="M344" i="56"/>
  <c r="M343" i="56"/>
  <c r="M342" i="56"/>
  <c r="M341" i="56"/>
  <c r="M340" i="56"/>
  <c r="M339" i="56"/>
  <c r="M338" i="56"/>
  <c r="M337" i="56"/>
  <c r="M336" i="56"/>
  <c r="M335" i="56"/>
  <c r="M334" i="56"/>
  <c r="M333" i="56"/>
  <c r="M332" i="56"/>
  <c r="M331" i="56"/>
  <c r="M330" i="56"/>
  <c r="M329" i="56"/>
  <c r="M328" i="56"/>
  <c r="M327" i="56"/>
  <c r="M326" i="56"/>
  <c r="M325" i="56"/>
  <c r="M324" i="56"/>
  <c r="M323" i="56"/>
  <c r="M322" i="56"/>
  <c r="M321" i="56"/>
  <c r="M320" i="56"/>
  <c r="M319" i="56"/>
  <c r="M318" i="56"/>
  <c r="M317" i="56"/>
  <c r="M316" i="56"/>
  <c r="M315" i="56"/>
  <c r="M314" i="56"/>
  <c r="M313" i="56"/>
  <c r="M312" i="56"/>
  <c r="M311" i="56"/>
  <c r="M310" i="56"/>
  <c r="M309" i="56"/>
  <c r="M308" i="56"/>
  <c r="M307" i="56"/>
  <c r="M306" i="56"/>
  <c r="M305" i="56"/>
  <c r="M304" i="56"/>
  <c r="M303" i="56"/>
  <c r="M302" i="56"/>
  <c r="M301" i="56"/>
  <c r="M300" i="56"/>
  <c r="M299" i="56"/>
  <c r="M298" i="56"/>
  <c r="M297" i="56"/>
  <c r="M296" i="56"/>
  <c r="M295" i="56"/>
  <c r="M294" i="56"/>
  <c r="M293" i="56"/>
  <c r="M292" i="56"/>
  <c r="M291" i="56"/>
  <c r="M290" i="56"/>
  <c r="M289" i="56"/>
  <c r="M288" i="56"/>
  <c r="M287" i="56"/>
  <c r="M286" i="56"/>
  <c r="M285" i="56"/>
  <c r="M284" i="56"/>
  <c r="M283" i="56"/>
  <c r="M282" i="56"/>
  <c r="M281" i="56"/>
  <c r="M280" i="56"/>
  <c r="M279" i="56"/>
  <c r="M278" i="56"/>
  <c r="M277" i="56"/>
  <c r="M276" i="56"/>
  <c r="M275" i="56"/>
  <c r="M274" i="56"/>
  <c r="M273" i="56"/>
  <c r="M272" i="56"/>
  <c r="M271" i="56"/>
  <c r="M270" i="56"/>
  <c r="M269" i="56"/>
  <c r="M268" i="56"/>
  <c r="M267" i="56"/>
  <c r="M266" i="56"/>
  <c r="M265" i="56"/>
  <c r="M264" i="56"/>
  <c r="M263" i="56"/>
  <c r="M262" i="56"/>
  <c r="M261" i="56"/>
  <c r="M260" i="56"/>
  <c r="M259" i="56"/>
  <c r="M258" i="56"/>
  <c r="M257" i="56"/>
  <c r="M256" i="56"/>
  <c r="M255" i="56"/>
  <c r="M254" i="56"/>
  <c r="M253" i="56"/>
  <c r="M252" i="56"/>
  <c r="M251" i="56"/>
  <c r="M250" i="56"/>
  <c r="M249" i="56"/>
  <c r="M248" i="56"/>
  <c r="M247" i="56"/>
  <c r="M246" i="56"/>
  <c r="M245" i="56"/>
  <c r="M244" i="56"/>
  <c r="M243" i="56"/>
  <c r="M242" i="56"/>
  <c r="M241" i="56"/>
  <c r="M240" i="56"/>
  <c r="M239" i="56"/>
  <c r="M238" i="56"/>
  <c r="M237" i="56"/>
  <c r="M236" i="56"/>
  <c r="M235" i="56"/>
  <c r="M234" i="56"/>
  <c r="M233" i="56"/>
  <c r="M232" i="56"/>
  <c r="M231" i="56"/>
  <c r="M230" i="56"/>
  <c r="M229" i="56"/>
  <c r="M228" i="56"/>
  <c r="M227" i="56"/>
  <c r="M226" i="56"/>
  <c r="M225" i="56"/>
  <c r="M224" i="56"/>
  <c r="M223" i="56"/>
  <c r="M222" i="56"/>
  <c r="M221" i="56"/>
  <c r="M220" i="56"/>
  <c r="M219" i="56"/>
  <c r="M218" i="56"/>
  <c r="M217" i="56"/>
  <c r="M216" i="56"/>
  <c r="M215" i="56"/>
  <c r="M214" i="56"/>
  <c r="M213" i="56"/>
  <c r="M212" i="56"/>
  <c r="M211" i="56"/>
  <c r="M210" i="56"/>
  <c r="M209" i="56"/>
  <c r="M208" i="56"/>
  <c r="M207" i="56"/>
  <c r="M206" i="56"/>
  <c r="M205" i="56"/>
  <c r="M204" i="56"/>
  <c r="M203" i="56"/>
  <c r="M202" i="56"/>
  <c r="M201" i="56"/>
  <c r="M200" i="56"/>
  <c r="M199" i="56"/>
  <c r="M198" i="56"/>
  <c r="M197" i="56"/>
  <c r="M196" i="56"/>
  <c r="M195" i="56"/>
  <c r="M194" i="56"/>
  <c r="M193" i="56"/>
  <c r="M192" i="56"/>
  <c r="M191" i="56"/>
  <c r="M190" i="56"/>
  <c r="M189" i="56"/>
  <c r="M188" i="56"/>
  <c r="M187" i="56"/>
  <c r="M186" i="56"/>
  <c r="M185" i="56"/>
  <c r="M184" i="56"/>
  <c r="M183" i="56"/>
  <c r="M182" i="56"/>
  <c r="M181" i="56"/>
  <c r="M180" i="56"/>
  <c r="M179" i="56"/>
  <c r="M178" i="56"/>
  <c r="M177" i="56"/>
  <c r="M176" i="56"/>
  <c r="M175" i="56"/>
  <c r="M174" i="56"/>
  <c r="M173" i="56"/>
  <c r="M172" i="56"/>
  <c r="M171" i="56"/>
  <c r="M170" i="56"/>
  <c r="M169" i="56"/>
  <c r="M168" i="56"/>
  <c r="M167" i="56"/>
  <c r="M166" i="56"/>
  <c r="M165" i="56"/>
  <c r="M164" i="56"/>
  <c r="M163" i="56"/>
  <c r="M162" i="56"/>
  <c r="M161" i="56"/>
  <c r="M160" i="56"/>
  <c r="M159" i="56"/>
  <c r="M158" i="56"/>
  <c r="M157" i="56"/>
  <c r="M156" i="56"/>
  <c r="M155" i="56"/>
  <c r="M154" i="56"/>
  <c r="M153" i="56"/>
  <c r="M152" i="56"/>
  <c r="M151" i="56"/>
  <c r="M150" i="56"/>
  <c r="M149" i="56"/>
  <c r="M148" i="56"/>
  <c r="M147" i="56"/>
  <c r="M146" i="56"/>
  <c r="M145" i="56"/>
  <c r="M144" i="56"/>
  <c r="M143" i="56"/>
  <c r="M142" i="56"/>
  <c r="M141" i="56"/>
  <c r="M140" i="56"/>
  <c r="M139" i="56"/>
  <c r="M138" i="56"/>
  <c r="M137" i="56"/>
  <c r="M136" i="56"/>
  <c r="M135" i="56"/>
  <c r="M134" i="56"/>
  <c r="M133" i="56"/>
  <c r="M132" i="56"/>
  <c r="M131" i="56"/>
  <c r="M130" i="56"/>
  <c r="M129" i="56"/>
  <c r="M128" i="56"/>
  <c r="M127" i="56"/>
  <c r="M126" i="56"/>
  <c r="M125" i="56"/>
  <c r="M124" i="56"/>
  <c r="M123" i="56"/>
  <c r="M122" i="56"/>
  <c r="M121" i="56"/>
  <c r="M120" i="56"/>
  <c r="M119" i="56"/>
  <c r="M118" i="56"/>
  <c r="M117" i="56"/>
  <c r="M116" i="56"/>
  <c r="M115" i="56"/>
  <c r="M114" i="56"/>
  <c r="M113" i="56"/>
  <c r="M112" i="56"/>
  <c r="M111" i="56"/>
  <c r="M110" i="56"/>
  <c r="M109" i="56"/>
  <c r="M108" i="56"/>
  <c r="M107" i="56"/>
  <c r="M106" i="56"/>
  <c r="M105" i="56"/>
  <c r="M104" i="56"/>
  <c r="M103" i="56"/>
  <c r="M102" i="56"/>
  <c r="M101" i="56"/>
  <c r="M100" i="56"/>
  <c r="M99" i="56"/>
  <c r="M98" i="56"/>
  <c r="M97" i="56"/>
  <c r="M96" i="56"/>
  <c r="M95" i="56"/>
  <c r="M94" i="56"/>
  <c r="M93" i="56"/>
  <c r="M92" i="56"/>
  <c r="M91" i="56"/>
  <c r="M90" i="56"/>
  <c r="M89" i="56"/>
  <c r="M88" i="56"/>
  <c r="M87" i="56"/>
  <c r="M86" i="56"/>
  <c r="M85" i="56"/>
  <c r="M84" i="56"/>
  <c r="M83" i="56"/>
  <c r="M82" i="56"/>
  <c r="M81" i="56"/>
  <c r="M80" i="56"/>
  <c r="M79" i="56"/>
  <c r="M78" i="56"/>
  <c r="M77" i="56"/>
  <c r="M76" i="56"/>
  <c r="M75" i="56"/>
  <c r="M74" i="56"/>
  <c r="M73" i="56"/>
  <c r="M72" i="56"/>
  <c r="M71" i="56"/>
  <c r="M70" i="56"/>
  <c r="M69" i="56"/>
  <c r="M68" i="56"/>
  <c r="M67" i="56"/>
  <c r="M66" i="56"/>
  <c r="M65" i="56"/>
  <c r="M64" i="56"/>
  <c r="M63" i="56"/>
  <c r="M62" i="56"/>
  <c r="M61" i="56"/>
  <c r="M60" i="56"/>
  <c r="M59" i="56"/>
  <c r="M58" i="56"/>
  <c r="M57" i="56"/>
  <c r="M56" i="56"/>
  <c r="M55" i="56"/>
  <c r="M54" i="56"/>
  <c r="M53" i="56"/>
  <c r="M52" i="56"/>
  <c r="M51" i="56"/>
  <c r="M50" i="56"/>
  <c r="M49" i="56"/>
  <c r="M48" i="56"/>
  <c r="M47" i="56"/>
  <c r="M46" i="56"/>
  <c r="M45" i="56"/>
  <c r="M44" i="56"/>
  <c r="M43" i="56"/>
  <c r="M42" i="56"/>
  <c r="M41" i="56"/>
  <c r="M40" i="56"/>
  <c r="M39" i="56"/>
  <c r="M38" i="56"/>
  <c r="M37" i="56"/>
  <c r="M36" i="56"/>
  <c r="M35" i="56"/>
  <c r="M34" i="56"/>
  <c r="M33" i="56"/>
  <c r="M32" i="56"/>
  <c r="M31" i="56"/>
  <c r="M30" i="56"/>
  <c r="M29" i="56"/>
  <c r="M28" i="56"/>
  <c r="M27" i="56"/>
  <c r="M26" i="56"/>
  <c r="M25" i="56"/>
  <c r="M24" i="56"/>
  <c r="M23" i="56"/>
  <c r="M22" i="56"/>
  <c r="M21" i="56"/>
  <c r="M20" i="56"/>
  <c r="M19" i="56"/>
  <c r="M18" i="56"/>
  <c r="M17" i="56"/>
  <c r="M16" i="56"/>
  <c r="M15" i="56"/>
  <c r="M14" i="56"/>
  <c r="M13" i="56"/>
  <c r="M12" i="56"/>
  <c r="M11" i="56"/>
  <c r="M10" i="56"/>
  <c r="M9" i="56"/>
  <c r="M8" i="56"/>
  <c r="M7" i="56"/>
  <c r="M6" i="56"/>
  <c r="M5" i="56"/>
  <c r="M4" i="56"/>
  <c r="M3" i="56"/>
  <c r="M2" i="56"/>
  <c r="M369" i="55"/>
  <c r="M368" i="55"/>
  <c r="M367" i="55"/>
  <c r="M366" i="55"/>
  <c r="M365" i="55"/>
  <c r="M364" i="55"/>
  <c r="M363" i="55"/>
  <c r="M362" i="55"/>
  <c r="M361" i="55"/>
  <c r="M360" i="55"/>
  <c r="M359" i="55"/>
  <c r="M358" i="55"/>
  <c r="M357" i="55"/>
  <c r="M356" i="55"/>
  <c r="M355" i="55"/>
  <c r="M354" i="55"/>
  <c r="M353" i="55"/>
  <c r="M352" i="55"/>
  <c r="M351" i="55"/>
  <c r="M350" i="55"/>
  <c r="M349" i="55"/>
  <c r="M348" i="55"/>
  <c r="M347" i="55"/>
  <c r="M346" i="55"/>
  <c r="M345" i="55"/>
  <c r="M344" i="55"/>
  <c r="M343" i="55"/>
  <c r="M342" i="55"/>
  <c r="M341" i="55"/>
  <c r="M340" i="55"/>
  <c r="M339" i="55"/>
  <c r="M338" i="55"/>
  <c r="M337" i="55"/>
  <c r="M336" i="55"/>
  <c r="M335" i="55"/>
  <c r="M334" i="55"/>
  <c r="M333" i="55"/>
  <c r="M332" i="55"/>
  <c r="M331" i="55"/>
  <c r="M330" i="55"/>
  <c r="M329" i="55"/>
  <c r="M328" i="55"/>
  <c r="M327" i="55"/>
  <c r="M326" i="55"/>
  <c r="M325" i="55"/>
  <c r="M324" i="55"/>
  <c r="M323" i="55"/>
  <c r="M322" i="55"/>
  <c r="M321" i="55"/>
  <c r="M320" i="55"/>
  <c r="M319" i="55"/>
  <c r="M318" i="55"/>
  <c r="M317" i="55"/>
  <c r="M316" i="55"/>
  <c r="M315" i="55"/>
  <c r="M314" i="55"/>
  <c r="M313" i="55"/>
  <c r="M312" i="55"/>
  <c r="M311" i="55"/>
  <c r="M310" i="55"/>
  <c r="M309" i="55"/>
  <c r="M308" i="55"/>
  <c r="M307" i="55"/>
  <c r="M306" i="55"/>
  <c r="M305" i="55"/>
  <c r="M304" i="55"/>
  <c r="M303" i="55"/>
  <c r="M302" i="55"/>
  <c r="M301" i="55"/>
  <c r="M300" i="55"/>
  <c r="M299" i="55"/>
  <c r="M298" i="55"/>
  <c r="M297" i="55"/>
  <c r="M296" i="55"/>
  <c r="M295" i="55"/>
  <c r="M294" i="55"/>
  <c r="M293" i="55"/>
  <c r="M292" i="55"/>
  <c r="M291" i="55"/>
  <c r="M290" i="55"/>
  <c r="M289" i="55"/>
  <c r="M288" i="55"/>
  <c r="M287" i="55"/>
  <c r="M286" i="55"/>
  <c r="M285" i="55"/>
  <c r="M284" i="55"/>
  <c r="M283" i="55"/>
  <c r="M282" i="55"/>
  <c r="M281" i="55"/>
  <c r="M280" i="55"/>
  <c r="M279" i="55"/>
  <c r="M278" i="55"/>
  <c r="M277" i="55"/>
  <c r="M276" i="55"/>
  <c r="M275" i="55"/>
  <c r="M274" i="55"/>
  <c r="M273" i="55"/>
  <c r="M272" i="55"/>
  <c r="M271" i="55"/>
  <c r="M270" i="55"/>
  <c r="M269" i="55"/>
  <c r="M268" i="55"/>
  <c r="M267" i="55"/>
  <c r="M266" i="55"/>
  <c r="M265" i="55"/>
  <c r="M264" i="55"/>
  <c r="M263" i="55"/>
  <c r="M262" i="55"/>
  <c r="M261" i="55"/>
  <c r="M260" i="55"/>
  <c r="M259" i="55"/>
  <c r="M258" i="55"/>
  <c r="M257" i="55"/>
  <c r="M256" i="55"/>
  <c r="M255" i="55"/>
  <c r="M254" i="55"/>
  <c r="M253" i="55"/>
  <c r="M252" i="55"/>
  <c r="M251" i="55"/>
  <c r="M250" i="55"/>
  <c r="M249" i="55"/>
  <c r="M248" i="55"/>
  <c r="M247" i="55"/>
  <c r="M246" i="55"/>
  <c r="M245" i="55"/>
  <c r="M244" i="55"/>
  <c r="M243" i="55"/>
  <c r="M242" i="55"/>
  <c r="M241" i="55"/>
  <c r="M240" i="55"/>
  <c r="M239" i="55"/>
  <c r="M238" i="55"/>
  <c r="M237" i="55"/>
  <c r="M236" i="55"/>
  <c r="M235" i="55"/>
  <c r="M234" i="55"/>
  <c r="M233" i="55"/>
  <c r="M232" i="55"/>
  <c r="M231" i="55"/>
  <c r="M230" i="55"/>
  <c r="M229" i="55"/>
  <c r="M228" i="55"/>
  <c r="M227" i="55"/>
  <c r="M226" i="55"/>
  <c r="M225" i="55"/>
  <c r="M224" i="55"/>
  <c r="M223" i="55"/>
  <c r="M222" i="55"/>
  <c r="M221" i="55"/>
  <c r="M220" i="55"/>
  <c r="M219" i="55"/>
  <c r="M218" i="55"/>
  <c r="M217" i="55"/>
  <c r="M216" i="55"/>
  <c r="M215" i="55"/>
  <c r="M214" i="55"/>
  <c r="M213" i="55"/>
  <c r="M212" i="55"/>
  <c r="M211" i="55"/>
  <c r="M210" i="55"/>
  <c r="M209" i="55"/>
  <c r="M208" i="55"/>
  <c r="M207" i="55"/>
  <c r="M206" i="55"/>
  <c r="M205" i="55"/>
  <c r="M204" i="55"/>
  <c r="M203" i="55"/>
  <c r="M202" i="55"/>
  <c r="M201" i="55"/>
  <c r="M200" i="55"/>
  <c r="M199" i="55"/>
  <c r="M198" i="55"/>
  <c r="M197" i="55"/>
  <c r="M196" i="55"/>
  <c r="M195" i="55"/>
  <c r="M194" i="55"/>
  <c r="M193" i="55"/>
  <c r="M192" i="55"/>
  <c r="M191" i="55"/>
  <c r="M190" i="55"/>
  <c r="M189" i="55"/>
  <c r="M188" i="55"/>
  <c r="M187" i="55"/>
  <c r="M186" i="55"/>
  <c r="M185" i="55"/>
  <c r="M184" i="55"/>
  <c r="M183" i="55"/>
  <c r="M182" i="55"/>
  <c r="M181" i="55"/>
  <c r="M180" i="55"/>
  <c r="M179" i="55"/>
  <c r="M178" i="55"/>
  <c r="M177" i="55"/>
  <c r="M176" i="55"/>
  <c r="M175" i="55"/>
  <c r="M174" i="55"/>
  <c r="M173" i="55"/>
  <c r="M172" i="55"/>
  <c r="M171" i="55"/>
  <c r="M170" i="55"/>
  <c r="M169" i="55"/>
  <c r="M168" i="55"/>
  <c r="M167" i="55"/>
  <c r="M166" i="55"/>
  <c r="M165" i="55"/>
  <c r="M164" i="55"/>
  <c r="M163" i="55"/>
  <c r="M162" i="55"/>
  <c r="M161" i="55"/>
  <c r="M160" i="55"/>
  <c r="M159" i="55"/>
  <c r="M158" i="55"/>
  <c r="M157" i="55"/>
  <c r="M156" i="55"/>
  <c r="M155" i="55"/>
  <c r="M154" i="55"/>
  <c r="M153" i="55"/>
  <c r="M152" i="55"/>
  <c r="M151" i="55"/>
  <c r="M150" i="55"/>
  <c r="M149" i="55"/>
  <c r="M148" i="55"/>
  <c r="M147" i="55"/>
  <c r="M146" i="55"/>
  <c r="M145" i="55"/>
  <c r="M144" i="55"/>
  <c r="M143" i="55"/>
  <c r="M142" i="55"/>
  <c r="M141" i="55"/>
  <c r="M140" i="55"/>
  <c r="M139" i="55"/>
  <c r="M138" i="55"/>
  <c r="M137" i="55"/>
  <c r="M136" i="55"/>
  <c r="M135" i="55"/>
  <c r="M134" i="55"/>
  <c r="M133" i="55"/>
  <c r="M132" i="55"/>
  <c r="M131" i="55"/>
  <c r="M130" i="55"/>
  <c r="M129" i="55"/>
  <c r="M128" i="55"/>
  <c r="M127" i="55"/>
  <c r="M126" i="55"/>
  <c r="M125" i="55"/>
  <c r="M124" i="55"/>
  <c r="M123" i="55"/>
  <c r="M122" i="55"/>
  <c r="M121" i="55"/>
  <c r="M120" i="55"/>
  <c r="M119" i="55"/>
  <c r="M118" i="55"/>
  <c r="M117" i="55"/>
  <c r="M116" i="55"/>
  <c r="M115" i="55"/>
  <c r="M114" i="55"/>
  <c r="M113" i="55"/>
  <c r="M112" i="55"/>
  <c r="M111" i="55"/>
  <c r="M110" i="55"/>
  <c r="M109" i="55"/>
  <c r="M108" i="55"/>
  <c r="M107" i="55"/>
  <c r="M106" i="55"/>
  <c r="M105" i="55"/>
  <c r="M104" i="55"/>
  <c r="M103" i="55"/>
  <c r="M102" i="55"/>
  <c r="M101" i="55"/>
  <c r="M100" i="55"/>
  <c r="M99" i="55"/>
  <c r="M98" i="55"/>
  <c r="M97" i="55"/>
  <c r="M96" i="55"/>
  <c r="M95" i="55"/>
  <c r="M94" i="55"/>
  <c r="M93" i="55"/>
  <c r="M92" i="55"/>
  <c r="M91" i="55"/>
  <c r="M90" i="55"/>
  <c r="M89" i="55"/>
  <c r="M88" i="55"/>
  <c r="M87" i="55"/>
  <c r="M86" i="55"/>
  <c r="M85" i="55"/>
  <c r="M84" i="55"/>
  <c r="M83" i="55"/>
  <c r="M82" i="55"/>
  <c r="M81" i="55"/>
  <c r="M80" i="55"/>
  <c r="M79" i="55"/>
  <c r="M78" i="55"/>
  <c r="M77" i="55"/>
  <c r="M76" i="55"/>
  <c r="M75" i="55"/>
  <c r="M74" i="55"/>
  <c r="M73" i="55"/>
  <c r="M72" i="55"/>
  <c r="M71" i="55"/>
  <c r="M70" i="55"/>
  <c r="M69" i="55"/>
  <c r="M68" i="55"/>
  <c r="M67" i="55"/>
  <c r="M66" i="55"/>
  <c r="M65" i="55"/>
  <c r="M64" i="55"/>
  <c r="M63" i="55"/>
  <c r="M62" i="55"/>
  <c r="M61" i="55"/>
  <c r="M60" i="55"/>
  <c r="M59" i="55"/>
  <c r="M58" i="55"/>
  <c r="M57" i="55"/>
  <c r="M56" i="55"/>
  <c r="M55" i="55"/>
  <c r="M54" i="55"/>
  <c r="M53" i="55"/>
  <c r="M52" i="55"/>
  <c r="M51" i="55"/>
  <c r="M50" i="55"/>
  <c r="M49" i="55"/>
  <c r="M48" i="55"/>
  <c r="M47" i="55"/>
  <c r="M46" i="55"/>
  <c r="M45" i="55"/>
  <c r="M44" i="55"/>
  <c r="M43" i="55"/>
  <c r="M42" i="55"/>
  <c r="M41" i="55"/>
  <c r="M40" i="55"/>
  <c r="M39" i="55"/>
  <c r="M38" i="55"/>
  <c r="M37" i="55"/>
  <c r="M36" i="55"/>
  <c r="M35" i="55"/>
  <c r="M34" i="55"/>
  <c r="M33" i="55"/>
  <c r="M32" i="55"/>
  <c r="M31" i="55"/>
  <c r="M30" i="55"/>
  <c r="M29" i="55"/>
  <c r="M28" i="55"/>
  <c r="M27" i="55"/>
  <c r="M26" i="55"/>
  <c r="M25" i="55"/>
  <c r="M24" i="55"/>
  <c r="M23" i="55"/>
  <c r="M22" i="55"/>
  <c r="M21" i="55"/>
  <c r="M20" i="55"/>
  <c r="M19" i="55"/>
  <c r="M18" i="55"/>
  <c r="M17" i="55"/>
  <c r="M16" i="55"/>
  <c r="M15" i="55"/>
  <c r="M14" i="55"/>
  <c r="M13" i="55"/>
  <c r="M12" i="55"/>
  <c r="M11" i="55"/>
  <c r="M10" i="55"/>
  <c r="M9" i="55"/>
  <c r="M8" i="55"/>
  <c r="M7" i="55"/>
  <c r="M6" i="55"/>
  <c r="M5" i="55"/>
  <c r="M4" i="55"/>
  <c r="M3" i="55"/>
  <c r="M2" i="55"/>
  <c r="M361" i="51"/>
  <c r="M360" i="51"/>
  <c r="M359" i="51"/>
  <c r="M358" i="51"/>
  <c r="M357" i="51"/>
  <c r="M356" i="51"/>
  <c r="M355" i="51"/>
  <c r="M354" i="51"/>
  <c r="M353" i="51"/>
  <c r="M352" i="51"/>
  <c r="M351" i="51"/>
  <c r="M350" i="51"/>
  <c r="M349" i="51"/>
  <c r="M348" i="51"/>
  <c r="M347" i="51"/>
  <c r="M346" i="51"/>
  <c r="M345" i="51"/>
  <c r="M344" i="51"/>
  <c r="M343" i="51"/>
  <c r="M342" i="51"/>
  <c r="M341" i="51"/>
  <c r="M340" i="51"/>
  <c r="M339" i="51"/>
  <c r="M338" i="51"/>
  <c r="M337" i="51"/>
  <c r="M336" i="51"/>
  <c r="M335" i="51"/>
  <c r="M334" i="51"/>
  <c r="M333" i="51"/>
  <c r="M332" i="51"/>
  <c r="M331" i="51"/>
  <c r="M330" i="51"/>
  <c r="M329" i="51"/>
  <c r="M328" i="51"/>
  <c r="M327" i="51"/>
  <c r="M326" i="51"/>
  <c r="M325" i="51"/>
  <c r="M324" i="51"/>
  <c r="M323" i="51"/>
  <c r="M322" i="51"/>
  <c r="M321" i="51"/>
  <c r="M320" i="51"/>
  <c r="M319" i="51"/>
  <c r="M318" i="51"/>
  <c r="M317" i="51"/>
  <c r="M316" i="51"/>
  <c r="M315" i="51"/>
  <c r="M314" i="51"/>
  <c r="M313" i="51"/>
  <c r="M312" i="51"/>
  <c r="M311" i="51"/>
  <c r="M310" i="51"/>
  <c r="M309" i="51"/>
  <c r="M308" i="51"/>
  <c r="M307" i="51"/>
  <c r="M306" i="51"/>
  <c r="M305" i="51"/>
  <c r="M304" i="51"/>
  <c r="M303" i="51"/>
  <c r="M302" i="51"/>
  <c r="M301" i="51"/>
  <c r="M300" i="51"/>
  <c r="M299" i="51"/>
  <c r="M298" i="51"/>
  <c r="M297" i="51"/>
  <c r="M296" i="51"/>
  <c r="M295" i="51"/>
  <c r="M294" i="51"/>
  <c r="M293" i="51"/>
  <c r="M292" i="51"/>
  <c r="M291" i="51"/>
  <c r="M290" i="51"/>
  <c r="M289" i="51"/>
  <c r="M288" i="51"/>
  <c r="M287" i="51"/>
  <c r="M286" i="51"/>
  <c r="M285" i="51"/>
  <c r="M284" i="51"/>
  <c r="M283" i="51"/>
  <c r="M282" i="51"/>
  <c r="M281" i="51"/>
  <c r="M280" i="51"/>
  <c r="M279" i="51"/>
  <c r="M278" i="51"/>
  <c r="M277" i="51"/>
  <c r="M276" i="51"/>
  <c r="M275" i="51"/>
  <c r="M274" i="51"/>
  <c r="M273" i="51"/>
  <c r="M272" i="51"/>
  <c r="M271" i="51"/>
  <c r="M270" i="51"/>
  <c r="M269" i="51"/>
  <c r="M268" i="51"/>
  <c r="M267" i="51"/>
  <c r="M266" i="51"/>
  <c r="M265" i="51"/>
  <c r="M264" i="51"/>
  <c r="M263" i="51"/>
  <c r="M262" i="51"/>
  <c r="M261" i="51"/>
  <c r="M260" i="51"/>
  <c r="M259" i="51"/>
  <c r="M258" i="51"/>
  <c r="M257" i="51"/>
  <c r="M256" i="51"/>
  <c r="M255" i="51"/>
  <c r="M254" i="51"/>
  <c r="M253" i="51"/>
  <c r="M252" i="51"/>
  <c r="M251" i="51"/>
  <c r="M250" i="51"/>
  <c r="M249" i="51"/>
  <c r="M248" i="51"/>
  <c r="M247" i="51"/>
  <c r="M246" i="51"/>
  <c r="M245" i="51"/>
  <c r="M244" i="51"/>
  <c r="M243" i="51"/>
  <c r="M242" i="51"/>
  <c r="M241" i="51"/>
  <c r="M240" i="51"/>
  <c r="M239" i="51"/>
  <c r="M238" i="51"/>
  <c r="M237" i="51"/>
  <c r="M236" i="51"/>
  <c r="M235" i="51"/>
  <c r="M234" i="51"/>
  <c r="M233" i="51"/>
  <c r="M232" i="51"/>
  <c r="M231" i="51"/>
  <c r="M230" i="51"/>
  <c r="M229" i="51"/>
  <c r="M228" i="51"/>
  <c r="M227" i="51"/>
  <c r="M226" i="51"/>
  <c r="M225" i="51"/>
  <c r="M224" i="51"/>
  <c r="M223" i="51"/>
  <c r="M222" i="51"/>
  <c r="M221" i="51"/>
  <c r="M220" i="51"/>
  <c r="M219" i="51"/>
  <c r="M218" i="51"/>
  <c r="M217" i="51"/>
  <c r="M216" i="51"/>
  <c r="M215" i="51"/>
  <c r="M214" i="51"/>
  <c r="M213" i="51"/>
  <c r="M212" i="51"/>
  <c r="M211" i="51"/>
  <c r="M210" i="51"/>
  <c r="M209" i="51"/>
  <c r="M208" i="51"/>
  <c r="M207" i="51"/>
  <c r="M206" i="51"/>
  <c r="M205" i="51"/>
  <c r="M204" i="51"/>
  <c r="M203" i="51"/>
  <c r="M202" i="51"/>
  <c r="M201" i="51"/>
  <c r="M200" i="51"/>
  <c r="M199" i="51"/>
  <c r="M198" i="51"/>
  <c r="M197" i="51"/>
  <c r="M196" i="51"/>
  <c r="M195" i="51"/>
  <c r="M194" i="51"/>
  <c r="M193" i="51"/>
  <c r="M192" i="51"/>
  <c r="M191" i="51"/>
  <c r="M190" i="51"/>
  <c r="M189" i="51"/>
  <c r="M188" i="51"/>
  <c r="M187" i="51"/>
  <c r="M186" i="51"/>
  <c r="M185" i="51"/>
  <c r="M184" i="51"/>
  <c r="M183" i="51"/>
  <c r="M182" i="51"/>
  <c r="M181" i="51"/>
  <c r="M180" i="51"/>
  <c r="M179" i="51"/>
  <c r="M178" i="51"/>
  <c r="M177" i="51"/>
  <c r="M176" i="51"/>
  <c r="M175" i="51"/>
  <c r="M174" i="51"/>
  <c r="M173" i="51"/>
  <c r="M172" i="51"/>
  <c r="M171" i="51"/>
  <c r="M170" i="51"/>
  <c r="M169" i="51"/>
  <c r="M168" i="51"/>
  <c r="M167" i="51"/>
  <c r="M166" i="51"/>
  <c r="M165" i="51"/>
  <c r="M164" i="51"/>
  <c r="M163" i="51"/>
  <c r="M162" i="51"/>
  <c r="M161" i="51"/>
  <c r="M160" i="51"/>
  <c r="M159" i="51"/>
  <c r="M158" i="51"/>
  <c r="M157" i="51"/>
  <c r="M156" i="51"/>
  <c r="M155" i="51"/>
  <c r="M154" i="51"/>
  <c r="M153" i="51"/>
  <c r="M152" i="51"/>
  <c r="M151" i="51"/>
  <c r="M150" i="51"/>
  <c r="M149" i="51"/>
  <c r="M148" i="51"/>
  <c r="M147" i="51"/>
  <c r="M146" i="51"/>
  <c r="M145" i="51"/>
  <c r="M144" i="51"/>
  <c r="M143" i="51"/>
  <c r="M142" i="51"/>
  <c r="M141" i="51"/>
  <c r="M140" i="51"/>
  <c r="M139" i="51"/>
  <c r="M138" i="51"/>
  <c r="M137" i="51"/>
  <c r="M136" i="51"/>
  <c r="M135" i="51"/>
  <c r="M134" i="51"/>
  <c r="M133" i="51"/>
  <c r="M132" i="51"/>
  <c r="M131" i="51"/>
  <c r="M130" i="51"/>
  <c r="M129" i="51"/>
  <c r="M128" i="51"/>
  <c r="M127" i="51"/>
  <c r="M126" i="51"/>
  <c r="M125" i="51"/>
  <c r="M124" i="51"/>
  <c r="M123" i="51"/>
  <c r="M122" i="51"/>
  <c r="M121" i="51"/>
  <c r="M120" i="51"/>
  <c r="M119" i="51"/>
  <c r="M118" i="51"/>
  <c r="M117" i="51"/>
  <c r="M116" i="51"/>
  <c r="M115" i="51"/>
  <c r="M114" i="51"/>
  <c r="M113" i="51"/>
  <c r="M112" i="51"/>
  <c r="M111" i="51"/>
  <c r="M110" i="51"/>
  <c r="M109" i="51"/>
  <c r="M108" i="51"/>
  <c r="M107" i="51"/>
  <c r="M106" i="51"/>
  <c r="M105" i="51"/>
  <c r="M104" i="51"/>
  <c r="M103" i="51"/>
  <c r="M102" i="51"/>
  <c r="M101" i="51"/>
  <c r="M100" i="51"/>
  <c r="M99" i="51"/>
  <c r="M98" i="51"/>
  <c r="M97" i="51"/>
  <c r="M96" i="51"/>
  <c r="M95" i="51"/>
  <c r="M94" i="51"/>
  <c r="M93" i="51"/>
  <c r="M92" i="51"/>
  <c r="M91" i="51"/>
  <c r="M90" i="51"/>
  <c r="M89" i="51"/>
  <c r="M88" i="51"/>
  <c r="M87" i="51"/>
  <c r="M86" i="51"/>
  <c r="M85" i="51"/>
  <c r="M84" i="51"/>
  <c r="M83" i="51"/>
  <c r="M82" i="51"/>
  <c r="M81" i="51"/>
  <c r="M80" i="51"/>
  <c r="M79" i="51"/>
  <c r="M78" i="51"/>
  <c r="M77" i="51"/>
  <c r="M76" i="51"/>
  <c r="M75" i="51"/>
  <c r="M74" i="51"/>
  <c r="M73" i="51"/>
  <c r="M72" i="51"/>
  <c r="M71" i="51"/>
  <c r="M70" i="51"/>
  <c r="M69" i="51"/>
  <c r="M68" i="51"/>
  <c r="M67" i="51"/>
  <c r="M66" i="51"/>
  <c r="M65" i="51"/>
  <c r="M64" i="51"/>
  <c r="M63" i="51"/>
  <c r="M62" i="51"/>
  <c r="M61" i="51"/>
  <c r="M60" i="51"/>
  <c r="M59" i="51"/>
  <c r="M58" i="51"/>
  <c r="M57" i="51"/>
  <c r="M56" i="51"/>
  <c r="M55" i="51"/>
  <c r="M54" i="51"/>
  <c r="M53" i="51"/>
  <c r="M52" i="51"/>
  <c r="M51" i="51"/>
  <c r="M50" i="51"/>
  <c r="M49" i="51"/>
  <c r="M48" i="51"/>
  <c r="M47" i="51"/>
  <c r="M46" i="51"/>
  <c r="M45" i="51"/>
  <c r="M44" i="51"/>
  <c r="M43" i="51"/>
  <c r="M42" i="51"/>
  <c r="M41" i="51"/>
  <c r="M40" i="51"/>
  <c r="M39" i="51"/>
  <c r="M38" i="51"/>
  <c r="M37" i="51"/>
  <c r="M36" i="51"/>
  <c r="M35" i="51"/>
  <c r="M34" i="51"/>
  <c r="M33" i="51"/>
  <c r="M32" i="51"/>
  <c r="M31" i="51"/>
  <c r="M30" i="51"/>
  <c r="M29" i="51"/>
  <c r="M28" i="51"/>
  <c r="M27" i="51"/>
  <c r="M26" i="51"/>
  <c r="M25" i="51"/>
  <c r="M24" i="51"/>
  <c r="M23" i="51"/>
  <c r="M22" i="51"/>
  <c r="M21" i="51"/>
  <c r="M20" i="51"/>
  <c r="M19" i="51"/>
  <c r="M18" i="51"/>
  <c r="M17" i="51"/>
  <c r="M16" i="51"/>
  <c r="M15" i="51"/>
  <c r="M14" i="51"/>
  <c r="M13" i="51"/>
  <c r="M12" i="51"/>
  <c r="M11" i="51"/>
  <c r="M10" i="51"/>
  <c r="M9" i="51"/>
  <c r="M8" i="51"/>
  <c r="M7" i="51"/>
  <c r="M6" i="51"/>
  <c r="M5" i="51"/>
  <c r="M4" i="51"/>
  <c r="M3" i="51"/>
  <c r="M2" i="51"/>
  <c r="M334" i="48"/>
  <c r="M333" i="48"/>
  <c r="M332" i="48"/>
  <c r="M331" i="48"/>
  <c r="M330" i="48"/>
  <c r="M329" i="48"/>
  <c r="M328" i="48"/>
  <c r="M327" i="48"/>
  <c r="M326" i="48"/>
  <c r="M325" i="48"/>
  <c r="M324" i="48"/>
  <c r="M323" i="48"/>
  <c r="M322" i="48"/>
  <c r="M321" i="48"/>
  <c r="M320" i="48"/>
  <c r="M319" i="48"/>
  <c r="M318" i="48"/>
  <c r="M317" i="48"/>
  <c r="M316" i="48"/>
  <c r="M315" i="48"/>
  <c r="M314" i="48"/>
  <c r="M313" i="48"/>
  <c r="M312" i="48"/>
  <c r="M311" i="48"/>
  <c r="M310" i="48"/>
  <c r="M309" i="48"/>
  <c r="M308" i="48"/>
  <c r="M307" i="48"/>
  <c r="M306" i="48"/>
  <c r="M305" i="48"/>
  <c r="M304" i="48"/>
  <c r="M303" i="48"/>
  <c r="M302" i="48"/>
  <c r="M301" i="48"/>
  <c r="M300" i="48"/>
  <c r="M299" i="48"/>
  <c r="M298" i="48"/>
  <c r="M297" i="48"/>
  <c r="M296" i="48"/>
  <c r="M295" i="48"/>
  <c r="M294" i="48"/>
  <c r="M293" i="48"/>
  <c r="M292" i="48"/>
  <c r="M291" i="48"/>
  <c r="M290" i="48"/>
  <c r="M289" i="48"/>
  <c r="M288" i="48"/>
  <c r="M287" i="48"/>
  <c r="M286" i="48"/>
  <c r="M285" i="48"/>
  <c r="M284" i="48"/>
  <c r="M283" i="48"/>
  <c r="M282" i="48"/>
  <c r="M281" i="48"/>
  <c r="M280" i="48"/>
  <c r="M279" i="48"/>
  <c r="M278" i="48"/>
  <c r="M277" i="48"/>
  <c r="M276" i="48"/>
  <c r="M275" i="48"/>
  <c r="M274" i="48"/>
  <c r="M273" i="48"/>
  <c r="M272" i="48"/>
  <c r="M271" i="48"/>
  <c r="M270" i="48"/>
  <c r="M269" i="48"/>
  <c r="M268" i="48"/>
  <c r="M267" i="48"/>
  <c r="M266" i="48"/>
  <c r="M265" i="48"/>
  <c r="M264" i="48"/>
  <c r="M263" i="48"/>
  <c r="M262" i="48"/>
  <c r="M261" i="48"/>
  <c r="M260" i="48"/>
  <c r="M259" i="48"/>
  <c r="M258" i="48"/>
  <c r="M257" i="48"/>
  <c r="M256" i="48"/>
  <c r="M255" i="48"/>
  <c r="M254" i="48"/>
  <c r="M253" i="48"/>
  <c r="M252" i="48"/>
  <c r="M251" i="48"/>
  <c r="M250" i="48"/>
  <c r="M249" i="48"/>
  <c r="M248" i="48"/>
  <c r="M247" i="48"/>
  <c r="M246" i="48"/>
  <c r="M245" i="48"/>
  <c r="M244" i="48"/>
  <c r="M243" i="48"/>
  <c r="M242" i="48"/>
  <c r="M241" i="48"/>
  <c r="M240" i="48"/>
  <c r="M239" i="48"/>
  <c r="M238" i="48"/>
  <c r="M237" i="48"/>
  <c r="M236" i="48"/>
  <c r="M235" i="48"/>
  <c r="M234" i="48"/>
  <c r="M233" i="48"/>
  <c r="M232" i="48"/>
  <c r="M231" i="48"/>
  <c r="M230" i="48"/>
  <c r="M229" i="48"/>
  <c r="M228" i="48"/>
  <c r="M227" i="48"/>
  <c r="M226" i="48"/>
  <c r="M225" i="48"/>
  <c r="M224" i="48"/>
  <c r="M223" i="48"/>
  <c r="M222" i="48"/>
  <c r="M221" i="48"/>
  <c r="M220" i="48"/>
  <c r="M219" i="48"/>
  <c r="M218" i="48"/>
  <c r="M217" i="48"/>
  <c r="M216" i="48"/>
  <c r="M215" i="48"/>
  <c r="M214" i="48"/>
  <c r="M213" i="48"/>
  <c r="M212" i="48"/>
  <c r="M211" i="48"/>
  <c r="M210" i="48"/>
  <c r="M209" i="48"/>
  <c r="M208" i="48"/>
  <c r="M207" i="48"/>
  <c r="M206" i="48"/>
  <c r="M205" i="48"/>
  <c r="M204" i="48"/>
  <c r="M203" i="48"/>
  <c r="M202" i="48"/>
  <c r="M201" i="48"/>
  <c r="M200" i="48"/>
  <c r="M199" i="48"/>
  <c r="M198" i="48"/>
  <c r="M197" i="48"/>
  <c r="M196" i="48"/>
  <c r="M195" i="48"/>
  <c r="M194" i="48"/>
  <c r="M193" i="48"/>
  <c r="M192" i="48"/>
  <c r="M191" i="48"/>
  <c r="M190" i="48"/>
  <c r="M189" i="48"/>
  <c r="M188" i="48"/>
  <c r="M187" i="48"/>
  <c r="M186" i="48"/>
  <c r="M185" i="48"/>
  <c r="M184" i="48"/>
  <c r="M183" i="48"/>
  <c r="M182" i="48"/>
  <c r="M181" i="48"/>
  <c r="M180" i="48"/>
  <c r="M179" i="48"/>
  <c r="M178" i="48"/>
  <c r="M177" i="48"/>
  <c r="M176" i="48"/>
  <c r="M175" i="48"/>
  <c r="M174" i="48"/>
  <c r="M173" i="48"/>
  <c r="M172" i="48"/>
  <c r="M171" i="48"/>
  <c r="M170" i="48"/>
  <c r="M169" i="48"/>
  <c r="M168" i="48"/>
  <c r="M167" i="48"/>
  <c r="M166" i="48"/>
  <c r="M165" i="48"/>
  <c r="M164" i="48"/>
  <c r="M163" i="48"/>
  <c r="M162" i="48"/>
  <c r="M161" i="48"/>
  <c r="M160" i="48"/>
  <c r="M159" i="48"/>
  <c r="M158" i="48"/>
  <c r="M157" i="48"/>
  <c r="M156" i="48"/>
  <c r="M155" i="48"/>
  <c r="M154" i="48"/>
  <c r="M153" i="48"/>
  <c r="M152" i="48"/>
  <c r="M151" i="48"/>
  <c r="M150" i="48"/>
  <c r="M149" i="48"/>
  <c r="M148" i="48"/>
  <c r="M147" i="48"/>
  <c r="M146" i="48"/>
  <c r="M145" i="48"/>
  <c r="M144" i="48"/>
  <c r="M143" i="48"/>
  <c r="M142" i="48"/>
  <c r="M141" i="48"/>
  <c r="M140" i="48"/>
  <c r="M139" i="48"/>
  <c r="M138" i="48"/>
  <c r="M137" i="48"/>
  <c r="M136" i="48"/>
  <c r="M135" i="48"/>
  <c r="M134" i="48"/>
  <c r="M133" i="48"/>
  <c r="M132" i="48"/>
  <c r="M131" i="48"/>
  <c r="M130" i="48"/>
  <c r="M129" i="48"/>
  <c r="M128" i="48"/>
  <c r="M127" i="48"/>
  <c r="M126" i="48"/>
  <c r="M125" i="48"/>
  <c r="M124" i="48"/>
  <c r="M123" i="48"/>
  <c r="M122" i="48"/>
  <c r="M121" i="48"/>
  <c r="M120" i="48"/>
  <c r="M119" i="48"/>
  <c r="M118" i="48"/>
  <c r="M117" i="48"/>
  <c r="M116" i="48"/>
  <c r="M115" i="48"/>
  <c r="M114" i="48"/>
  <c r="M113" i="48"/>
  <c r="M112" i="48"/>
  <c r="M111" i="48"/>
  <c r="M110" i="48"/>
  <c r="M109" i="48"/>
  <c r="M108" i="48"/>
  <c r="M107" i="48"/>
  <c r="M106" i="48"/>
  <c r="M105" i="48"/>
  <c r="M104" i="48"/>
  <c r="M103" i="48"/>
  <c r="M102" i="48"/>
  <c r="M101" i="48"/>
  <c r="M100" i="48"/>
  <c r="M99" i="48"/>
  <c r="M98" i="48"/>
  <c r="M97" i="48"/>
  <c r="M96" i="48"/>
  <c r="M95" i="48"/>
  <c r="M94" i="48"/>
  <c r="M93" i="48"/>
  <c r="M92" i="48"/>
  <c r="M91" i="48"/>
  <c r="M90" i="48"/>
  <c r="M89" i="48"/>
  <c r="M88" i="48"/>
  <c r="M87" i="48"/>
  <c r="M86" i="48"/>
  <c r="M85" i="48"/>
  <c r="M84" i="48"/>
  <c r="M83" i="48"/>
  <c r="M82" i="48"/>
  <c r="M81" i="48"/>
  <c r="M80" i="48"/>
  <c r="M79" i="48"/>
  <c r="M78" i="48"/>
  <c r="M77" i="48"/>
  <c r="M76" i="48"/>
  <c r="M75" i="48"/>
  <c r="M74" i="48"/>
  <c r="M73" i="48"/>
  <c r="M72" i="48"/>
  <c r="M71" i="48"/>
  <c r="M70" i="48"/>
  <c r="M69" i="48"/>
  <c r="M68" i="48"/>
  <c r="M67" i="48"/>
  <c r="M66" i="48"/>
  <c r="M65" i="48"/>
  <c r="M64" i="48"/>
  <c r="M63" i="48"/>
  <c r="M62" i="48"/>
  <c r="M61" i="48"/>
  <c r="M60" i="48"/>
  <c r="M59" i="48"/>
  <c r="M58" i="48"/>
  <c r="M57" i="48"/>
  <c r="M56" i="48"/>
  <c r="M55" i="48"/>
  <c r="M54" i="48"/>
  <c r="M53" i="48"/>
  <c r="M52" i="48"/>
  <c r="M51" i="48"/>
  <c r="M50" i="48"/>
  <c r="M49" i="48"/>
  <c r="M48" i="48"/>
  <c r="M47" i="48"/>
  <c r="M46" i="48"/>
  <c r="M45" i="48"/>
  <c r="M44" i="48"/>
  <c r="M43" i="48"/>
  <c r="M42" i="48"/>
  <c r="M41" i="48"/>
  <c r="M40" i="48"/>
  <c r="M39" i="48"/>
  <c r="M38" i="48"/>
  <c r="M37" i="48"/>
  <c r="M36" i="48"/>
  <c r="M35" i="48"/>
  <c r="M34" i="48"/>
  <c r="M33" i="48"/>
  <c r="M32" i="48"/>
  <c r="M31" i="48"/>
  <c r="M30" i="48"/>
  <c r="M29" i="48"/>
  <c r="M28" i="48"/>
  <c r="M27" i="48"/>
  <c r="M26" i="48"/>
  <c r="M25" i="48"/>
  <c r="M24" i="48"/>
  <c r="M23" i="48"/>
  <c r="M22" i="48"/>
  <c r="M21" i="48"/>
  <c r="M20" i="48"/>
  <c r="M19" i="48"/>
  <c r="M18" i="48"/>
  <c r="M17" i="48"/>
  <c r="M16" i="48"/>
  <c r="M15" i="48"/>
  <c r="M14" i="48"/>
  <c r="M13" i="48"/>
  <c r="M12" i="48"/>
  <c r="M11" i="48"/>
  <c r="M10" i="48"/>
  <c r="M9" i="48"/>
  <c r="M8" i="48"/>
  <c r="M7" i="48"/>
  <c r="M6" i="48"/>
  <c r="M5" i="48"/>
  <c r="M4" i="48"/>
  <c r="M3" i="48"/>
  <c r="M2" i="48"/>
  <c r="M354" i="46"/>
  <c r="M353" i="46"/>
  <c r="M352" i="46"/>
  <c r="M351" i="46"/>
  <c r="M350" i="46"/>
  <c r="M349" i="46"/>
  <c r="M348" i="46"/>
  <c r="M347" i="46"/>
  <c r="M346" i="46"/>
  <c r="M345" i="46"/>
  <c r="M344" i="46"/>
  <c r="M343" i="46"/>
  <c r="M342" i="46"/>
  <c r="M341" i="46"/>
  <c r="M340" i="46"/>
  <c r="M339" i="46"/>
  <c r="M338" i="46"/>
  <c r="M337" i="46"/>
  <c r="M336" i="46"/>
  <c r="M335" i="46"/>
  <c r="M334" i="46"/>
  <c r="M333" i="46"/>
  <c r="M332" i="46"/>
  <c r="M331" i="46"/>
  <c r="M330" i="46"/>
  <c r="M329" i="46"/>
  <c r="M328" i="46"/>
  <c r="M327" i="46"/>
  <c r="M326" i="46"/>
  <c r="M325" i="46"/>
  <c r="M324" i="46"/>
  <c r="M323" i="46"/>
  <c r="M322" i="46"/>
  <c r="M321" i="46"/>
  <c r="M320" i="46"/>
  <c r="M319" i="46"/>
  <c r="M318" i="46"/>
  <c r="M317" i="46"/>
  <c r="M316" i="46"/>
  <c r="M315" i="46"/>
  <c r="M314" i="46"/>
  <c r="M313" i="46"/>
  <c r="M312" i="46"/>
  <c r="M311" i="46"/>
  <c r="M310" i="46"/>
  <c r="M309" i="46"/>
  <c r="M308" i="46"/>
  <c r="M307" i="46"/>
  <c r="M306" i="46"/>
  <c r="M305" i="46"/>
  <c r="M304" i="46"/>
  <c r="M303" i="46"/>
  <c r="M302" i="46"/>
  <c r="M301" i="46"/>
  <c r="M300" i="46"/>
  <c r="M299" i="46"/>
  <c r="M298" i="46"/>
  <c r="M297" i="46"/>
  <c r="M296" i="46"/>
  <c r="M295" i="46"/>
  <c r="M294" i="46"/>
  <c r="M293" i="46"/>
  <c r="M292" i="46"/>
  <c r="M291" i="46"/>
  <c r="M290" i="46"/>
  <c r="M289" i="46"/>
  <c r="M288" i="46"/>
  <c r="M287" i="46"/>
  <c r="M286" i="46"/>
  <c r="M285" i="46"/>
  <c r="M284" i="46"/>
  <c r="M283" i="46"/>
  <c r="M282" i="46"/>
  <c r="M281" i="46"/>
  <c r="M280" i="46"/>
  <c r="M279" i="46"/>
  <c r="M278" i="46"/>
  <c r="M277" i="46"/>
  <c r="M276" i="46"/>
  <c r="M275" i="46"/>
  <c r="M274" i="46"/>
  <c r="M273" i="46"/>
  <c r="M272" i="46"/>
  <c r="M271" i="46"/>
  <c r="M270" i="46"/>
  <c r="M269" i="46"/>
  <c r="M268" i="46"/>
  <c r="M267" i="46"/>
  <c r="M266" i="46"/>
  <c r="M265" i="46"/>
  <c r="M264" i="46"/>
  <c r="M263" i="46"/>
  <c r="M262" i="46"/>
  <c r="M261" i="46"/>
  <c r="M260" i="46"/>
  <c r="M259" i="46"/>
  <c r="M258" i="46"/>
  <c r="M257" i="46"/>
  <c r="M256" i="46"/>
  <c r="M255" i="46"/>
  <c r="M254" i="46"/>
  <c r="M253" i="46"/>
  <c r="M252" i="46"/>
  <c r="M251" i="46"/>
  <c r="M250" i="46"/>
  <c r="M249" i="46"/>
  <c r="M248" i="46"/>
  <c r="M247" i="46"/>
  <c r="M246" i="46"/>
  <c r="M245" i="46"/>
  <c r="M244" i="46"/>
  <c r="M243" i="46"/>
  <c r="M242" i="46"/>
  <c r="M241" i="46"/>
  <c r="M240" i="46"/>
  <c r="M239" i="46"/>
  <c r="M238" i="46"/>
  <c r="M237" i="46"/>
  <c r="M236" i="46"/>
  <c r="M235" i="46"/>
  <c r="M234" i="46"/>
  <c r="M233" i="46"/>
  <c r="M232" i="46"/>
  <c r="M231" i="46"/>
  <c r="M230" i="46"/>
  <c r="M229" i="46"/>
  <c r="M228" i="46"/>
  <c r="M227" i="46"/>
  <c r="M226" i="46"/>
  <c r="M225" i="46"/>
  <c r="M224" i="46"/>
  <c r="M223" i="46"/>
  <c r="M222" i="46"/>
  <c r="M221" i="46"/>
  <c r="M220" i="46"/>
  <c r="M219" i="46"/>
  <c r="M218" i="46"/>
  <c r="M217" i="46"/>
  <c r="M216" i="46"/>
  <c r="M215" i="46"/>
  <c r="M214" i="46"/>
  <c r="M213" i="46"/>
  <c r="M212" i="46"/>
  <c r="M211" i="46"/>
  <c r="M210" i="46"/>
  <c r="M209" i="46"/>
  <c r="M208" i="46"/>
  <c r="M207" i="46"/>
  <c r="M206" i="46"/>
  <c r="M205" i="46"/>
  <c r="M204" i="46"/>
  <c r="M203" i="46"/>
  <c r="M202" i="46"/>
  <c r="M201" i="46"/>
  <c r="M200" i="46"/>
  <c r="M199" i="46"/>
  <c r="M198" i="46"/>
  <c r="M197" i="46"/>
  <c r="M196" i="46"/>
  <c r="M195" i="46"/>
  <c r="M194" i="46"/>
  <c r="M193" i="46"/>
  <c r="M192" i="46"/>
  <c r="M191" i="46"/>
  <c r="M190" i="46"/>
  <c r="M189" i="46"/>
  <c r="M188" i="46"/>
  <c r="M187" i="46"/>
  <c r="M186" i="46"/>
  <c r="M185" i="46"/>
  <c r="M184" i="46"/>
  <c r="M183" i="46"/>
  <c r="M182" i="46"/>
  <c r="M181" i="46"/>
  <c r="M180" i="46"/>
  <c r="M179" i="46"/>
  <c r="M178" i="46"/>
  <c r="M177" i="46"/>
  <c r="M176" i="46"/>
  <c r="M175" i="46"/>
  <c r="M174" i="46"/>
  <c r="M173" i="46"/>
  <c r="M172" i="46"/>
  <c r="M171" i="46"/>
  <c r="M170" i="46"/>
  <c r="M169" i="46"/>
  <c r="M168" i="46"/>
  <c r="M167" i="46"/>
  <c r="M166" i="46"/>
  <c r="M165" i="46"/>
  <c r="M164" i="46"/>
  <c r="M163" i="46"/>
  <c r="M162" i="46"/>
  <c r="M161" i="46"/>
  <c r="M160" i="46"/>
  <c r="M159" i="46"/>
  <c r="M158" i="46"/>
  <c r="M157" i="46"/>
  <c r="M156" i="46"/>
  <c r="M155" i="46"/>
  <c r="M154" i="46"/>
  <c r="M153" i="46"/>
  <c r="M152" i="46"/>
  <c r="M151" i="46"/>
  <c r="M150" i="46"/>
  <c r="M149" i="46"/>
  <c r="M148" i="46"/>
  <c r="M147" i="46"/>
  <c r="M146" i="46"/>
  <c r="M145" i="46"/>
  <c r="M144" i="46"/>
  <c r="M143" i="46"/>
  <c r="M142" i="46"/>
  <c r="M141" i="46"/>
  <c r="M140" i="46"/>
  <c r="M139" i="46"/>
  <c r="M138" i="46"/>
  <c r="M137" i="46"/>
  <c r="M136" i="46"/>
  <c r="M135" i="46"/>
  <c r="M134" i="46"/>
  <c r="M133" i="46"/>
  <c r="M132" i="46"/>
  <c r="M131" i="46"/>
  <c r="M130" i="46"/>
  <c r="M129" i="46"/>
  <c r="M128" i="46"/>
  <c r="M127" i="46"/>
  <c r="M126" i="46"/>
  <c r="M125" i="46"/>
  <c r="M124" i="46"/>
  <c r="M123" i="46"/>
  <c r="M122" i="46"/>
  <c r="M121" i="46"/>
  <c r="M120" i="46"/>
  <c r="M119" i="46"/>
  <c r="M118" i="46"/>
  <c r="M117" i="46"/>
  <c r="M116" i="46"/>
  <c r="M115" i="46"/>
  <c r="M114" i="46"/>
  <c r="M113" i="46"/>
  <c r="M112" i="46"/>
  <c r="M111" i="46"/>
  <c r="M110" i="46"/>
  <c r="M109" i="46"/>
  <c r="M108" i="46"/>
  <c r="M107" i="46"/>
  <c r="M106" i="46"/>
  <c r="M105" i="46"/>
  <c r="M104" i="46"/>
  <c r="M103" i="46"/>
  <c r="M102" i="46"/>
  <c r="M101" i="46"/>
  <c r="M100" i="46"/>
  <c r="M99" i="46"/>
  <c r="M98" i="46"/>
  <c r="M97" i="46"/>
  <c r="M96" i="46"/>
  <c r="M95" i="46"/>
  <c r="M94" i="46"/>
  <c r="M93" i="46"/>
  <c r="M92" i="46"/>
  <c r="M91" i="46"/>
  <c r="M90" i="46"/>
  <c r="M89" i="46"/>
  <c r="M88" i="46"/>
  <c r="M87" i="46"/>
  <c r="M86" i="46"/>
  <c r="M85" i="46"/>
  <c r="M84" i="46"/>
  <c r="M83" i="46"/>
  <c r="M82" i="46"/>
  <c r="M81" i="46"/>
  <c r="M80" i="46"/>
  <c r="M79" i="46"/>
  <c r="M78" i="46"/>
  <c r="M77" i="46"/>
  <c r="M76" i="46"/>
  <c r="M75" i="46"/>
  <c r="M74" i="46"/>
  <c r="M73" i="46"/>
  <c r="M72" i="46"/>
  <c r="M71" i="46"/>
  <c r="M70" i="46"/>
  <c r="M69" i="46"/>
  <c r="M68" i="46"/>
  <c r="M67" i="46"/>
  <c r="M66" i="46"/>
  <c r="M65" i="46"/>
  <c r="M64" i="46"/>
  <c r="M63" i="46"/>
  <c r="M62" i="46"/>
  <c r="M61" i="46"/>
  <c r="M60" i="46"/>
  <c r="M59" i="46"/>
  <c r="M58" i="46"/>
  <c r="M57" i="46"/>
  <c r="M56" i="46"/>
  <c r="M55" i="46"/>
  <c r="M54" i="46"/>
  <c r="M53" i="46"/>
  <c r="M52" i="46"/>
  <c r="M51" i="46"/>
  <c r="M50" i="46"/>
  <c r="M49" i="46"/>
  <c r="M48" i="46"/>
  <c r="M47" i="46"/>
  <c r="M46" i="46"/>
  <c r="M45" i="46"/>
  <c r="M44" i="46"/>
  <c r="M43" i="46"/>
  <c r="M42" i="46"/>
  <c r="M41" i="46"/>
  <c r="M40" i="46"/>
  <c r="M39" i="46"/>
  <c r="M38" i="46"/>
  <c r="M37" i="46"/>
  <c r="M36" i="46"/>
  <c r="M35" i="46"/>
  <c r="M34" i="46"/>
  <c r="M33" i="46"/>
  <c r="M32" i="46"/>
  <c r="M31" i="46"/>
  <c r="M30" i="46"/>
  <c r="M29" i="46"/>
  <c r="M28" i="46"/>
  <c r="M27" i="46"/>
  <c r="M26" i="46"/>
  <c r="M25" i="46"/>
  <c r="M24" i="46"/>
  <c r="M23" i="46"/>
  <c r="M22" i="46"/>
  <c r="M21" i="46"/>
  <c r="M20" i="46"/>
  <c r="M19" i="46"/>
  <c r="M18" i="46"/>
  <c r="M17" i="46"/>
  <c r="M16" i="46"/>
  <c r="M15" i="46"/>
  <c r="M14" i="46"/>
  <c r="M13" i="46"/>
  <c r="M12" i="46"/>
  <c r="M11" i="46"/>
  <c r="M10" i="46"/>
  <c r="M9" i="46"/>
  <c r="M8" i="46"/>
  <c r="M7" i="46"/>
  <c r="M6" i="46"/>
  <c r="M5" i="46"/>
  <c r="M3" i="46"/>
  <c r="M4" i="46" s="1"/>
  <c r="M299" i="32" l="1"/>
  <c r="M298" i="32"/>
  <c r="M297" i="32"/>
  <c r="M296" i="32"/>
  <c r="M295" i="32"/>
  <c r="M294" i="32"/>
  <c r="M293" i="32"/>
  <c r="M292" i="32"/>
  <c r="M291" i="32"/>
  <c r="M290" i="32"/>
  <c r="M289" i="32"/>
  <c r="M288" i="32"/>
  <c r="M287" i="32"/>
  <c r="M286" i="32"/>
  <c r="M285" i="32"/>
  <c r="M284" i="32"/>
  <c r="M283" i="32"/>
  <c r="M282" i="32"/>
  <c r="M281" i="32"/>
  <c r="M280" i="32"/>
  <c r="M279" i="32"/>
  <c r="M278" i="32"/>
  <c r="M277" i="32"/>
  <c r="M276" i="32"/>
  <c r="M275" i="32"/>
  <c r="M274" i="32"/>
  <c r="M273" i="32"/>
  <c r="M272" i="32"/>
  <c r="M271" i="32"/>
  <c r="M270" i="32"/>
  <c r="M269" i="32"/>
  <c r="M268" i="32"/>
  <c r="M267" i="32"/>
  <c r="M266" i="32"/>
  <c r="M265" i="32"/>
  <c r="M264" i="32"/>
  <c r="M263" i="32"/>
  <c r="M262" i="32"/>
  <c r="M261" i="32"/>
  <c r="M260" i="32"/>
  <c r="M259" i="32"/>
  <c r="M258" i="32"/>
  <c r="M257" i="32"/>
  <c r="M256" i="32"/>
  <c r="M255" i="32"/>
  <c r="M254" i="32"/>
  <c r="M253" i="32"/>
  <c r="M252" i="32"/>
  <c r="M251" i="32"/>
  <c r="M250" i="32"/>
  <c r="M249" i="32"/>
  <c r="M248" i="32"/>
  <c r="M247" i="32"/>
  <c r="M246" i="32"/>
  <c r="M245" i="32"/>
  <c r="M244" i="32"/>
  <c r="M243" i="32"/>
  <c r="M242" i="32"/>
  <c r="M241" i="32"/>
  <c r="M240" i="32"/>
  <c r="M239" i="32"/>
  <c r="M238" i="32"/>
  <c r="M237" i="32"/>
  <c r="M236" i="32"/>
  <c r="M235" i="32"/>
  <c r="M234" i="32"/>
  <c r="M233" i="32"/>
  <c r="M232" i="32"/>
  <c r="M231" i="32"/>
  <c r="M230" i="32"/>
  <c r="M229" i="32"/>
  <c r="M228" i="32"/>
  <c r="M227" i="32"/>
  <c r="M226" i="32"/>
  <c r="M225" i="32"/>
  <c r="M224" i="32"/>
  <c r="M223" i="32"/>
  <c r="M222" i="32"/>
  <c r="M221" i="32"/>
  <c r="M220" i="32"/>
  <c r="M219" i="32"/>
  <c r="M218" i="32"/>
  <c r="M217" i="32"/>
  <c r="M216" i="32"/>
  <c r="M215" i="32"/>
  <c r="M214" i="32"/>
  <c r="M213" i="32"/>
  <c r="M212" i="32"/>
  <c r="M211" i="32"/>
  <c r="M210" i="32"/>
  <c r="M209" i="32"/>
  <c r="M208" i="32"/>
  <c r="M207" i="32"/>
  <c r="M206" i="32"/>
  <c r="M205" i="32"/>
  <c r="M204" i="32"/>
  <c r="M203" i="32"/>
  <c r="M202" i="32"/>
  <c r="M201" i="32"/>
  <c r="M200" i="32"/>
  <c r="M199" i="32"/>
  <c r="M198" i="32"/>
  <c r="M197" i="32"/>
  <c r="M196" i="32"/>
  <c r="M195" i="32"/>
  <c r="M194" i="32"/>
  <c r="M193" i="32"/>
  <c r="M192" i="32"/>
  <c r="M191" i="32"/>
  <c r="M190" i="32"/>
  <c r="M189" i="32"/>
  <c r="M188" i="32"/>
  <c r="M187" i="32"/>
  <c r="M186" i="32"/>
  <c r="M185" i="32"/>
  <c r="M184" i="32"/>
  <c r="M183" i="32"/>
  <c r="M182" i="32"/>
  <c r="M181" i="32"/>
  <c r="M180" i="32"/>
  <c r="M179" i="32"/>
  <c r="M178" i="32"/>
  <c r="M177" i="32"/>
  <c r="M176" i="32"/>
  <c r="M175" i="32"/>
  <c r="M174" i="32"/>
  <c r="M173" i="32"/>
  <c r="M172" i="32"/>
  <c r="M171" i="32"/>
  <c r="M170" i="32"/>
  <c r="M169" i="32"/>
  <c r="M168" i="32"/>
  <c r="M167" i="32"/>
  <c r="M166" i="32"/>
  <c r="M165" i="32"/>
  <c r="M164" i="32"/>
  <c r="M163" i="32"/>
  <c r="M162" i="32"/>
  <c r="M161" i="32"/>
  <c r="M160" i="32"/>
  <c r="M159" i="32"/>
  <c r="M158" i="32"/>
  <c r="M157" i="32"/>
  <c r="M156" i="32"/>
  <c r="M155" i="32"/>
  <c r="M154" i="32"/>
  <c r="M153" i="32"/>
  <c r="M152" i="32"/>
  <c r="M151" i="32"/>
  <c r="M150" i="32"/>
  <c r="M149" i="32"/>
  <c r="M148" i="32"/>
  <c r="M147" i="32"/>
  <c r="M146" i="32"/>
  <c r="M145" i="32"/>
  <c r="M144" i="32"/>
  <c r="M143" i="32"/>
  <c r="M142" i="32"/>
  <c r="M141" i="32"/>
  <c r="M140" i="32"/>
  <c r="M139" i="32"/>
  <c r="M138" i="32"/>
  <c r="M137" i="32"/>
  <c r="M136" i="32"/>
  <c r="M135" i="32"/>
  <c r="M134" i="32"/>
  <c r="M133" i="32"/>
  <c r="M132" i="32"/>
  <c r="M131" i="32"/>
  <c r="M130" i="32"/>
  <c r="M129" i="32"/>
  <c r="M128" i="32"/>
  <c r="M127" i="32"/>
  <c r="M126" i="32"/>
  <c r="M125" i="32"/>
  <c r="M124" i="32"/>
  <c r="M123" i="32"/>
  <c r="M122" i="32"/>
  <c r="M121" i="32"/>
  <c r="M120" i="32"/>
  <c r="M119" i="32"/>
  <c r="M118" i="32"/>
  <c r="M117" i="32"/>
  <c r="M116" i="32"/>
  <c r="M115" i="32"/>
  <c r="M114" i="32"/>
  <c r="M113" i="32"/>
  <c r="M112" i="32"/>
  <c r="M111" i="32"/>
  <c r="M110" i="32"/>
  <c r="M109" i="32"/>
  <c r="M108" i="32"/>
  <c r="M107" i="32"/>
  <c r="M106" i="32"/>
  <c r="M105" i="32"/>
  <c r="M104" i="32"/>
  <c r="M103" i="32"/>
  <c r="M102" i="32"/>
  <c r="M101" i="32"/>
  <c r="M100" i="32"/>
  <c r="M99" i="32"/>
  <c r="M98" i="32"/>
  <c r="M97" i="32"/>
  <c r="M96" i="32"/>
  <c r="M95" i="32"/>
  <c r="M94" i="32"/>
  <c r="M93" i="32"/>
  <c r="M92" i="32"/>
  <c r="M91" i="32"/>
  <c r="M90" i="32"/>
  <c r="M89" i="32"/>
  <c r="M88" i="32"/>
  <c r="M87" i="32"/>
  <c r="M86" i="32"/>
  <c r="M85" i="32"/>
  <c r="M84" i="32"/>
  <c r="M83" i="32"/>
  <c r="M82" i="32"/>
  <c r="M81" i="32"/>
  <c r="M80" i="32"/>
  <c r="M79" i="32"/>
  <c r="M78" i="32"/>
  <c r="M77" i="32"/>
  <c r="M76" i="32"/>
  <c r="M75" i="32"/>
  <c r="M74" i="32"/>
  <c r="M73" i="32"/>
  <c r="M72" i="32"/>
  <c r="M71" i="32"/>
  <c r="M70" i="32"/>
  <c r="M69" i="32"/>
  <c r="M68" i="32"/>
  <c r="M67" i="32"/>
  <c r="M66" i="32"/>
  <c r="M65" i="32"/>
  <c r="M64" i="32"/>
  <c r="M63" i="32"/>
  <c r="M62" i="32"/>
  <c r="M61" i="32"/>
  <c r="M60" i="32"/>
  <c r="M59" i="32"/>
  <c r="M58" i="32"/>
  <c r="M57" i="32"/>
  <c r="M56" i="32"/>
  <c r="M55" i="32"/>
  <c r="M54" i="32"/>
  <c r="M53" i="32"/>
  <c r="M52" i="32"/>
  <c r="M51" i="32"/>
  <c r="M50" i="32"/>
  <c r="M49" i="32"/>
  <c r="M48" i="32"/>
  <c r="M47" i="32"/>
  <c r="M46" i="32"/>
  <c r="M45" i="32"/>
  <c r="M44" i="32"/>
  <c r="M43" i="32"/>
  <c r="M42" i="32"/>
  <c r="M41" i="32"/>
  <c r="M40" i="32"/>
  <c r="M39" i="32"/>
  <c r="M38" i="32"/>
  <c r="M37" i="32"/>
  <c r="M36" i="32"/>
  <c r="M35" i="32"/>
  <c r="M34" i="32"/>
  <c r="M33" i="32"/>
  <c r="M32" i="32"/>
  <c r="M31" i="32"/>
  <c r="M30" i="32"/>
  <c r="M29" i="32"/>
  <c r="M28" i="32"/>
  <c r="M27" i="32"/>
  <c r="M26" i="32"/>
  <c r="M25" i="32"/>
  <c r="M24" i="32"/>
  <c r="M23" i="32"/>
  <c r="M22" i="32"/>
  <c r="M21" i="32"/>
  <c r="M20" i="32"/>
  <c r="M19" i="32"/>
  <c r="M18" i="32"/>
  <c r="M17" i="32"/>
  <c r="M16" i="32"/>
  <c r="M15" i="32"/>
  <c r="M14" i="32"/>
  <c r="M13" i="32"/>
  <c r="M12" i="32"/>
  <c r="M11" i="32"/>
  <c r="M10" i="32"/>
  <c r="M9" i="32"/>
  <c r="M8" i="32"/>
  <c r="M7" i="32"/>
  <c r="M6" i="32"/>
  <c r="M5" i="32"/>
  <c r="M4" i="32"/>
  <c r="M3" i="32"/>
  <c r="M2" i="32"/>
  <c r="M296" i="27"/>
  <c r="M295" i="27"/>
  <c r="M294" i="27"/>
  <c r="M293" i="27"/>
  <c r="M292" i="27"/>
  <c r="M291" i="27"/>
  <c r="M290" i="27"/>
  <c r="M289" i="27"/>
  <c r="M288" i="27"/>
  <c r="M287" i="27"/>
  <c r="M286" i="27"/>
  <c r="M285" i="27"/>
  <c r="M284" i="27"/>
  <c r="M283" i="27"/>
  <c r="M282" i="27"/>
  <c r="M281" i="27"/>
  <c r="M280" i="27"/>
  <c r="M279" i="27"/>
  <c r="M278" i="27"/>
  <c r="M277" i="27"/>
  <c r="M276" i="27"/>
  <c r="M275" i="27"/>
  <c r="M274" i="27"/>
  <c r="M273" i="27"/>
  <c r="M272" i="27"/>
  <c r="M271" i="27"/>
  <c r="M270" i="27"/>
  <c r="M269" i="27"/>
  <c r="M268" i="27"/>
  <c r="M267" i="27"/>
  <c r="M266" i="27"/>
  <c r="M265" i="27"/>
  <c r="M264" i="27"/>
  <c r="M263" i="27"/>
  <c r="M262" i="27"/>
  <c r="M261" i="27"/>
  <c r="M260" i="27"/>
  <c r="M259" i="27"/>
  <c r="M258" i="27"/>
  <c r="M257" i="27"/>
  <c r="M256" i="27"/>
  <c r="M255" i="27"/>
  <c r="M254" i="27"/>
  <c r="M253" i="27"/>
  <c r="M252" i="27"/>
  <c r="M251" i="27"/>
  <c r="M250" i="27"/>
  <c r="M249" i="27"/>
  <c r="M248" i="27"/>
  <c r="M247" i="27"/>
  <c r="M246" i="27"/>
  <c r="M245" i="27"/>
  <c r="M244" i="27"/>
  <c r="M243" i="27"/>
  <c r="M242" i="27"/>
  <c r="M241" i="27"/>
  <c r="M240" i="27"/>
  <c r="M239" i="27"/>
  <c r="M238" i="27"/>
  <c r="M237" i="27"/>
  <c r="M236" i="27"/>
  <c r="M235" i="27"/>
  <c r="M234" i="27"/>
  <c r="M233" i="27"/>
  <c r="M232" i="27"/>
  <c r="M231" i="27"/>
  <c r="M230" i="27"/>
  <c r="M229" i="27"/>
  <c r="M228" i="27"/>
  <c r="M227" i="27"/>
  <c r="M226" i="27"/>
  <c r="M225" i="27"/>
  <c r="M224" i="27"/>
  <c r="M223" i="27"/>
  <c r="M222" i="27"/>
  <c r="M221" i="27"/>
  <c r="M220" i="27"/>
  <c r="M219" i="27"/>
  <c r="M218" i="27"/>
  <c r="M217" i="27"/>
  <c r="M216" i="27"/>
  <c r="M215" i="27"/>
  <c r="M214" i="27"/>
  <c r="M213" i="27"/>
  <c r="M212" i="27"/>
  <c r="M211" i="27"/>
  <c r="M210" i="27"/>
  <c r="M209" i="27"/>
  <c r="M208" i="27"/>
  <c r="M207" i="27"/>
  <c r="M206" i="27"/>
  <c r="M205" i="27"/>
  <c r="M204" i="27"/>
  <c r="M203" i="27"/>
  <c r="M202" i="27"/>
  <c r="M201" i="27"/>
  <c r="M200" i="27"/>
  <c r="M199" i="27"/>
  <c r="M198" i="27"/>
  <c r="M197" i="27"/>
  <c r="M196" i="27"/>
  <c r="M195" i="27"/>
  <c r="M194" i="27"/>
  <c r="M193" i="27"/>
  <c r="M192" i="27"/>
  <c r="M191" i="27"/>
  <c r="M190" i="27"/>
  <c r="M189" i="27"/>
  <c r="M188" i="27"/>
  <c r="M187" i="27"/>
  <c r="M186" i="27"/>
  <c r="M185" i="27"/>
  <c r="M184" i="27"/>
  <c r="M183" i="27"/>
  <c r="M182" i="27"/>
  <c r="M181" i="27"/>
  <c r="M180" i="27"/>
  <c r="M179" i="27"/>
  <c r="M178" i="27"/>
  <c r="M177" i="27"/>
  <c r="M176" i="27"/>
  <c r="M175" i="27"/>
  <c r="M174" i="27"/>
  <c r="M173" i="27"/>
  <c r="M172" i="27"/>
  <c r="M171" i="27"/>
  <c r="M170" i="27"/>
  <c r="M169" i="27"/>
  <c r="M168" i="27"/>
  <c r="M167" i="27"/>
  <c r="M166" i="27"/>
  <c r="M165" i="27"/>
  <c r="M164" i="27"/>
  <c r="M163" i="27"/>
  <c r="M162" i="27"/>
  <c r="M161" i="27"/>
  <c r="M160" i="27"/>
  <c r="M159" i="27"/>
  <c r="M158" i="27"/>
  <c r="M157" i="27"/>
  <c r="M156" i="27"/>
  <c r="M155" i="27"/>
  <c r="M154" i="27"/>
  <c r="M153" i="27"/>
  <c r="M152" i="27"/>
  <c r="M151" i="27"/>
  <c r="M150" i="27"/>
  <c r="M149" i="27"/>
  <c r="M148" i="27"/>
  <c r="M147" i="27"/>
  <c r="M146" i="27"/>
  <c r="M145" i="27"/>
  <c r="M144" i="27"/>
  <c r="M143" i="27"/>
  <c r="M142" i="27"/>
  <c r="M141" i="27"/>
  <c r="M140" i="27"/>
  <c r="M139" i="27"/>
  <c r="M138" i="27"/>
  <c r="M137" i="27"/>
  <c r="M136" i="27"/>
  <c r="M135" i="27"/>
  <c r="M134" i="27"/>
  <c r="M133" i="27"/>
  <c r="M132" i="27"/>
  <c r="M131" i="27"/>
  <c r="M130" i="27"/>
  <c r="M129" i="27"/>
  <c r="M128" i="27"/>
  <c r="M127" i="27"/>
  <c r="M126" i="27"/>
  <c r="M125" i="27"/>
  <c r="M124" i="27"/>
  <c r="M123" i="27"/>
  <c r="M122" i="27"/>
  <c r="M121" i="27"/>
  <c r="M120" i="27"/>
  <c r="M119" i="27"/>
  <c r="M118" i="27"/>
  <c r="M117" i="27"/>
  <c r="M116" i="27"/>
  <c r="M115" i="27"/>
  <c r="M114" i="27"/>
  <c r="M113" i="27"/>
  <c r="M112" i="27"/>
  <c r="M111" i="27"/>
  <c r="M110" i="27"/>
  <c r="M109" i="27"/>
  <c r="M108" i="27"/>
  <c r="M107" i="27"/>
  <c r="M106" i="27"/>
  <c r="M105" i="27"/>
  <c r="M104" i="27"/>
  <c r="M103" i="27"/>
  <c r="M102" i="27"/>
  <c r="M101" i="27"/>
  <c r="M100" i="27"/>
  <c r="M99" i="27"/>
  <c r="M98" i="27"/>
  <c r="M97" i="27"/>
  <c r="M96" i="27"/>
  <c r="M95" i="27"/>
  <c r="M94" i="27"/>
  <c r="M93" i="27"/>
  <c r="M92" i="27"/>
  <c r="M91" i="27"/>
  <c r="M90" i="27"/>
  <c r="M89" i="27"/>
  <c r="M88" i="27"/>
  <c r="M87" i="27"/>
  <c r="M86" i="27"/>
  <c r="M85" i="27"/>
  <c r="M84" i="27"/>
  <c r="M83" i="27"/>
  <c r="M82" i="27"/>
  <c r="M81" i="27"/>
  <c r="M80" i="27"/>
  <c r="M79" i="27"/>
  <c r="M78" i="27"/>
  <c r="M77" i="27"/>
  <c r="M76" i="27"/>
  <c r="M75" i="27"/>
  <c r="M74" i="27"/>
  <c r="M73" i="27"/>
  <c r="M72" i="27"/>
  <c r="M71" i="27"/>
  <c r="M70" i="27"/>
  <c r="M69" i="27"/>
  <c r="M68" i="27"/>
  <c r="M67" i="27"/>
  <c r="M66" i="27"/>
  <c r="M65" i="27"/>
  <c r="M64" i="27"/>
  <c r="M63" i="27"/>
  <c r="M62" i="27"/>
  <c r="M61" i="27"/>
  <c r="M60" i="27"/>
  <c r="M59" i="27"/>
  <c r="M58" i="27"/>
  <c r="M57" i="27"/>
  <c r="M56" i="27"/>
  <c r="M55" i="27"/>
  <c r="M54" i="27"/>
  <c r="M53" i="27"/>
  <c r="M52" i="27"/>
  <c r="M51" i="27"/>
  <c r="M50" i="27"/>
  <c r="M49" i="27"/>
  <c r="M48" i="27"/>
  <c r="M47" i="27"/>
  <c r="M46" i="27"/>
  <c r="M45" i="27"/>
  <c r="M44" i="27"/>
  <c r="M43" i="27"/>
  <c r="M42" i="27"/>
  <c r="M41" i="27"/>
  <c r="M40" i="27"/>
  <c r="M39" i="27"/>
  <c r="M38" i="27"/>
  <c r="M37" i="27"/>
  <c r="M36" i="27"/>
  <c r="M35" i="27"/>
  <c r="M34" i="27"/>
  <c r="M33" i="27"/>
  <c r="M32" i="27"/>
  <c r="M31" i="27"/>
  <c r="M30" i="27"/>
  <c r="M29" i="27"/>
  <c r="M28" i="27"/>
  <c r="M27" i="27"/>
  <c r="M26" i="27"/>
  <c r="M25" i="27"/>
  <c r="M24" i="27"/>
  <c r="M23" i="27"/>
  <c r="M22" i="27"/>
  <c r="M21" i="27"/>
  <c r="M20" i="27"/>
  <c r="M19" i="27"/>
  <c r="M18" i="27"/>
  <c r="M17" i="27"/>
  <c r="M16" i="27"/>
  <c r="M15" i="27"/>
  <c r="M14" i="27"/>
  <c r="M13" i="27"/>
  <c r="M12" i="27"/>
  <c r="M11" i="27"/>
  <c r="M10" i="27"/>
  <c r="M9" i="27"/>
  <c r="M8" i="27"/>
  <c r="M7" i="27"/>
  <c r="M6" i="27"/>
  <c r="M5" i="27"/>
  <c r="M4" i="27"/>
  <c r="M3" i="27"/>
  <c r="M2" i="27"/>
  <c r="M233" i="26" l="1"/>
  <c r="M232" i="26"/>
  <c r="M231" i="26"/>
  <c r="M230" i="26"/>
  <c r="M229" i="26"/>
  <c r="M228" i="26"/>
  <c r="M227" i="26"/>
  <c r="M226" i="26"/>
  <c r="M225" i="26"/>
  <c r="M224" i="26"/>
  <c r="M223" i="26"/>
  <c r="M222" i="26"/>
  <c r="M221" i="26"/>
  <c r="M220" i="26"/>
  <c r="M219" i="26"/>
  <c r="M218" i="26"/>
  <c r="M217" i="26"/>
  <c r="M216" i="26"/>
  <c r="M215" i="26"/>
  <c r="M214" i="26"/>
  <c r="M213" i="26"/>
  <c r="M212" i="26"/>
  <c r="M211" i="26"/>
  <c r="M210" i="26"/>
  <c r="M209" i="26"/>
  <c r="M208" i="26"/>
  <c r="M207" i="26"/>
  <c r="M206" i="26"/>
  <c r="M205" i="26"/>
  <c r="M204" i="26"/>
  <c r="M203" i="26"/>
  <c r="M202" i="26"/>
  <c r="M201" i="26"/>
  <c r="M200" i="26"/>
  <c r="M199" i="26"/>
  <c r="M198" i="26"/>
  <c r="M197" i="26"/>
  <c r="M196" i="26"/>
  <c r="M195" i="26"/>
  <c r="M194" i="26"/>
  <c r="M193" i="26"/>
  <c r="M192" i="26"/>
  <c r="M191" i="26"/>
  <c r="M190" i="26"/>
  <c r="M189" i="26"/>
  <c r="M188" i="26"/>
  <c r="M187" i="26"/>
  <c r="M186" i="26"/>
  <c r="M185" i="26"/>
  <c r="M184" i="26"/>
  <c r="M183" i="26"/>
  <c r="M182" i="26"/>
  <c r="M181" i="26"/>
  <c r="M180" i="26"/>
  <c r="M179" i="26"/>
  <c r="M178" i="26"/>
  <c r="M177" i="26"/>
  <c r="M176" i="26"/>
  <c r="M175" i="26"/>
  <c r="M174" i="26"/>
  <c r="M173" i="26"/>
  <c r="M172" i="26"/>
  <c r="M171" i="26"/>
  <c r="M170" i="26"/>
  <c r="M169" i="26"/>
  <c r="M168" i="26"/>
  <c r="M167" i="26"/>
  <c r="M166" i="26"/>
  <c r="M165" i="26"/>
  <c r="M164" i="26"/>
  <c r="M163" i="26"/>
  <c r="M162" i="26"/>
  <c r="M161" i="26"/>
  <c r="M160" i="26"/>
  <c r="M159" i="26"/>
  <c r="M158" i="26"/>
  <c r="M157" i="26"/>
  <c r="M156" i="26"/>
  <c r="M155" i="26"/>
  <c r="M154" i="26"/>
  <c r="M153" i="26"/>
  <c r="M152" i="26"/>
  <c r="M151" i="26"/>
  <c r="M150" i="26"/>
  <c r="M149" i="26"/>
  <c r="M148" i="26"/>
  <c r="M147" i="26"/>
  <c r="M146" i="26"/>
  <c r="M145" i="26"/>
  <c r="M144" i="26"/>
  <c r="M143" i="26"/>
  <c r="M142" i="26"/>
  <c r="M141" i="26"/>
  <c r="M140" i="26"/>
  <c r="M139" i="26"/>
  <c r="M138" i="26"/>
  <c r="M137" i="26"/>
  <c r="M136" i="26"/>
  <c r="M135" i="26"/>
  <c r="M134" i="26"/>
  <c r="M133" i="26"/>
  <c r="M132" i="26"/>
  <c r="M131" i="26"/>
  <c r="M130" i="26"/>
  <c r="M129" i="26"/>
  <c r="M128" i="26"/>
  <c r="M127" i="26"/>
  <c r="M126" i="26"/>
  <c r="M125" i="26"/>
  <c r="M124" i="26"/>
  <c r="M123" i="26"/>
  <c r="M122" i="26"/>
  <c r="M121" i="26"/>
  <c r="M120" i="26"/>
  <c r="M119" i="26"/>
  <c r="M118" i="26"/>
  <c r="M117" i="26"/>
  <c r="M116" i="26"/>
  <c r="M115" i="26"/>
  <c r="M114" i="26"/>
  <c r="M113" i="26"/>
  <c r="M112" i="26"/>
  <c r="M111" i="26"/>
  <c r="M110" i="26"/>
  <c r="M109" i="26"/>
  <c r="M108" i="26"/>
  <c r="M107" i="26"/>
  <c r="M106" i="26"/>
  <c r="M105" i="26"/>
  <c r="M104" i="26"/>
  <c r="M103" i="26"/>
  <c r="M102" i="26"/>
  <c r="M101" i="26"/>
  <c r="M100" i="26"/>
  <c r="M99" i="26"/>
  <c r="M98" i="26"/>
  <c r="M97" i="26"/>
  <c r="M96" i="26"/>
  <c r="M95" i="26"/>
  <c r="M94" i="26"/>
  <c r="M93" i="26"/>
  <c r="M92" i="26"/>
  <c r="M91" i="26"/>
  <c r="M90" i="26"/>
  <c r="M89" i="26"/>
  <c r="M88" i="26"/>
  <c r="M87" i="26"/>
  <c r="M86" i="26"/>
  <c r="M85" i="26"/>
  <c r="M84" i="26"/>
  <c r="M83" i="26"/>
  <c r="M82" i="26"/>
  <c r="M81" i="26"/>
  <c r="M80" i="26"/>
  <c r="M79" i="26"/>
  <c r="M78" i="26"/>
  <c r="M77" i="26"/>
  <c r="M76" i="26"/>
  <c r="M75" i="26"/>
  <c r="M74" i="26"/>
  <c r="M73" i="26"/>
  <c r="M72" i="26"/>
  <c r="M71" i="26"/>
  <c r="M70" i="26"/>
  <c r="M69" i="26"/>
  <c r="M68" i="26"/>
  <c r="M67" i="26"/>
  <c r="M66" i="26"/>
  <c r="M65" i="26"/>
  <c r="M64" i="26"/>
  <c r="M63" i="26"/>
  <c r="M62" i="26"/>
  <c r="M61" i="26"/>
  <c r="M60" i="26"/>
  <c r="M59" i="26"/>
  <c r="M58" i="26"/>
  <c r="M57" i="26"/>
  <c r="M56" i="26"/>
  <c r="M55" i="26"/>
  <c r="M54" i="26"/>
  <c r="M53" i="26"/>
  <c r="M52" i="26"/>
  <c r="M51" i="26"/>
  <c r="M50" i="26"/>
  <c r="M49" i="26"/>
  <c r="M48" i="26"/>
  <c r="M47" i="26"/>
  <c r="M46" i="26"/>
  <c r="M45" i="26"/>
  <c r="M44" i="26"/>
  <c r="M43" i="26"/>
  <c r="M42" i="26"/>
  <c r="M41" i="26"/>
  <c r="M40" i="26"/>
  <c r="M39" i="26"/>
  <c r="M38" i="26"/>
  <c r="M37" i="26"/>
  <c r="M36" i="26"/>
  <c r="M35" i="26"/>
  <c r="M34" i="26"/>
  <c r="M33" i="26"/>
  <c r="M32" i="26"/>
  <c r="M31" i="26"/>
  <c r="M30" i="26"/>
  <c r="M29" i="26"/>
  <c r="M28" i="26"/>
  <c r="M27" i="26"/>
  <c r="M26" i="26"/>
  <c r="M25" i="26"/>
  <c r="M24" i="26"/>
  <c r="M23" i="26"/>
  <c r="M22" i="26"/>
  <c r="M21" i="26"/>
  <c r="M20" i="26"/>
  <c r="M19" i="26"/>
  <c r="M18" i="26"/>
  <c r="M17" i="26"/>
  <c r="M16" i="26"/>
  <c r="M15" i="26"/>
  <c r="M14" i="26"/>
  <c r="M13" i="26"/>
  <c r="M12" i="26"/>
  <c r="M11" i="26"/>
  <c r="M10" i="26"/>
  <c r="M9" i="26"/>
  <c r="M8" i="26"/>
  <c r="M7" i="26"/>
  <c r="M6" i="26"/>
  <c r="M5" i="26"/>
  <c r="M4" i="26"/>
  <c r="M3" i="26"/>
  <c r="M2" i="26"/>
  <c r="M222" i="24"/>
  <c r="M221" i="24"/>
  <c r="M220" i="24"/>
  <c r="M219" i="24"/>
  <c r="M218" i="24"/>
  <c r="M217" i="24"/>
  <c r="M216" i="24"/>
  <c r="M215" i="24"/>
  <c r="M214" i="24"/>
  <c r="M213" i="24"/>
  <c r="M212" i="24"/>
  <c r="M211" i="24"/>
  <c r="M210" i="24"/>
  <c r="M209" i="24"/>
  <c r="M208" i="24"/>
  <c r="M207" i="24"/>
  <c r="M206" i="24"/>
  <c r="M205" i="24"/>
  <c r="M204" i="24"/>
  <c r="M203" i="24"/>
  <c r="M202" i="24"/>
  <c r="M201" i="24"/>
  <c r="M200" i="24"/>
  <c r="M199" i="24"/>
  <c r="M198" i="24"/>
  <c r="M197" i="24"/>
  <c r="M196" i="24"/>
  <c r="M195" i="24"/>
  <c r="M194" i="24"/>
  <c r="M193" i="24"/>
  <c r="M192" i="24"/>
  <c r="M191" i="24"/>
  <c r="M190" i="24"/>
  <c r="M189" i="24"/>
  <c r="M188" i="24"/>
  <c r="M187" i="24"/>
  <c r="M186" i="24"/>
  <c r="M185" i="24"/>
  <c r="M184" i="24"/>
  <c r="M183" i="24"/>
  <c r="M182" i="24"/>
  <c r="M181" i="24"/>
  <c r="M180" i="24"/>
  <c r="M179" i="24"/>
  <c r="M178" i="24"/>
  <c r="M177" i="24"/>
  <c r="M176" i="24"/>
  <c r="M175" i="24"/>
  <c r="M174" i="24"/>
  <c r="M173" i="24"/>
  <c r="M172" i="24"/>
  <c r="M171" i="24"/>
  <c r="M170" i="24"/>
  <c r="M169" i="24"/>
  <c r="M168" i="24"/>
  <c r="M167" i="24"/>
  <c r="M166" i="24"/>
  <c r="M165" i="24"/>
  <c r="M164" i="24"/>
  <c r="M163" i="24"/>
  <c r="M162" i="24"/>
  <c r="M161" i="24"/>
  <c r="M160" i="24"/>
  <c r="M159" i="24"/>
  <c r="M158" i="24"/>
  <c r="M157" i="24"/>
  <c r="M156" i="24"/>
  <c r="M155" i="24"/>
  <c r="M154" i="24"/>
  <c r="M153" i="24"/>
  <c r="M152" i="24"/>
  <c r="M151" i="24"/>
  <c r="M150" i="24"/>
  <c r="M149" i="24"/>
  <c r="M148" i="24"/>
  <c r="M147" i="24"/>
  <c r="M146" i="24"/>
  <c r="M145" i="24"/>
  <c r="M144" i="24"/>
  <c r="M143" i="24"/>
  <c r="M142" i="24"/>
  <c r="M141" i="24"/>
  <c r="M140" i="24"/>
  <c r="M139" i="24"/>
  <c r="M138" i="24"/>
  <c r="M137" i="24"/>
  <c r="M136" i="24"/>
  <c r="M135" i="24"/>
  <c r="M134" i="24"/>
  <c r="M133" i="24"/>
  <c r="M132" i="24"/>
  <c r="M131" i="24"/>
  <c r="M130" i="24"/>
  <c r="M129" i="24"/>
  <c r="M128" i="24"/>
  <c r="M127" i="24"/>
  <c r="M126" i="24"/>
  <c r="M125" i="24"/>
  <c r="M124" i="24"/>
  <c r="M123" i="24"/>
  <c r="M122" i="24"/>
  <c r="M121" i="24"/>
  <c r="M120" i="24"/>
  <c r="M119" i="24"/>
  <c r="M118" i="24"/>
  <c r="M117" i="24"/>
  <c r="M116" i="24"/>
  <c r="M115" i="24"/>
  <c r="M114" i="24"/>
  <c r="M113" i="24"/>
  <c r="M112" i="24"/>
  <c r="M111" i="24"/>
  <c r="M110" i="24"/>
  <c r="M109" i="24"/>
  <c r="M108" i="24"/>
  <c r="M107" i="24"/>
  <c r="M106" i="24"/>
  <c r="M105" i="24"/>
  <c r="M104" i="24"/>
  <c r="M103" i="24"/>
  <c r="M102" i="24"/>
  <c r="M101" i="24"/>
  <c r="M100" i="24"/>
  <c r="M99" i="24"/>
  <c r="M98" i="24"/>
  <c r="M97" i="24"/>
  <c r="M96" i="24"/>
  <c r="M95" i="24"/>
  <c r="M94" i="24"/>
  <c r="M93" i="24"/>
  <c r="M92" i="24"/>
  <c r="M91" i="24"/>
  <c r="M90" i="24"/>
  <c r="M89" i="24"/>
  <c r="M88" i="24"/>
  <c r="M87" i="24"/>
  <c r="M86" i="24"/>
  <c r="M85" i="24"/>
  <c r="M84" i="24"/>
  <c r="M83" i="24"/>
  <c r="M82" i="24"/>
  <c r="M81" i="24"/>
  <c r="M80" i="24"/>
  <c r="M79" i="24"/>
  <c r="M78" i="24"/>
  <c r="M77" i="24"/>
  <c r="M76" i="24"/>
  <c r="M75" i="24"/>
  <c r="M74" i="24"/>
  <c r="M73" i="24"/>
  <c r="M72" i="24"/>
  <c r="M71" i="24"/>
  <c r="M70" i="24"/>
  <c r="M69" i="24"/>
  <c r="M68" i="24"/>
  <c r="M67" i="24"/>
  <c r="M66" i="24"/>
  <c r="M65" i="24"/>
  <c r="M64" i="24"/>
  <c r="M63" i="24"/>
  <c r="M62" i="24"/>
  <c r="M61" i="24"/>
  <c r="M60" i="24"/>
  <c r="M59" i="24"/>
  <c r="M58" i="24"/>
  <c r="M57" i="24"/>
  <c r="M56" i="24"/>
  <c r="M55" i="24"/>
  <c r="M54" i="24"/>
  <c r="M53" i="24"/>
  <c r="M52" i="24"/>
  <c r="M51" i="24"/>
  <c r="M50" i="24"/>
  <c r="M49" i="24"/>
  <c r="M48" i="24"/>
  <c r="M47" i="24"/>
  <c r="M46" i="24"/>
  <c r="M45" i="24"/>
  <c r="M44" i="24"/>
  <c r="M43" i="24"/>
  <c r="M42" i="24"/>
  <c r="M41" i="24"/>
  <c r="M40" i="24"/>
  <c r="M39" i="24"/>
  <c r="M38" i="24"/>
  <c r="M37" i="24"/>
  <c r="M36" i="24"/>
  <c r="M35" i="24"/>
  <c r="M34" i="24"/>
  <c r="M33" i="24"/>
  <c r="M32" i="24"/>
  <c r="M31" i="24"/>
  <c r="M30" i="24"/>
  <c r="M29" i="24"/>
  <c r="M28" i="24"/>
  <c r="M27" i="24"/>
  <c r="M26" i="24"/>
  <c r="M25" i="24"/>
  <c r="M24" i="24"/>
  <c r="M23" i="24"/>
  <c r="M22" i="24"/>
  <c r="M21" i="24"/>
  <c r="M20" i="24"/>
  <c r="M19" i="24"/>
  <c r="M18" i="24"/>
  <c r="M17" i="24"/>
  <c r="M16" i="24"/>
  <c r="M15" i="24"/>
  <c r="M14" i="24"/>
  <c r="M13" i="24"/>
  <c r="M12" i="24"/>
  <c r="M11" i="24"/>
  <c r="M10" i="24"/>
  <c r="M9" i="24"/>
  <c r="M8" i="24"/>
  <c r="M7" i="24"/>
  <c r="M6" i="24"/>
  <c r="M5" i="24"/>
  <c r="M4" i="24"/>
  <c r="M3" i="24"/>
  <c r="M2" i="24"/>
  <c r="M232" i="20"/>
  <c r="M231" i="20"/>
  <c r="M230" i="20"/>
  <c r="M229" i="20"/>
  <c r="M228" i="20"/>
  <c r="M227" i="20"/>
  <c r="M226" i="20"/>
  <c r="M225" i="20"/>
  <c r="M224" i="20"/>
  <c r="M223" i="20"/>
  <c r="M222" i="20"/>
  <c r="M221" i="20"/>
  <c r="M220" i="20"/>
  <c r="M219" i="20"/>
  <c r="M218" i="20"/>
  <c r="M217" i="20"/>
  <c r="M216" i="20"/>
  <c r="M215" i="20"/>
  <c r="M214" i="20"/>
  <c r="M213" i="20"/>
  <c r="M212" i="20"/>
  <c r="M211" i="20"/>
  <c r="M210" i="20"/>
  <c r="M209" i="20"/>
  <c r="M208" i="20"/>
  <c r="M207" i="20"/>
  <c r="M206" i="20"/>
  <c r="M205" i="20"/>
  <c r="M204" i="20"/>
  <c r="M203" i="20"/>
  <c r="M202" i="20"/>
  <c r="M201" i="20"/>
  <c r="M200" i="20"/>
  <c r="M199" i="20"/>
  <c r="M198" i="20"/>
  <c r="M197" i="20"/>
  <c r="M196" i="20"/>
  <c r="M195" i="20"/>
  <c r="M194" i="20"/>
  <c r="M193" i="20"/>
  <c r="M192" i="20"/>
  <c r="M191" i="20"/>
  <c r="M190" i="20"/>
  <c r="M189" i="20"/>
  <c r="M188" i="20"/>
  <c r="M187" i="20"/>
  <c r="M186" i="20"/>
  <c r="M185" i="20"/>
  <c r="M184" i="20"/>
  <c r="M183" i="20"/>
  <c r="M182" i="20"/>
  <c r="M181" i="20"/>
  <c r="M180" i="20"/>
  <c r="M179" i="20"/>
  <c r="M178" i="20"/>
  <c r="M177" i="20"/>
  <c r="M176" i="20"/>
  <c r="M175" i="20"/>
  <c r="M174" i="20"/>
  <c r="M173" i="20"/>
  <c r="M172" i="20"/>
  <c r="M171" i="20"/>
  <c r="M170" i="20"/>
  <c r="M169" i="20"/>
  <c r="M168" i="20"/>
  <c r="M167" i="20"/>
  <c r="M166" i="20"/>
  <c r="M165" i="20"/>
  <c r="M164" i="20"/>
  <c r="M163" i="20"/>
  <c r="M162" i="20"/>
  <c r="M161" i="20"/>
  <c r="M160" i="20"/>
  <c r="M159" i="20"/>
  <c r="M158" i="20"/>
  <c r="M157" i="20"/>
  <c r="M156" i="20"/>
  <c r="M155" i="20"/>
  <c r="M154" i="20"/>
  <c r="M153" i="20"/>
  <c r="M152" i="20"/>
  <c r="M151" i="20"/>
  <c r="M150" i="20"/>
  <c r="M149" i="20"/>
  <c r="M148" i="20"/>
  <c r="M147" i="20"/>
  <c r="M146" i="20"/>
  <c r="M145" i="20"/>
  <c r="M144" i="20"/>
  <c r="M143" i="20"/>
  <c r="M142" i="20"/>
  <c r="M141" i="20"/>
  <c r="M140" i="20"/>
  <c r="M139" i="20"/>
  <c r="M138" i="20"/>
  <c r="M137" i="20"/>
  <c r="M136" i="20"/>
  <c r="M135" i="20"/>
  <c r="M134" i="20"/>
  <c r="M133" i="20"/>
  <c r="M132" i="20"/>
  <c r="M131" i="20"/>
  <c r="M130" i="20"/>
  <c r="M129" i="20"/>
  <c r="M128" i="20"/>
  <c r="M127" i="20"/>
  <c r="M126" i="20"/>
  <c r="M125" i="20"/>
  <c r="M124" i="20"/>
  <c r="M123" i="20"/>
  <c r="M122" i="20"/>
  <c r="M121" i="20"/>
  <c r="M120" i="20"/>
  <c r="M119" i="20"/>
  <c r="M118" i="20"/>
  <c r="M117" i="20"/>
  <c r="M116" i="20"/>
  <c r="M115" i="20"/>
  <c r="M114" i="20"/>
  <c r="M113" i="20"/>
  <c r="M112" i="20"/>
  <c r="M111" i="20"/>
  <c r="M110" i="20"/>
  <c r="M109" i="20"/>
  <c r="M108" i="20"/>
  <c r="M107" i="20"/>
  <c r="M106" i="20"/>
  <c r="M105" i="20"/>
  <c r="M104" i="20"/>
  <c r="M103" i="20"/>
  <c r="M102" i="20"/>
  <c r="M101" i="20"/>
  <c r="M100" i="20"/>
  <c r="M99" i="20"/>
  <c r="M98" i="20"/>
  <c r="M97" i="20"/>
  <c r="M96" i="20"/>
  <c r="M95" i="20"/>
  <c r="M94" i="20"/>
  <c r="M93" i="20"/>
  <c r="M92" i="20"/>
  <c r="M91" i="20"/>
  <c r="M90" i="20"/>
  <c r="M89" i="20"/>
  <c r="M88" i="20"/>
  <c r="M87" i="20"/>
  <c r="M86" i="20"/>
  <c r="M85" i="20"/>
  <c r="M84" i="20"/>
  <c r="M83" i="20"/>
  <c r="M82" i="20"/>
  <c r="M81" i="20"/>
  <c r="M80" i="20"/>
  <c r="M79" i="20"/>
  <c r="M78" i="20"/>
  <c r="M77" i="20"/>
  <c r="M76" i="20"/>
  <c r="M75" i="20"/>
  <c r="M74" i="20"/>
  <c r="M73" i="20"/>
  <c r="M72" i="20"/>
  <c r="M71" i="20"/>
  <c r="M70" i="20"/>
  <c r="M69" i="20"/>
  <c r="M68" i="20"/>
  <c r="M67" i="20"/>
  <c r="M66" i="20"/>
  <c r="M65" i="20"/>
  <c r="M64" i="20"/>
  <c r="M63" i="20"/>
  <c r="M62" i="20"/>
  <c r="M61" i="20"/>
  <c r="M60" i="20"/>
  <c r="M59" i="20"/>
  <c r="M58" i="20"/>
  <c r="M57" i="20"/>
  <c r="M56" i="20"/>
  <c r="M55" i="20"/>
  <c r="M54" i="20"/>
  <c r="M53" i="20"/>
  <c r="M52" i="20"/>
  <c r="M51" i="20"/>
  <c r="M50" i="20"/>
  <c r="M49" i="20"/>
  <c r="M48" i="20"/>
  <c r="M47" i="20"/>
  <c r="M46" i="20"/>
  <c r="M45" i="20"/>
  <c r="M44" i="20"/>
  <c r="M43" i="20"/>
  <c r="M42" i="20"/>
  <c r="M41" i="20"/>
  <c r="M40" i="20"/>
  <c r="M39" i="20"/>
  <c r="M38" i="20"/>
  <c r="M37" i="20"/>
  <c r="M36" i="20"/>
  <c r="M35" i="20"/>
  <c r="M34" i="20"/>
  <c r="M33" i="20"/>
  <c r="M32" i="20"/>
  <c r="M31" i="20"/>
  <c r="M30" i="20"/>
  <c r="M29" i="20"/>
  <c r="M28" i="20"/>
  <c r="M27" i="20"/>
  <c r="M26" i="20"/>
  <c r="M25" i="20"/>
  <c r="M24" i="20"/>
  <c r="M23" i="20"/>
  <c r="M22" i="20"/>
  <c r="M21" i="20"/>
  <c r="M20" i="20"/>
  <c r="M19" i="20"/>
  <c r="M18" i="20"/>
  <c r="M17" i="20"/>
  <c r="M16" i="20"/>
  <c r="M15" i="20"/>
  <c r="M14" i="20"/>
  <c r="M13" i="20"/>
  <c r="M12" i="20"/>
  <c r="M11" i="20"/>
  <c r="M10" i="20"/>
  <c r="M9" i="20"/>
  <c r="M8" i="20"/>
  <c r="M7" i="20"/>
  <c r="M6" i="20"/>
  <c r="M5" i="20"/>
  <c r="M4" i="20"/>
  <c r="M3" i="20"/>
  <c r="M2" i="20"/>
  <c r="M190" i="17"/>
  <c r="M189" i="17"/>
  <c r="M188" i="17"/>
  <c r="M187" i="17"/>
  <c r="M186" i="17"/>
  <c r="M185" i="17"/>
  <c r="M184" i="17"/>
  <c r="M183" i="17"/>
  <c r="M182" i="17"/>
  <c r="M181" i="17"/>
  <c r="M180" i="17"/>
  <c r="M179" i="17"/>
  <c r="M178" i="17"/>
  <c r="M177" i="17"/>
  <c r="M176" i="17"/>
  <c r="M175" i="17"/>
  <c r="M174" i="17"/>
  <c r="M173" i="17"/>
  <c r="M172" i="17"/>
  <c r="M171" i="17"/>
  <c r="M170" i="17"/>
  <c r="M169" i="17"/>
  <c r="M168" i="17"/>
  <c r="M167" i="17"/>
  <c r="M166" i="17"/>
  <c r="M165" i="17"/>
  <c r="M164" i="17"/>
  <c r="M163" i="17"/>
  <c r="M162" i="17"/>
  <c r="M161" i="17"/>
  <c r="M160" i="17"/>
  <c r="M159" i="17"/>
  <c r="M158" i="17"/>
  <c r="M157" i="17"/>
  <c r="M156" i="17"/>
  <c r="M155" i="17"/>
  <c r="M154" i="17"/>
  <c r="M153" i="17"/>
  <c r="M152" i="17"/>
  <c r="M151" i="17"/>
  <c r="M150" i="17"/>
  <c r="M149" i="17"/>
  <c r="M148" i="17"/>
  <c r="M147" i="17"/>
  <c r="M146" i="17"/>
  <c r="M145" i="17"/>
  <c r="M144" i="17"/>
  <c r="M143" i="17"/>
  <c r="M142" i="17"/>
  <c r="M141" i="17"/>
  <c r="M140" i="17"/>
  <c r="M139" i="17"/>
  <c r="M138" i="17"/>
  <c r="M137" i="17"/>
  <c r="M136" i="17"/>
  <c r="M135" i="17"/>
  <c r="M134" i="17"/>
  <c r="M133" i="17"/>
  <c r="M132" i="17"/>
  <c r="M131" i="17"/>
  <c r="M130" i="17"/>
  <c r="M129" i="17"/>
  <c r="M128" i="17"/>
  <c r="M127" i="17"/>
  <c r="M126" i="17"/>
  <c r="M125" i="17"/>
  <c r="M124" i="17"/>
  <c r="M123" i="17"/>
  <c r="M122" i="17"/>
  <c r="M121" i="17"/>
  <c r="M120" i="17"/>
  <c r="M119" i="17"/>
  <c r="M118" i="17"/>
  <c r="M117" i="17"/>
  <c r="M116" i="17"/>
  <c r="M115" i="17"/>
  <c r="M114" i="17"/>
  <c r="M113" i="17"/>
  <c r="M112" i="17"/>
  <c r="M111" i="17"/>
  <c r="M110" i="17"/>
  <c r="M109" i="17"/>
  <c r="M108" i="17"/>
  <c r="M107" i="17"/>
  <c r="M106" i="17"/>
  <c r="M105" i="17"/>
  <c r="M104" i="17"/>
  <c r="M103" i="17"/>
  <c r="M102" i="17"/>
  <c r="M101" i="17"/>
  <c r="M100" i="17"/>
  <c r="M99" i="17"/>
  <c r="M98" i="17"/>
  <c r="M97" i="17"/>
  <c r="M96" i="17"/>
  <c r="M95" i="17"/>
  <c r="M94" i="17"/>
  <c r="M93" i="17"/>
  <c r="M92" i="17"/>
  <c r="M91" i="17"/>
  <c r="M90" i="17"/>
  <c r="M89" i="17"/>
  <c r="M88" i="17"/>
  <c r="M87" i="17"/>
  <c r="M86" i="17"/>
  <c r="M85" i="17"/>
  <c r="M84" i="17"/>
  <c r="M83" i="17"/>
  <c r="M82" i="17"/>
  <c r="M81" i="17"/>
  <c r="M80" i="17"/>
  <c r="M79" i="17"/>
  <c r="M78" i="17"/>
  <c r="M77" i="17"/>
  <c r="M76" i="17"/>
  <c r="M75" i="17"/>
  <c r="M74" i="17"/>
  <c r="M73" i="17"/>
  <c r="M72" i="17"/>
  <c r="M71" i="17"/>
  <c r="M70" i="17"/>
  <c r="M69" i="17"/>
  <c r="M68" i="17"/>
  <c r="M67" i="17"/>
  <c r="M66" i="17"/>
  <c r="M65" i="17"/>
  <c r="M64" i="17"/>
  <c r="M63" i="17"/>
  <c r="M62" i="17"/>
  <c r="M61" i="17"/>
  <c r="M60" i="17"/>
  <c r="M59" i="17"/>
  <c r="M58" i="17"/>
  <c r="M57" i="17"/>
  <c r="M56" i="17"/>
  <c r="M55" i="17"/>
  <c r="M54" i="17"/>
  <c r="M53" i="17"/>
  <c r="M52" i="17"/>
  <c r="M51" i="17"/>
  <c r="M50" i="17"/>
  <c r="M49" i="17"/>
  <c r="M48" i="17"/>
  <c r="M47" i="17"/>
  <c r="M46" i="17"/>
  <c r="M45" i="17"/>
  <c r="M44" i="17"/>
  <c r="M43" i="17"/>
  <c r="M42" i="17"/>
  <c r="M41" i="17"/>
  <c r="M40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10" i="17"/>
  <c r="M9" i="17"/>
  <c r="M8" i="17"/>
  <c r="M7" i="17"/>
  <c r="M6" i="17"/>
  <c r="M5" i="17"/>
  <c r="M4" i="17"/>
  <c r="M3" i="17"/>
  <c r="M2" i="17"/>
  <c r="M234" i="10"/>
  <c r="M233" i="10"/>
  <c r="M232" i="10"/>
  <c r="M231" i="10"/>
  <c r="M230" i="10"/>
  <c r="M229" i="10"/>
  <c r="M228" i="10"/>
  <c r="M227" i="10"/>
  <c r="M226" i="10"/>
  <c r="M225" i="10"/>
  <c r="M224" i="10"/>
  <c r="M223" i="10"/>
  <c r="M222" i="10"/>
  <c r="M221" i="10"/>
  <c r="M220" i="10"/>
  <c r="M219" i="10"/>
  <c r="M218" i="10"/>
  <c r="M217" i="10"/>
  <c r="M216" i="10"/>
  <c r="M215" i="10"/>
  <c r="M214" i="10"/>
  <c r="M213" i="10"/>
  <c r="M212" i="10"/>
  <c r="M211" i="10"/>
  <c r="M210" i="10"/>
  <c r="M209" i="10"/>
  <c r="M208" i="10"/>
  <c r="M207" i="10"/>
  <c r="M206" i="10"/>
  <c r="M205" i="10"/>
  <c r="M204" i="10"/>
  <c r="M203" i="10"/>
  <c r="M202" i="10"/>
  <c r="M201" i="10"/>
  <c r="M200" i="10"/>
  <c r="M199" i="10"/>
  <c r="M198" i="10"/>
  <c r="M197" i="10"/>
  <c r="M196" i="10"/>
  <c r="M195" i="10"/>
  <c r="M194" i="10"/>
  <c r="M193" i="10"/>
  <c r="M192" i="10"/>
  <c r="M191" i="10"/>
  <c r="M190" i="10"/>
  <c r="M189" i="10"/>
  <c r="M188" i="10"/>
  <c r="M187" i="10"/>
  <c r="M186" i="10"/>
  <c r="M185" i="10"/>
  <c r="M184" i="10"/>
  <c r="M183" i="10"/>
  <c r="M182" i="10"/>
  <c r="M181" i="10"/>
  <c r="M180" i="10"/>
  <c r="M179" i="10"/>
  <c r="M178" i="10"/>
  <c r="M177" i="10"/>
  <c r="M176" i="10"/>
  <c r="M175" i="10"/>
  <c r="M174" i="10"/>
  <c r="M173" i="10"/>
  <c r="M172" i="10"/>
  <c r="M171" i="10"/>
  <c r="M170" i="10"/>
  <c r="M169" i="10"/>
  <c r="M168" i="10"/>
  <c r="M167" i="10"/>
  <c r="M166" i="10"/>
  <c r="M165" i="10"/>
  <c r="M164" i="10"/>
  <c r="M163" i="10"/>
  <c r="M162" i="10"/>
  <c r="M161" i="10"/>
  <c r="M160" i="10"/>
  <c r="M159" i="10"/>
  <c r="M158" i="10"/>
  <c r="M157" i="10"/>
  <c r="M156" i="10"/>
  <c r="M155" i="10"/>
  <c r="M154" i="10"/>
  <c r="M153" i="10"/>
  <c r="M152" i="10"/>
  <c r="M151" i="10"/>
  <c r="M150" i="10"/>
  <c r="M149" i="10"/>
  <c r="M148" i="10"/>
  <c r="M147" i="10"/>
  <c r="M146" i="10"/>
  <c r="M145" i="10"/>
  <c r="M144" i="10"/>
  <c r="M143" i="10"/>
  <c r="M142" i="10"/>
  <c r="M141" i="10"/>
  <c r="M140" i="10"/>
  <c r="M139" i="10"/>
  <c r="M138" i="10"/>
  <c r="M137" i="10"/>
  <c r="M136" i="10"/>
  <c r="M135" i="10"/>
  <c r="M134" i="10"/>
  <c r="M133" i="10"/>
  <c r="M132" i="10"/>
  <c r="M131" i="10"/>
  <c r="M130" i="10"/>
  <c r="M129" i="10"/>
  <c r="M128" i="10"/>
  <c r="M127" i="10"/>
  <c r="M126" i="10"/>
  <c r="M125" i="10"/>
  <c r="M124" i="10"/>
  <c r="M123" i="10"/>
  <c r="M122" i="10"/>
  <c r="M121" i="10"/>
  <c r="M120" i="10"/>
  <c r="M119" i="10"/>
  <c r="M118" i="10"/>
  <c r="M117" i="10"/>
  <c r="M116" i="10"/>
  <c r="M115" i="10"/>
  <c r="M114" i="10"/>
  <c r="M113" i="10"/>
  <c r="M112" i="10"/>
  <c r="M111" i="10"/>
  <c r="M110" i="10"/>
  <c r="M109" i="10"/>
  <c r="M108" i="10"/>
  <c r="M107" i="10"/>
  <c r="M106" i="10"/>
  <c r="M105" i="10"/>
  <c r="M104" i="10"/>
  <c r="M103" i="10"/>
  <c r="M102" i="10"/>
  <c r="M101" i="10"/>
  <c r="M100" i="10"/>
  <c r="M99" i="10"/>
  <c r="M98" i="10"/>
  <c r="M97" i="10"/>
  <c r="M96" i="10"/>
  <c r="M95" i="10"/>
  <c r="M94" i="10"/>
  <c r="M93" i="10"/>
  <c r="M92" i="10"/>
  <c r="M91" i="10"/>
  <c r="M90" i="10"/>
  <c r="M89" i="10"/>
  <c r="M88" i="10"/>
  <c r="M87" i="10"/>
  <c r="M86" i="10"/>
  <c r="M85" i="10"/>
  <c r="M84" i="10"/>
  <c r="M83" i="10"/>
  <c r="M82" i="10"/>
  <c r="M81" i="10"/>
  <c r="M80" i="10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  <c r="M4" i="10"/>
  <c r="M3" i="10"/>
  <c r="M2" i="10"/>
  <c r="M249" i="9"/>
  <c r="M248" i="9"/>
  <c r="M247" i="9"/>
  <c r="M246" i="9"/>
  <c r="M245" i="9"/>
  <c r="M244" i="9"/>
  <c r="M243" i="9"/>
  <c r="M242" i="9"/>
  <c r="M241" i="9"/>
  <c r="M240" i="9"/>
  <c r="M239" i="9"/>
  <c r="M238" i="9"/>
  <c r="M237" i="9"/>
  <c r="M236" i="9"/>
  <c r="M235" i="9"/>
  <c r="M234" i="9"/>
  <c r="M233" i="9"/>
  <c r="M232" i="9"/>
  <c r="M231" i="9"/>
  <c r="M230" i="9"/>
  <c r="M229" i="9"/>
  <c r="M228" i="9"/>
  <c r="M227" i="9"/>
  <c r="M226" i="9"/>
  <c r="M225" i="9"/>
  <c r="M224" i="9"/>
  <c r="M223" i="9"/>
  <c r="M222" i="9"/>
  <c r="M221" i="9"/>
  <c r="M220" i="9"/>
  <c r="M219" i="9"/>
  <c r="M218" i="9"/>
  <c r="M217" i="9"/>
  <c r="M216" i="9"/>
  <c r="M215" i="9"/>
  <c r="M214" i="9"/>
  <c r="M213" i="9"/>
  <c r="M212" i="9"/>
  <c r="M211" i="9"/>
  <c r="M210" i="9"/>
  <c r="M209" i="9"/>
  <c r="M208" i="9"/>
  <c r="M207" i="9"/>
  <c r="M206" i="9"/>
  <c r="M205" i="9"/>
  <c r="M204" i="9"/>
  <c r="M203" i="9"/>
  <c r="M202" i="9"/>
  <c r="M201" i="9"/>
  <c r="M200" i="9"/>
  <c r="M199" i="9"/>
  <c r="M198" i="9"/>
  <c r="M197" i="9"/>
  <c r="M196" i="9"/>
  <c r="M195" i="9"/>
  <c r="M194" i="9"/>
  <c r="M193" i="9"/>
  <c r="M192" i="9"/>
  <c r="M191" i="9"/>
  <c r="M190" i="9"/>
  <c r="M189" i="9"/>
  <c r="M188" i="9"/>
  <c r="M187" i="9"/>
  <c r="M186" i="9"/>
  <c r="M185" i="9"/>
  <c r="M184" i="9"/>
  <c r="M183" i="9"/>
  <c r="M182" i="9"/>
  <c r="M181" i="9"/>
  <c r="M180" i="9"/>
  <c r="M179" i="9"/>
  <c r="M178" i="9"/>
  <c r="M177" i="9"/>
  <c r="M176" i="9"/>
  <c r="M175" i="9"/>
  <c r="M174" i="9"/>
  <c r="M173" i="9"/>
  <c r="M172" i="9"/>
  <c r="M171" i="9"/>
  <c r="M170" i="9"/>
  <c r="M169" i="9"/>
  <c r="M168" i="9"/>
  <c r="M167" i="9"/>
  <c r="M166" i="9"/>
  <c r="M165" i="9"/>
  <c r="M164" i="9"/>
  <c r="M163" i="9"/>
  <c r="M162" i="9"/>
  <c r="M161" i="9"/>
  <c r="M160" i="9"/>
  <c r="M159" i="9"/>
  <c r="M158" i="9"/>
  <c r="M157" i="9"/>
  <c r="M156" i="9"/>
  <c r="M155" i="9"/>
  <c r="M154" i="9"/>
  <c r="M153" i="9"/>
  <c r="M152" i="9"/>
  <c r="M151" i="9"/>
  <c r="M150" i="9"/>
  <c r="M149" i="9"/>
  <c r="M148" i="9"/>
  <c r="M147" i="9"/>
  <c r="M146" i="9"/>
  <c r="M145" i="9"/>
  <c r="M144" i="9"/>
  <c r="M143" i="9"/>
  <c r="M142" i="9"/>
  <c r="M141" i="9"/>
  <c r="M140" i="9"/>
  <c r="M139" i="9"/>
  <c r="M138" i="9"/>
  <c r="M137" i="9"/>
  <c r="M136" i="9"/>
  <c r="M135" i="9"/>
  <c r="M134" i="9"/>
  <c r="M133" i="9"/>
  <c r="M132" i="9"/>
  <c r="M131" i="9"/>
  <c r="M130" i="9"/>
  <c r="M129" i="9"/>
  <c r="M128" i="9"/>
  <c r="M127" i="9"/>
  <c r="M126" i="9"/>
  <c r="M125" i="9"/>
  <c r="M124" i="9"/>
  <c r="M123" i="9"/>
  <c r="M122" i="9"/>
  <c r="M121" i="9"/>
  <c r="M120" i="9"/>
  <c r="M119" i="9"/>
  <c r="M118" i="9"/>
  <c r="M117" i="9"/>
  <c r="M116" i="9"/>
  <c r="M115" i="9"/>
  <c r="M114" i="9"/>
  <c r="M113" i="9"/>
  <c r="M112" i="9"/>
  <c r="M111" i="9"/>
  <c r="M110" i="9"/>
  <c r="M109" i="9"/>
  <c r="M108" i="9"/>
  <c r="M107" i="9"/>
  <c r="M106" i="9"/>
  <c r="M105" i="9"/>
  <c r="M104" i="9"/>
  <c r="M103" i="9"/>
  <c r="M102" i="9"/>
  <c r="M101" i="9"/>
  <c r="M100" i="9"/>
  <c r="M99" i="9"/>
  <c r="M98" i="9"/>
  <c r="M97" i="9"/>
  <c r="M96" i="9"/>
  <c r="M95" i="9"/>
  <c r="M94" i="9"/>
  <c r="M93" i="9"/>
  <c r="M92" i="9"/>
  <c r="M91" i="9"/>
  <c r="M90" i="9"/>
  <c r="M89" i="9"/>
  <c r="M88" i="9"/>
  <c r="M87" i="9"/>
  <c r="M86" i="9"/>
  <c r="M85" i="9"/>
  <c r="M84" i="9"/>
  <c r="M83" i="9"/>
  <c r="M82" i="9"/>
  <c r="M81" i="9"/>
  <c r="M80" i="9"/>
  <c r="M79" i="9"/>
  <c r="M78" i="9"/>
  <c r="M77" i="9"/>
  <c r="M76" i="9"/>
  <c r="M75" i="9"/>
  <c r="M74" i="9"/>
  <c r="M73" i="9"/>
  <c r="M72" i="9"/>
  <c r="M71" i="9"/>
  <c r="M70" i="9"/>
  <c r="M69" i="9"/>
  <c r="M68" i="9"/>
  <c r="M67" i="9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M4" i="9"/>
  <c r="M3" i="9"/>
  <c r="M2" i="9"/>
</calcChain>
</file>

<file path=xl/sharedStrings.xml><?xml version="1.0" encoding="utf-8"?>
<sst xmlns="http://schemas.openxmlformats.org/spreadsheetml/2006/main" count="45661" uniqueCount="11930">
  <si>
    <t>UPC</t>
  </si>
  <si>
    <t>MED BLUE</t>
  </si>
  <si>
    <t>LEVI'S RTW</t>
  </si>
  <si>
    <t>LEVI STRAUSS</t>
  </si>
  <si>
    <t>BLACK</t>
  </si>
  <si>
    <t>S</t>
  </si>
  <si>
    <t>JESSICA SMPSN</t>
  </si>
  <si>
    <t>JESSICA SIMPSON/NINE WEST HOLDINGS</t>
  </si>
  <si>
    <t>LT/PASBLUE</t>
  </si>
  <si>
    <t>P6FD77B</t>
  </si>
  <si>
    <t>BLUE</t>
  </si>
  <si>
    <t>20W</t>
  </si>
  <si>
    <t>A-RAG PLUS</t>
  </si>
  <si>
    <t>AMERICAN RAG-EDI/TARRANT</t>
  </si>
  <si>
    <t>24W</t>
  </si>
  <si>
    <t>REDOVERFLW</t>
  </si>
  <si>
    <t>30X32</t>
  </si>
  <si>
    <t>CALVIN KLEIN</t>
  </si>
  <si>
    <t>CALVIN KLEIN JEANS/WARNACO GROUP</t>
  </si>
  <si>
    <t>42ZW157</t>
  </si>
  <si>
    <t>MED PINK</t>
  </si>
  <si>
    <t>M</t>
  </si>
  <si>
    <t>RED</t>
  </si>
  <si>
    <t>13</t>
  </si>
  <si>
    <t>JR SOC DRESS</t>
  </si>
  <si>
    <t>CITY TRIANGLES-JODI KRISTOPHER</t>
  </si>
  <si>
    <t>DARK RED</t>
  </si>
  <si>
    <t>ROXY</t>
  </si>
  <si>
    <t>ROXY/QUIKSILVER</t>
  </si>
  <si>
    <t>DARK BLUE</t>
  </si>
  <si>
    <t>3X</t>
  </si>
  <si>
    <t>AMERICAN RAG-EDI/ARAGUP</t>
  </si>
  <si>
    <t>1X</t>
  </si>
  <si>
    <t>LT/PAS GRY</t>
  </si>
  <si>
    <t>XS NO CUP</t>
  </si>
  <si>
    <t>JUMP APPAREL</t>
  </si>
  <si>
    <t>CHARCOAL</t>
  </si>
  <si>
    <t>XOXO</t>
  </si>
  <si>
    <t>XOXO DRESS DIV/KELLWOOD COMPANY</t>
  </si>
  <si>
    <t>WINE</t>
  </si>
  <si>
    <t>LARGE</t>
  </si>
  <si>
    <t>AMERCN RAG JR</t>
  </si>
  <si>
    <t>IN AWE</t>
  </si>
  <si>
    <t>JAYA APPAREL GROUP/JAYA APPAREL GRO</t>
  </si>
  <si>
    <t>6BW10</t>
  </si>
  <si>
    <t>AMERICAN RAG-MMG/TARRANT</t>
  </si>
  <si>
    <t>889775098081</t>
  </si>
  <si>
    <t>American Rag Trendy Plus Size Floral-Print Oatmeal Combo 3X</t>
  </si>
  <si>
    <t>P6SX21D</t>
  </si>
  <si>
    <t>LT BEIGE</t>
  </si>
  <si>
    <t>2X</t>
  </si>
  <si>
    <t>AMERICAN RAG-EDI/LA MAMBA LLC</t>
  </si>
  <si>
    <t>XS</t>
  </si>
  <si>
    <t>MTRL GRL/QTN</t>
  </si>
  <si>
    <t>MATERIAL GIRL-EDI/TOPSON DOWNS/MMG</t>
  </si>
  <si>
    <t>822982609480</t>
  </si>
  <si>
    <t>Jessica Simpson Wilma Printed High-Low Top Romantic Floral Print M</t>
  </si>
  <si>
    <t>822982628061</t>
  </si>
  <si>
    <t>Jessica Simpson Lise Lace-Up Embroidered Top Sky Captain Blue XS</t>
  </si>
  <si>
    <t>NAVY</t>
  </si>
  <si>
    <t>10243DW204</t>
  </si>
  <si>
    <t>888825757428</t>
  </si>
  <si>
    <t>Material Girl Juniors Strappy Illusion Lace Pale Blush XXS</t>
  </si>
  <si>
    <t>10038PL204</t>
  </si>
  <si>
    <t>PINK</t>
  </si>
  <si>
    <t>XXS</t>
  </si>
  <si>
    <t>BEIGE</t>
  </si>
  <si>
    <t>BEE DARLIN' INC</t>
  </si>
  <si>
    <t>AMERICAN RAG-EDI/ARAGTOPD</t>
  </si>
  <si>
    <t>3</t>
  </si>
  <si>
    <t>JUNIOR DRESS</t>
  </si>
  <si>
    <t>XL</t>
  </si>
  <si>
    <t>829092299204</t>
  </si>
  <si>
    <t>XOXO Juniors Wide-Leg Trousers Red 34</t>
  </si>
  <si>
    <t>8534TPR5</t>
  </si>
  <si>
    <t>MEDIUM RED</t>
  </si>
  <si>
    <t>AMERICAN RAG-EDI/LDLA CLOTHING</t>
  </si>
  <si>
    <t>768594155611</t>
  </si>
  <si>
    <t>American Rag Cami T-Shirt Dress Coral XS</t>
  </si>
  <si>
    <t>52648AR</t>
  </si>
  <si>
    <t>AMERICAN RAG-EDI/TEN SEXTY SHERMAN</t>
  </si>
  <si>
    <t>W04236AR</t>
  </si>
  <si>
    <t>WHITE</t>
  </si>
  <si>
    <t>AMERICAN RAG-EDI/ARAGBOG</t>
  </si>
  <si>
    <t>889775065267</t>
  </si>
  <si>
    <t>American Rag Striped Rib-Knit Dress Grey Combo S</t>
  </si>
  <si>
    <t>6BR25BEGC</t>
  </si>
  <si>
    <t>713701112100</t>
  </si>
  <si>
    <t>American Rag Emnbroidered Off-the-Shoulder Deep Teal S</t>
  </si>
  <si>
    <t>12873AR</t>
  </si>
  <si>
    <t>AMERICAN RAG-EDI/ARAGUFAB</t>
  </si>
  <si>
    <t>6FW03B</t>
  </si>
  <si>
    <t>6SX21K</t>
  </si>
  <si>
    <t>6BW76</t>
  </si>
  <si>
    <t>GREEN</t>
  </si>
  <si>
    <t>889775090405</t>
  </si>
  <si>
    <t>American Rag Embellished Cold-Shoulder Peas Teal S</t>
  </si>
  <si>
    <t>2R9986AR</t>
  </si>
  <si>
    <t>889237844195</t>
  </si>
  <si>
    <t>As U Wish Juniors Velvet Burnout Slip D Black XS</t>
  </si>
  <si>
    <t>I478504C4</t>
  </si>
  <si>
    <t>SECRET CHARM LLC</t>
  </si>
  <si>
    <t>P5MK60</t>
  </si>
  <si>
    <t>BRGHT PINK</t>
  </si>
  <si>
    <t>759880685318</t>
  </si>
  <si>
    <t>American Rag Juniors Button-Down Faux-Sued Tan 5</t>
  </si>
  <si>
    <t>T6146XARTA</t>
  </si>
  <si>
    <t>MED BROWN</t>
  </si>
  <si>
    <t>5 AV/MD/RG</t>
  </si>
  <si>
    <t>AMERICAN RAG-EDI/XOXO-KELLWOOD</t>
  </si>
  <si>
    <t>7 AV/MD/RG</t>
  </si>
  <si>
    <t>759880688890</t>
  </si>
  <si>
    <t>American Rag Juniors Button-Down Faux-Sued Tan 15</t>
  </si>
  <si>
    <t>15</t>
  </si>
  <si>
    <t>829092284941</t>
  </si>
  <si>
    <t>XOXO Juniors Grommet-Trim Sweater Black M</t>
  </si>
  <si>
    <t>4800XER</t>
  </si>
  <si>
    <t>829092199818</t>
  </si>
  <si>
    <t>XOXO Juniors Embellished V-Back To Ivory S</t>
  </si>
  <si>
    <t>3457MGC3</t>
  </si>
  <si>
    <t>637677178048</t>
  </si>
  <si>
    <t>Material Girl Juniors Striped Slip Dress wi Black S</t>
  </si>
  <si>
    <t>10330MG</t>
  </si>
  <si>
    <t>MATERIAL GIRL-EDI/ALL ACCESS AP/MMG</t>
  </si>
  <si>
    <t>887840184622</t>
  </si>
  <si>
    <t>Emerald Sundae Juniors Illusion Lace Romper Sand XS</t>
  </si>
  <si>
    <t>ERP2676236</t>
  </si>
  <si>
    <t>LT/PAS BWN</t>
  </si>
  <si>
    <t>EMERALD SUNDAE/WILD HORSES APPAREL</t>
  </si>
  <si>
    <t>887043695109</t>
  </si>
  <si>
    <t>Celebrity Pink Trendy Plus Size Intensions Wa Intensions 24W</t>
  </si>
  <si>
    <t>CX22032TS</t>
  </si>
  <si>
    <t>TRNDYPLUS CLS</t>
  </si>
  <si>
    <t>CELEBRITY PINK/2253 APPAREL INC</t>
  </si>
  <si>
    <t>887043707642</t>
  </si>
  <si>
    <t>Celebrity Pink Trendy Plus Size Coated Ponte Black 20W</t>
  </si>
  <si>
    <t>CX21034PF</t>
  </si>
  <si>
    <t>18W</t>
  </si>
  <si>
    <t>713701095267</t>
  </si>
  <si>
    <t>American Rag Printed Waffle-Knit Lace-Trim White Combo XL</t>
  </si>
  <si>
    <t>40329C</t>
  </si>
  <si>
    <t>6FK33B</t>
  </si>
  <si>
    <t>T0312N5AR</t>
  </si>
  <si>
    <t>ERJWD03060</t>
  </si>
  <si>
    <t>NATURAL</t>
  </si>
  <si>
    <t>6789KLI3</t>
  </si>
  <si>
    <t>GOLD</t>
  </si>
  <si>
    <t>829092301679</t>
  </si>
  <si>
    <t>XOXO Juniors Embellished High-Low Ivory S</t>
  </si>
  <si>
    <t>3546BLC5</t>
  </si>
  <si>
    <t>ING/NEWPORT APPAREL</t>
  </si>
  <si>
    <t>I3HGJ286E</t>
  </si>
  <si>
    <t>BRIGHTBLUE</t>
  </si>
  <si>
    <t>1094V0U</t>
  </si>
  <si>
    <t>BCX</t>
  </si>
  <si>
    <t>BCX/BYER CALIFORNIA</t>
  </si>
  <si>
    <t>826409611919</t>
  </si>
  <si>
    <t>BCX Juniors Sheer Belted A-Line D Multi XXS</t>
  </si>
  <si>
    <t>1139R7D</t>
  </si>
  <si>
    <t>WORK</t>
  </si>
  <si>
    <t>MATERIAL GIRL-MMG</t>
  </si>
  <si>
    <t>32</t>
  </si>
  <si>
    <t>746194692927</t>
  </si>
  <si>
    <t>Material Girl Juniors Off-The-Shoulder Body Black S</t>
  </si>
  <si>
    <t>20214MG</t>
  </si>
  <si>
    <t>MATERIAL GIRL-EDI/SPORTS PRODUCT OF</t>
  </si>
  <si>
    <t>20198MG</t>
  </si>
  <si>
    <t>MATERIAL GIRL-EDI/UNGERFABRIK-WEAVR</t>
  </si>
  <si>
    <t>826409520372</t>
  </si>
  <si>
    <t>BCX Juniors High-Low Cowl-Neck Sw Black M</t>
  </si>
  <si>
    <t>1094V95</t>
  </si>
  <si>
    <t>20124MG</t>
  </si>
  <si>
    <t>2XL</t>
  </si>
  <si>
    <t>888825936076</t>
  </si>
  <si>
    <t>Material Girl Juniors Illusion Lace Bodysui Blush XXS</t>
  </si>
  <si>
    <t>888825945214</t>
  </si>
  <si>
    <t>Material Girl Lace-Up Rib-Knit Bodysuit Zinfandel S</t>
  </si>
  <si>
    <t>20127MG</t>
  </si>
  <si>
    <t>888825936083</t>
  </si>
  <si>
    <t>Material Girl Juniors Illusion Lace Bodysui Blush XS</t>
  </si>
  <si>
    <t>889775039541</t>
  </si>
  <si>
    <t>American Rag Eyelet Asymmetrical-Hem Cami T White XL</t>
  </si>
  <si>
    <t>6SK79EG</t>
  </si>
  <si>
    <t>AFL7561BD2</t>
  </si>
  <si>
    <t>829092247137</t>
  </si>
  <si>
    <t>XOXO Juniors Mock-Neck Grommet Top Gold XL</t>
  </si>
  <si>
    <t>4902XFN3</t>
  </si>
  <si>
    <t>M6963HC212</t>
  </si>
  <si>
    <t>CX20974F57</t>
  </si>
  <si>
    <t>GRAY</t>
  </si>
  <si>
    <t>LOVE SQUARED/JUST FOR WRAPS INC</t>
  </si>
  <si>
    <t>887043707178</t>
  </si>
  <si>
    <t>Celebrity Pink Trendy Plus Size Skinny Jeans Gray 18W</t>
  </si>
  <si>
    <t>889602109904</t>
  </si>
  <si>
    <t>Freshman Juniors One-Button Knit Blaze Secluded M</t>
  </si>
  <si>
    <t>1K13916MC</t>
  </si>
  <si>
    <t>FASHION TOPS</t>
  </si>
  <si>
    <t>FRESHMAN/RDG GLOBAL LLC</t>
  </si>
  <si>
    <t>20192MG</t>
  </si>
  <si>
    <t>NTC178X-BFC</t>
  </si>
  <si>
    <t>BOTTOMS-JRS</t>
  </si>
  <si>
    <t>TINSELTOWN/TOPSON DOWNS OF CALIF</t>
  </si>
  <si>
    <t>617171808887</t>
  </si>
  <si>
    <t>ING Plus Size Floral-Print Lace-He Navy Multi 2X</t>
  </si>
  <si>
    <t>NTB548X-WPC</t>
  </si>
  <si>
    <t>9</t>
  </si>
  <si>
    <t>1039V6Y</t>
  </si>
  <si>
    <t>BRIGHT RED</t>
  </si>
  <si>
    <t>JUNIOR ACTIVE</t>
  </si>
  <si>
    <t>CJ20974A31</t>
  </si>
  <si>
    <t>1</t>
  </si>
  <si>
    <t>888825899111</t>
  </si>
  <si>
    <t>Tinseltown Juniors Ripped Black Wash Ski Black 0</t>
  </si>
  <si>
    <t>MYB019230</t>
  </si>
  <si>
    <t>0</t>
  </si>
  <si>
    <t>DARK GRAY</t>
  </si>
  <si>
    <t>5</t>
  </si>
  <si>
    <t>M6834BK212</t>
  </si>
  <si>
    <t>888825991891</t>
  </si>
  <si>
    <t>Tinseltown Juniors Moto Burgundy Wash Sk Grey Plaid 5</t>
  </si>
  <si>
    <t>MYB019618</t>
  </si>
  <si>
    <t>637677168728</t>
  </si>
  <si>
    <t>Self Esteem Juniors Draped Open-Front Car Chili Pepper Combo XS</t>
  </si>
  <si>
    <t>0YVMAJAY</t>
  </si>
  <si>
    <t>SWEATERS-JRS</t>
  </si>
  <si>
    <t>BELLE DU JOUR/ALL ACCESS APPAREL</t>
  </si>
  <si>
    <t>EYE SHADOW/STONY APPAREL CORP</t>
  </si>
  <si>
    <t>887043670120</t>
  </si>
  <si>
    <t>Celebrity Pink Juniors Skinny Jeans Festive Fuschia 7</t>
  </si>
  <si>
    <t>CJ20974F57</t>
  </si>
  <si>
    <t>7</t>
  </si>
  <si>
    <t>888825991747</t>
  </si>
  <si>
    <t>Tinseltown Juniors Black Wash Skinny Mot Black 11</t>
  </si>
  <si>
    <t>MYB019617</t>
  </si>
  <si>
    <t>11</t>
  </si>
  <si>
    <t>888825991822</t>
  </si>
  <si>
    <t>Tinseltown Juniors Moto Burgundy Wash Sk Burgundy 9</t>
  </si>
  <si>
    <t>OH MG!/REUNITED LLC</t>
  </si>
  <si>
    <t>DARKPURPLE</t>
  </si>
  <si>
    <t>HIPPIE ROSE LLC</t>
  </si>
  <si>
    <t>619720901179</t>
  </si>
  <si>
    <t>Be Bop Juniors Printed Tie-Neck Romp MaroonMulti XL</t>
  </si>
  <si>
    <t>JFSES004304</t>
  </si>
  <si>
    <t>SECOND GENERATION</t>
  </si>
  <si>
    <t>YELLOW</t>
  </si>
  <si>
    <t>889602128547</t>
  </si>
  <si>
    <t>Jessica Simpson Juniors Pullover Hoodie Italian Plum S</t>
  </si>
  <si>
    <t>3K31959MC</t>
  </si>
  <si>
    <t>PURPLE</t>
  </si>
  <si>
    <t>M6837FM212</t>
  </si>
  <si>
    <t>BEBOP/SECOND GENERATION</t>
  </si>
  <si>
    <t>889901118072</t>
  </si>
  <si>
    <t>Hooked Up by IOT Juniors Fringed Mixed-Pattern Mood IndigoRuby Wine M</t>
  </si>
  <si>
    <t>J61379M</t>
  </si>
  <si>
    <t>HOOKED UP BY IOT/FASHION AVE KNITS</t>
  </si>
  <si>
    <t>ENERGIE/NINE WEST HOLDINGS</t>
  </si>
  <si>
    <t>MMXIII/PROJECT 28 CLOTHING LLC</t>
  </si>
  <si>
    <t>695532440471</t>
  </si>
  <si>
    <t>Ultra Flirt Juniors Space-Dyed Mitered-He BlackGrayIvory M</t>
  </si>
  <si>
    <t>6K89MC</t>
  </si>
  <si>
    <t>ULTRAFLIRT BY IKEDDI/IKEDDI ENTERPR</t>
  </si>
  <si>
    <t>20182MG</t>
  </si>
  <si>
    <t>889602128288</t>
  </si>
  <si>
    <t>Jessica Simpson Juniors Logo Jogger Pants Italian Plum L</t>
  </si>
  <si>
    <t>3K31964MC</t>
  </si>
  <si>
    <t>BRNOVERFLW</t>
  </si>
  <si>
    <t>3K31431MC</t>
  </si>
  <si>
    <t>BGEOVERFLW</t>
  </si>
  <si>
    <t>695532480798</t>
  </si>
  <si>
    <t>Ultra Flirt Juniors Sleeveless Mock-Neck Gardenia L</t>
  </si>
  <si>
    <t>6AC31MC</t>
  </si>
  <si>
    <t>LT/PASPINK</t>
  </si>
  <si>
    <t>695532480859</t>
  </si>
  <si>
    <t>Ultra Flirt Juniors Sleeveless Mock-Neck Olive XL</t>
  </si>
  <si>
    <t>DARK GREEN</t>
  </si>
  <si>
    <t>MEDIUN RED</t>
  </si>
  <si>
    <t>PINK ROSE/PAPER CUT CLOTHING LLC</t>
  </si>
  <si>
    <t>841413124798</t>
  </si>
  <si>
    <t>OhMG Juniors Love Sequin Marled Sw Charcoal Grey S</t>
  </si>
  <si>
    <t>416-JS422</t>
  </si>
  <si>
    <t>MED GRAY</t>
  </si>
  <si>
    <t>DHSJQ52-8K78</t>
  </si>
  <si>
    <t>BASICS&amp;SCRN T</t>
  </si>
  <si>
    <t>FREEZE/CENTRAL MILLS</t>
  </si>
  <si>
    <t>H6F0105M</t>
  </si>
  <si>
    <t>LT/PAS RED</t>
  </si>
  <si>
    <t>CJ50124GI</t>
  </si>
  <si>
    <t>JOLT/MY MICHELLE/KELLWOOD CO</t>
  </si>
  <si>
    <t>H6F0106M</t>
  </si>
  <si>
    <t>STOOSH/ROGER GARMENTS LLC</t>
  </si>
  <si>
    <t>WVSJ098-8J74</t>
  </si>
  <si>
    <t>SILVER</t>
  </si>
  <si>
    <t>706256923710</t>
  </si>
  <si>
    <t>Material Girl Active Juniors Lace-Waist Yog Fuschia XS</t>
  </si>
  <si>
    <t>M61207</t>
  </si>
  <si>
    <t>BRIGHT PUR</t>
  </si>
  <si>
    <t>M61122</t>
  </si>
  <si>
    <t>706256695082</t>
  </si>
  <si>
    <t>Material Girl Active Juniors Colorblocked L Heather Charcoal XL</t>
  </si>
  <si>
    <t>M61128</t>
  </si>
  <si>
    <t>M61117</t>
  </si>
  <si>
    <t>M6717WT212</t>
  </si>
  <si>
    <t>MED PURPLE</t>
  </si>
  <si>
    <t>887069474801</t>
  </si>
  <si>
    <t>Pink Rose Juniors Striped Cowl-Neck Fin WickedHeather Oatmeal Stripe XS</t>
  </si>
  <si>
    <t>PF610387</t>
  </si>
  <si>
    <t>ESPRESSO</t>
  </si>
  <si>
    <t>887069474740</t>
  </si>
  <si>
    <t>Pink Rose Juniors Cowl-Neck Marled Fine Heather Grey XL</t>
  </si>
  <si>
    <t>841060124271</t>
  </si>
  <si>
    <t>Hippie Rose Juniors Long-Sleeve Coccoon C Moonstone S</t>
  </si>
  <si>
    <t>H6F0136</t>
  </si>
  <si>
    <t>PRETTY REBELLIOUS/MIKEN CLOTHING</t>
  </si>
  <si>
    <t>841060124240</t>
  </si>
  <si>
    <t>Hippie Rose Juniors Long-Sleeve Coccoon C BlackIvory L</t>
  </si>
  <si>
    <t>J50451M</t>
  </si>
  <si>
    <t>645545938892</t>
  </si>
  <si>
    <t>Rebellious One Juniors Festival Patches Tuni Mellow Rose M</t>
  </si>
  <si>
    <t>IA4402FV1240</t>
  </si>
  <si>
    <t>887854011266</t>
  </si>
  <si>
    <t>Miss Chievous Juniors Lace-Trim V-Neck Tuni Shadow M</t>
  </si>
  <si>
    <t>JF9924S242</t>
  </si>
  <si>
    <t>MISS CHIEVOUS/AROUND THE WORLD APP</t>
  </si>
  <si>
    <t>H6F0132</t>
  </si>
  <si>
    <t>M2JP005</t>
  </si>
  <si>
    <t>PLANET GOLD/GOLDEN TOUCH IMPORTS</t>
  </si>
  <si>
    <t>F2688AWU1-MACY</t>
  </si>
  <si>
    <t>MIGHTY FINE INC</t>
  </si>
  <si>
    <t>HYBRID APPAREL/HYBRID PROMOTIONS</t>
  </si>
  <si>
    <t>887854011273</t>
  </si>
  <si>
    <t>Miss Chievous Juniors Lace-Trim V-Neck Tuni Shadow L</t>
  </si>
  <si>
    <t>887854011129</t>
  </si>
  <si>
    <t>Miss Chievous Juniors Lace-Trim V-Neck Tuni Faded Fatigue M</t>
  </si>
  <si>
    <t>LT/PAS GRN</t>
  </si>
  <si>
    <t>H6F0133</t>
  </si>
  <si>
    <t>50149CFB</t>
  </si>
  <si>
    <t>YOUNIQUE/TURN ON PRODUCTS INC</t>
  </si>
  <si>
    <t>1CDHELQD</t>
  </si>
  <si>
    <t>637677194512</t>
  </si>
  <si>
    <t>Belle Du Jour Juniors Lace-Yoke Pocket Top Black XS</t>
  </si>
  <si>
    <t>1CCDNSJM</t>
  </si>
  <si>
    <t>705143713762</t>
  </si>
  <si>
    <t>Energie Active Juniors Fleece Vest an Caviar Space DyeGrey S</t>
  </si>
  <si>
    <t>MED GREEN</t>
  </si>
  <si>
    <t>705143713779</t>
  </si>
  <si>
    <t>Energie Active Juniors Fleece Vest an Caviar Space DyeGrey XL</t>
  </si>
  <si>
    <t>705143713885</t>
  </si>
  <si>
    <t>Energie Active Juniors Fleece Vest an Olive Spacedye S</t>
  </si>
  <si>
    <t>RG4NEWDCO</t>
  </si>
  <si>
    <t>MARKET/BIOWORLD MERCHANDISING</t>
  </si>
  <si>
    <t>821942396125</t>
  </si>
  <si>
    <t>Planet Gold Juniors Scoop-Neck Fit Flar Black XL</t>
  </si>
  <si>
    <t>A2JD648</t>
  </si>
  <si>
    <t>PLANET GOLD CLOTHING/GOLDEN TOUCH</t>
  </si>
  <si>
    <t>190344429084</t>
  </si>
  <si>
    <t>Hybrid Juniors Despicable Me Fluffy Light Pink XL</t>
  </si>
  <si>
    <t>JL2678JDME1998</t>
  </si>
  <si>
    <t>DARK PINK</t>
  </si>
  <si>
    <t>AWAKE/HYBRID PROMOTIONS</t>
  </si>
  <si>
    <t>190344429268</t>
  </si>
  <si>
    <t>Hybrid Juniors Donut Sequin Cropped Heather Charcoal M</t>
  </si>
  <si>
    <t>JL4739JRSO126</t>
  </si>
  <si>
    <t>190344429183</t>
  </si>
  <si>
    <t>Hybrid Juniors Hangry Graphic Sweats Heather Grey XL</t>
  </si>
  <si>
    <t>JL4150JRSO123</t>
  </si>
  <si>
    <t>190344429282</t>
  </si>
  <si>
    <t>Hybrid Juniors Donut Sequin Cropped Heather Charcoal XL</t>
  </si>
  <si>
    <t>6AA16MC</t>
  </si>
  <si>
    <t>ZT8935-8569-MC</t>
  </si>
  <si>
    <t>821942395814</t>
  </si>
  <si>
    <t>Planet Gold Juniors Printed Fit Flare D Black Grey Floral L</t>
  </si>
  <si>
    <t>A2JD647</t>
  </si>
  <si>
    <t>MATERIAL GIRL-EDI/PINK ROSE</t>
  </si>
  <si>
    <t>1AJLAHVH</t>
  </si>
  <si>
    <t>BUCK</t>
  </si>
  <si>
    <t>PW12687MC</t>
  </si>
  <si>
    <t>JENNI-MMG</t>
  </si>
  <si>
    <t>BRIGHT GRN</t>
  </si>
  <si>
    <t>695532480934</t>
  </si>
  <si>
    <t>Ultra Flirt Juniors Cowl-Neck Waffle-Knit Black M</t>
  </si>
  <si>
    <t>3C485MC</t>
  </si>
  <si>
    <t>695532480972</t>
  </si>
  <si>
    <t>Ultra Flirt Juniors Cowl-Neck Waffle-Knit Burgundy S</t>
  </si>
  <si>
    <t>LT/PAS PUR</t>
  </si>
  <si>
    <t>695532481023</t>
  </si>
  <si>
    <t>Ultra Flirt Juniors Cowl-Neck Waffle-Knit Grey S</t>
  </si>
  <si>
    <t>NEW WORLD SALES</t>
  </si>
  <si>
    <t>SMALL S/S</t>
  </si>
  <si>
    <t>RAMPAGE/SPORTS PRODUCTS OF AMERICA</t>
  </si>
  <si>
    <t>889602105128</t>
  </si>
  <si>
    <t>Jessica Simpson Cutout-Trim Rib-Knit Tank Top Blue Wild L</t>
  </si>
  <si>
    <t>3K31064MC</t>
  </si>
  <si>
    <t>F2633IAV1-MACY</t>
  </si>
  <si>
    <t>2-KUHL/NTD APPAREL INC</t>
  </si>
  <si>
    <t>IA2595JWAM</t>
  </si>
  <si>
    <t>645545934719</t>
  </si>
  <si>
    <t>Material Girl Juniors Strappy Graphic Tank Heather Charcoal M</t>
  </si>
  <si>
    <t>M61246</t>
  </si>
  <si>
    <t>645545934726</t>
  </si>
  <si>
    <t>Material Girl Juniors Strappy Graphic Tank Heather Charcoal L</t>
  </si>
  <si>
    <t>M6959SP212</t>
  </si>
  <si>
    <t>645545931497</t>
  </si>
  <si>
    <t>Material Girl Active Juniors Graphic Tank T Hot Chilli L</t>
  </si>
  <si>
    <t>M61107</t>
  </si>
  <si>
    <t>887648661554</t>
  </si>
  <si>
    <t>Peanuts Juniors Peanuts Presents Grap WhiteBlack L</t>
  </si>
  <si>
    <t>PNSJR58-8K75</t>
  </si>
  <si>
    <t>33U00MC</t>
  </si>
  <si>
    <t>887648661530</t>
  </si>
  <si>
    <t>Peanuts Juniors Peanuts Presents Grap WhiteBlack S</t>
  </si>
  <si>
    <t>887648661523</t>
  </si>
  <si>
    <t>Peanuts Juniors Peanuts Presents Grap WhiteBlack XS</t>
  </si>
  <si>
    <t>695532487346</t>
  </si>
  <si>
    <t>Ultra Flirt Juniors Scoop-Back Pullover T Tawny Port XL</t>
  </si>
  <si>
    <t>190344266993</t>
  </si>
  <si>
    <t>Hybrid Juniors Graphic Raglan T-Shir WhiteNavy XS</t>
  </si>
  <si>
    <t>J1867UBC946</t>
  </si>
  <si>
    <t>190344240108</t>
  </si>
  <si>
    <t>Hybrid Juniors Clueless Graphic T-Sh Heather Grey XL</t>
  </si>
  <si>
    <t>JS3674JPMT0126</t>
  </si>
  <si>
    <t>J2015JTRL0087</t>
  </si>
  <si>
    <t>JL2357JNIK0056</t>
  </si>
  <si>
    <t>JS3012JDY4931</t>
  </si>
  <si>
    <t>695532471758</t>
  </si>
  <si>
    <t>Ultra Flirt Juniors Striped Split-Neck T- BurgundyBlack XS</t>
  </si>
  <si>
    <t>3C751MC</t>
  </si>
  <si>
    <t>887648644601</t>
  </si>
  <si>
    <t>Trolls by DreamWorks Juniors Trolls Graphic Raglan WhiteGrey Heather XS</t>
  </si>
  <si>
    <t>TJSJ045-8K75</t>
  </si>
  <si>
    <t>746194690145</t>
  </si>
  <si>
    <t>Rampage Juniors Drop-Shoulder Dreamca Pink Heather M</t>
  </si>
  <si>
    <t>RHT425</t>
  </si>
  <si>
    <t>746194690459</t>
  </si>
  <si>
    <t>Rampage Juniors Drop-Shoulder Emoji G Lilac M</t>
  </si>
  <si>
    <t>746194690442</t>
  </si>
  <si>
    <t>Rampage Juniors Drop-Shoulder Emoji G Lilac L</t>
  </si>
  <si>
    <t>746194690299</t>
  </si>
  <si>
    <t>Rampage Juniors Drop-Shoulder Cupcake Light Heather Grey L</t>
  </si>
  <si>
    <t>XA3114JX6902</t>
  </si>
  <si>
    <t>XA3114JX6903</t>
  </si>
  <si>
    <t>645545929722</t>
  </si>
  <si>
    <t>Rebellious One Juniors Graphic Raglan T-Shir WhiteBurgundy L</t>
  </si>
  <si>
    <t>IA2056JX6630</t>
  </si>
  <si>
    <t>746194690466</t>
  </si>
  <si>
    <t>Rampage Juniors Drop-Shoulder Emoji G Lilac S</t>
  </si>
  <si>
    <t>M61221</t>
  </si>
  <si>
    <t>190344513752</t>
  </si>
  <si>
    <t>Hybrid Juniors Pokemon Catch Em Al White XS</t>
  </si>
  <si>
    <t>HJ930JPKM0142</t>
  </si>
  <si>
    <t>190344513783</t>
  </si>
  <si>
    <t>Hybrid Juniors Pokemon Catch Em Al White L</t>
  </si>
  <si>
    <t>190344513769</t>
  </si>
  <si>
    <t>Hybrid Juniors Pokemon Catch Em Al White S</t>
  </si>
  <si>
    <t>705143603209</t>
  </si>
  <si>
    <t>Energie Juniors Scoop-Neck Top Bright White L</t>
  </si>
  <si>
    <t>705143602912</t>
  </si>
  <si>
    <t>Energie Juniors Scoop-Neck Top Caviar M</t>
  </si>
  <si>
    <t>821942362229</t>
  </si>
  <si>
    <t>Planet Gold Juniors Spaghetti-Strap Tank Kalamata L</t>
  </si>
  <si>
    <t>AZJL615</t>
  </si>
  <si>
    <t>AZJL616</t>
  </si>
  <si>
    <t>X LARGE</t>
  </si>
  <si>
    <t>CECE/NIC+ZOE</t>
  </si>
  <si>
    <t>CECE/BERNARD CHAUS INC</t>
  </si>
  <si>
    <t>42ZD507</t>
  </si>
  <si>
    <t>708008363133</t>
  </si>
  <si>
    <t>City Studios Juniors Embellished Lace-Fron Black 1</t>
  </si>
  <si>
    <t>3972QN9CT3</t>
  </si>
  <si>
    <t>MED ORANGE</t>
  </si>
  <si>
    <t>708008363157</t>
  </si>
  <si>
    <t>City Studios Juniors Embellished Lace-Fron Black 5</t>
  </si>
  <si>
    <t>713701110236</t>
  </si>
  <si>
    <t>American Rag Lace Bell-Sleeve Romper Classic Black M</t>
  </si>
  <si>
    <t>WI1405AR</t>
  </si>
  <si>
    <t>829092253879</t>
  </si>
  <si>
    <t>BK9 28 1-4" ONE SHOULDER</t>
  </si>
  <si>
    <t>9689MGC3</t>
  </si>
  <si>
    <t>42ZB613</t>
  </si>
  <si>
    <t>MED BEIGE</t>
  </si>
  <si>
    <t>6HT04</t>
  </si>
  <si>
    <t>822982636738</t>
  </si>
  <si>
    <t>Jessica Simpson Hyne Bell-Sleeve Sweater Black M</t>
  </si>
  <si>
    <t>829092277387</t>
  </si>
  <si>
    <t>BLK SEQUN CHAIN NK</t>
  </si>
  <si>
    <t>4146XCJ8</t>
  </si>
  <si>
    <t>TEEZE ME/CHOON INC</t>
  </si>
  <si>
    <t>SQUARY COOL</t>
  </si>
  <si>
    <t>ERJWT03098</t>
  </si>
  <si>
    <t>889351485076</t>
  </si>
  <si>
    <t>SC7824B</t>
  </si>
  <si>
    <t>829092313757</t>
  </si>
  <si>
    <t>XOXO Juniors Natalie Fit Printed A Multi 34</t>
  </si>
  <si>
    <t>8452PDA8</t>
  </si>
  <si>
    <t>SOPRANO/SSC INC</t>
  </si>
  <si>
    <t>FRCH TRY TULIP PLVR</t>
  </si>
  <si>
    <t>6HL35</t>
  </si>
  <si>
    <t>826410696318</t>
  </si>
  <si>
    <t>BCX Juniors Crochet-Yoke Shift Dr White XS</t>
  </si>
  <si>
    <t>116323H</t>
  </si>
  <si>
    <t>637865191446</t>
  </si>
  <si>
    <t>Calvin Klein Jeans Mixed-Media Sleeveless Top Gray XL</t>
  </si>
  <si>
    <t>42ZK232</t>
  </si>
  <si>
    <t>006240J</t>
  </si>
  <si>
    <t>637865191439</t>
  </si>
  <si>
    <t>Calvin Klein Jeans Mixed-Media Sleeveless Top Gray L</t>
  </si>
  <si>
    <t>OTS NOTCH FRONT RMPR</t>
  </si>
  <si>
    <t>70102MG</t>
  </si>
  <si>
    <t>791093382455</t>
  </si>
  <si>
    <t>SHIFT Juniors Metallic Lace-Trim Dr BlackSilver M</t>
  </si>
  <si>
    <t>JK1283D1GHGM</t>
  </si>
  <si>
    <t>OTHER REL SEP</t>
  </si>
  <si>
    <t>SHIFT/JAYA APPAREL GROUP</t>
  </si>
  <si>
    <t>DESTRCT ROLL SHORT</t>
  </si>
  <si>
    <t>6HD26</t>
  </si>
  <si>
    <t>MONTEAU INC</t>
  </si>
  <si>
    <t>PL58768</t>
  </si>
  <si>
    <t>A OR SMALL</t>
  </si>
  <si>
    <t>884630083806</t>
  </si>
  <si>
    <t>Monteau Trendy Plus Size Scalloped Fit Red 1X</t>
  </si>
  <si>
    <t>BRGHTORANG</t>
  </si>
  <si>
    <t>OIL SLICK JACKET</t>
  </si>
  <si>
    <t>M61152</t>
  </si>
  <si>
    <t>886680007085</t>
  </si>
  <si>
    <t>Material Girl Juniors Rib-Knit Mock-Neck Bo Caviar Black M</t>
  </si>
  <si>
    <t>20202MG</t>
  </si>
  <si>
    <t>886680007092</t>
  </si>
  <si>
    <t>Material Girl Juniors Rib-Knit Mock-Neck Bo Caviar Black L</t>
  </si>
  <si>
    <t>889775090481</t>
  </si>
  <si>
    <t>WW HPY GFT CLD SHLR</t>
  </si>
  <si>
    <t>6FK83B</t>
  </si>
  <si>
    <t>889775094472</t>
  </si>
  <si>
    <t>American Rag Crocheted Crop Top Oatmeal Combo M</t>
  </si>
  <si>
    <t>6HT13</t>
  </si>
  <si>
    <t>889775090566</t>
  </si>
  <si>
    <t>CLD SHLDR RFFL TP</t>
  </si>
  <si>
    <t>6HL28</t>
  </si>
  <si>
    <t>889775094458</t>
  </si>
  <si>
    <t>American Rag Crocheted Crop Top Oatmeal Combo XS</t>
  </si>
  <si>
    <t>768594155697</t>
  </si>
  <si>
    <t>SMCK BL SLV OFF SHLD</t>
  </si>
  <si>
    <t>78276AR</t>
  </si>
  <si>
    <t>889775090627</t>
  </si>
  <si>
    <t>889775094465</t>
  </si>
  <si>
    <t>American Rag Crocheted Crop Top Oatmeal Combo S</t>
  </si>
  <si>
    <t>889775093147</t>
  </si>
  <si>
    <t>American Rag Lace-Inset High-Low Peasant To Egret S</t>
  </si>
  <si>
    <t>6HL25</t>
  </si>
  <si>
    <t>889775090573</t>
  </si>
  <si>
    <t>889775074399</t>
  </si>
  <si>
    <t>SHRKBT STRIPD TNK</t>
  </si>
  <si>
    <t>6BK18</t>
  </si>
  <si>
    <t>J12175A9H</t>
  </si>
  <si>
    <t>4 WHAT IT'S WORTH</t>
  </si>
  <si>
    <t>826410172416</t>
  </si>
  <si>
    <t>STRP CS SMK BTM</t>
  </si>
  <si>
    <t>1051X72</t>
  </si>
  <si>
    <t>841413126334</t>
  </si>
  <si>
    <t>OhMG Juniors Yaasss Sequin Pullove BlackRed XS</t>
  </si>
  <si>
    <t>316-JS191</t>
  </si>
  <si>
    <t>B6445CBAS</t>
  </si>
  <si>
    <t>190040312253</t>
  </si>
  <si>
    <t>Almost Famous Juniors Striped Fringe Waterf GreyBlack XS</t>
  </si>
  <si>
    <t>RU5770MC</t>
  </si>
  <si>
    <t>ALMOST FAMOUS/TURN ON PRODUCTS</t>
  </si>
  <si>
    <t>889775092935</t>
  </si>
  <si>
    <t>STRIPED RIB BDY SUIT</t>
  </si>
  <si>
    <t>6HL05B</t>
  </si>
  <si>
    <t>3K31546MC</t>
  </si>
  <si>
    <t>3K31909MC</t>
  </si>
  <si>
    <t>889602133817</t>
  </si>
  <si>
    <t>Jessica Simpson Juniors Open-Back Compression Tracery XL</t>
  </si>
  <si>
    <t>645545917293</t>
  </si>
  <si>
    <t>Material Girl Juniors Graphic Pullover Hood Heather Charcoal M</t>
  </si>
  <si>
    <t>M6O27HC212</t>
  </si>
  <si>
    <t>M61201</t>
  </si>
  <si>
    <t>H6F0148</t>
  </si>
  <si>
    <t>841060127050</t>
  </si>
  <si>
    <t>Hippie Rose Juniors Zip-Front Velour Hood Tapestry Blue S</t>
  </si>
  <si>
    <t>841060126763</t>
  </si>
  <si>
    <t>Hippie Rose Juniors Velour Jogger Pants Tapestry Blue M</t>
  </si>
  <si>
    <t>H6F0146</t>
  </si>
  <si>
    <t>M61154</t>
  </si>
  <si>
    <t>IA4562AX6782</t>
  </si>
  <si>
    <t>645545947221</t>
  </si>
  <si>
    <t>Rebellious One Juniors Sarcasm Coach Graphic Heather GreyNavy S</t>
  </si>
  <si>
    <t>645545947054</t>
  </si>
  <si>
    <t>Rebellious One Juniors French Fries Graphic Heather Charcoal XS</t>
  </si>
  <si>
    <t>IA4562AX6735</t>
  </si>
  <si>
    <t>887409061586</t>
  </si>
  <si>
    <t>RED/ LS RAYON HERRINGBONE</t>
  </si>
  <si>
    <t>PW13372MC</t>
  </si>
  <si>
    <t>887409060640</t>
  </si>
  <si>
    <t>Polly Esther Juniors Plaid Button-Front Sh OliveWhite XS</t>
  </si>
  <si>
    <t>190371321795</t>
  </si>
  <si>
    <t>Bioworld Juniors Wonder Woman Graphic Heather Red M</t>
  </si>
  <si>
    <t>RG4RF8DCO</t>
  </si>
  <si>
    <t>190371321801</t>
  </si>
  <si>
    <t>Bioworld Juniors Wonder Woman Graphic Heather Red L</t>
  </si>
  <si>
    <t>190371321771</t>
  </si>
  <si>
    <t>Bioworld Juniors Wonder Woman Graphic Heather Red XS</t>
  </si>
  <si>
    <t>190371321818</t>
  </si>
  <si>
    <t>Bioworld Juniors Wonder Woman Graphic Heather Red XL</t>
  </si>
  <si>
    <t>190371321788</t>
  </si>
  <si>
    <t>Bioworld Juniors Wonder Woman Graphic Heather Red S</t>
  </si>
  <si>
    <t>190371321832</t>
  </si>
  <si>
    <t>Bioworld Juniors Harry Potter Hogwarts Charcoal Heather S</t>
  </si>
  <si>
    <t>RG4S1YHPT</t>
  </si>
  <si>
    <t>M61219</t>
  </si>
  <si>
    <t>3D314MC</t>
  </si>
  <si>
    <t>3D169MC</t>
  </si>
  <si>
    <t>RG4N7YBTM</t>
  </si>
  <si>
    <t>716068580872</t>
  </si>
  <si>
    <t>GILMORE GIRLS</t>
  </si>
  <si>
    <t>GZJV2001</t>
  </si>
  <si>
    <t>693401705379</t>
  </si>
  <si>
    <t>DON'T GO BACON MY HEART</t>
  </si>
  <si>
    <t>QE0984YK1920</t>
  </si>
  <si>
    <t>821942448367</t>
  </si>
  <si>
    <t>Planet Gold Juniors Off-the-Shoulder Dres Black S</t>
  </si>
  <si>
    <t>A3JD624</t>
  </si>
  <si>
    <t>821942448497</t>
  </si>
  <si>
    <t>Planet Gold Juniors Off-the-Shoulder Dres Red M</t>
  </si>
  <si>
    <t>821942448817</t>
  </si>
  <si>
    <t>Planet Gold Juniors Off-the-Shoulder Dres Olive XXS</t>
  </si>
  <si>
    <t>821942448701</t>
  </si>
  <si>
    <t>Planet Gold Juniors Off-the-Shoulder Dres Blue S</t>
  </si>
  <si>
    <t>821942448404</t>
  </si>
  <si>
    <t>Planet Gold Juniors Off-the-Shoulder Dres Black XXS</t>
  </si>
  <si>
    <t>645545959835</t>
  </si>
  <si>
    <t>PEACE SIGN RAGLAN</t>
  </si>
  <si>
    <t>A3318JX6630</t>
  </si>
  <si>
    <t>821942448756</t>
  </si>
  <si>
    <t>Planet Gold Juniors Off-the-Shoulder Dres Olive L</t>
  </si>
  <si>
    <t>821942448671</t>
  </si>
  <si>
    <t>Planet Gold Juniors Off-the-Shoulder Dres Red XXS</t>
  </si>
  <si>
    <t>821942448480</t>
  </si>
  <si>
    <t>Planet Gold Juniors Off-the-Shoulder Dres Red L</t>
  </si>
  <si>
    <t>821942448510</t>
  </si>
  <si>
    <t>Planet Gold Juniors Off-the-Shoulder Dres Red XL</t>
  </si>
  <si>
    <t>645545959811</t>
  </si>
  <si>
    <t>COFFEE RAGLAN</t>
  </si>
  <si>
    <t>A3318JX7076</t>
  </si>
  <si>
    <t>821942448503</t>
  </si>
  <si>
    <t>Planet Gold Juniors Off-the-Shoulder Dres Red S</t>
  </si>
  <si>
    <t>821942448381</t>
  </si>
  <si>
    <t>Planet Gold Juniors Off-the-Shoulder Dres Black XS</t>
  </si>
  <si>
    <t>821942448794</t>
  </si>
  <si>
    <t>Planet Gold Juniors Off-the-Shoulder Dres Olive XS</t>
  </si>
  <si>
    <t>TESS HOLLIDAY/REITMANS CORP LTD</t>
  </si>
  <si>
    <t>AMERICAN RAG-EDI/ARAGSFE</t>
  </si>
  <si>
    <t>SPEECHLESS/SWAT FAME INC</t>
  </si>
  <si>
    <t>686812525612</t>
  </si>
  <si>
    <t>American Rag Knit-Trim Hooded Anorak Jacket Sage XL</t>
  </si>
  <si>
    <t>A016748R</t>
  </si>
  <si>
    <t>G.H. BASS RTW</t>
  </si>
  <si>
    <t>G H BASS/G-III APPAREL GROUP</t>
  </si>
  <si>
    <t>AMERICAN RAG-EDI/COMINT APPAREL GRP</t>
  </si>
  <si>
    <t>889775077932</t>
  </si>
  <si>
    <t>American Rag Plus Size Betsy Wash Bootcut J Betsy Wash 24W</t>
  </si>
  <si>
    <t>P6FD77</t>
  </si>
  <si>
    <t>42YT795</t>
  </si>
  <si>
    <t>TURQ/AQUA</t>
  </si>
  <si>
    <t>P5FD17BEY</t>
  </si>
  <si>
    <t>22W</t>
  </si>
  <si>
    <t>P6HD27</t>
  </si>
  <si>
    <t>S P</t>
  </si>
  <si>
    <t>889775084510</t>
  </si>
  <si>
    <t>American Rag Juniors Hooded Pullover Sweat Indigo Combo M</t>
  </si>
  <si>
    <t>6TS28BINC</t>
  </si>
  <si>
    <t>6FW02</t>
  </si>
  <si>
    <t>ARJSW03201</t>
  </si>
  <si>
    <t>KK2812ARZF</t>
  </si>
  <si>
    <t>42ZK914</t>
  </si>
  <si>
    <t>822980879267</t>
  </si>
  <si>
    <t>Jessica Simpson Ripped Acid Wash Straight-Leg Ripped Acid Wash 25</t>
  </si>
  <si>
    <t>W5D34328AR</t>
  </si>
  <si>
    <t>6BD25X</t>
  </si>
  <si>
    <t>889775066288</t>
  </si>
  <si>
    <t>American Rag High-Waist Trudy Wash Skinny J Trudy Wash 7</t>
  </si>
  <si>
    <t>10341MG</t>
  </si>
  <si>
    <t>713701111813</t>
  </si>
  <si>
    <t>Material Girl Juniors Lace Bell-Sleeve Shif Cloud Dancer M</t>
  </si>
  <si>
    <t>10350MG</t>
  </si>
  <si>
    <t>5HD98LIN</t>
  </si>
  <si>
    <t>652874792651</t>
  </si>
  <si>
    <t>Speechless Juniors Cutout Lace Chiffon P GoldWhiteBlack XL</t>
  </si>
  <si>
    <t>JA27952H464</t>
  </si>
  <si>
    <t>652874792644</t>
  </si>
  <si>
    <t>Speechless Juniors Cutout Lace Chiffon P GoldWhiteBlack L</t>
  </si>
  <si>
    <t>4537XGA</t>
  </si>
  <si>
    <t>DARK BEIGE</t>
  </si>
  <si>
    <t>829092192383</t>
  </si>
  <si>
    <t>XOXO Juniors Cascade Handkerchief- Cobalt L</t>
  </si>
  <si>
    <t>9635ANT3</t>
  </si>
  <si>
    <t>6TN70OW</t>
  </si>
  <si>
    <t>T62546ARNV</t>
  </si>
  <si>
    <t>889237844218</t>
  </si>
  <si>
    <t>As U Wish Juniors Velvet Burnout Slip D Black M</t>
  </si>
  <si>
    <t>PA3672AR</t>
  </si>
  <si>
    <t>829092284934</t>
  </si>
  <si>
    <t>XOXO Juniors Grommet-Trim Sweater Black L</t>
  </si>
  <si>
    <t>YOU BABES/MY MICHELLE/KELLWOOD</t>
  </si>
  <si>
    <t>889775083223</t>
  </si>
  <si>
    <t>American Rag Cold-Shoulder Peasant Top Zinfandel XXS</t>
  </si>
  <si>
    <t>713701095755</t>
  </si>
  <si>
    <t>American Rag Printed Waffle-Knit Lace-Trim Zinfandel Combo S</t>
  </si>
  <si>
    <t>40329D</t>
  </si>
  <si>
    <t>713701095236</t>
  </si>
  <si>
    <t>American Rag Printed Waffle-Knit Lace-Trim White Combo S</t>
  </si>
  <si>
    <t>713701095656</t>
  </si>
  <si>
    <t>American Rag Printed Waffle-Knit Lace-Trim Floral Print XS</t>
  </si>
  <si>
    <t>40329B</t>
  </si>
  <si>
    <t>6789YPB3</t>
  </si>
  <si>
    <t>637348547661</t>
  </si>
  <si>
    <t>BCX Juniors Wide-Leg Pants Gray 0</t>
  </si>
  <si>
    <t>0060F24</t>
  </si>
  <si>
    <t>637865195215</t>
  </si>
  <si>
    <t>Calvin Klein Jeans Metallic CK-Graphic T-Shirt Light Grey XS</t>
  </si>
  <si>
    <t>42ZK929</t>
  </si>
  <si>
    <t>637865195246</t>
  </si>
  <si>
    <t>Calvin Klein Jeans Metallic CK-Graphic T-Shirt Light Grey L</t>
  </si>
  <si>
    <t>637865195468</t>
  </si>
  <si>
    <t>Calvin Klein Jeans Metallic CK-Graphic T-Shirt Bright Blush XL</t>
  </si>
  <si>
    <t>637865195253</t>
  </si>
  <si>
    <t>Calvin Klein Jeans Metallic CK-Graphic T-Shirt Light Grey XL</t>
  </si>
  <si>
    <t>637865195239</t>
  </si>
  <si>
    <t>Calvin Klein Jeans Metallic CK-Graphic T-Shirt Light Grey M</t>
  </si>
  <si>
    <t>826409643644</t>
  </si>
  <si>
    <t>BCX Juniors Crocheted Fringe-Trim White S</t>
  </si>
  <si>
    <t>1090V3T</t>
  </si>
  <si>
    <t>713701112483</t>
  </si>
  <si>
    <t>Material Girl Juniors Lace-Detail Crop Top Black Combo M</t>
  </si>
  <si>
    <t>CJ20823SS</t>
  </si>
  <si>
    <t>889775083322</t>
  </si>
  <si>
    <t>American Rag Sleeveless Lace-Inset Top Black M</t>
  </si>
  <si>
    <t>6FK43</t>
  </si>
  <si>
    <t>50102BK204</t>
  </si>
  <si>
    <t>887043681614</t>
  </si>
  <si>
    <t>Celebrity Pink Juniors Slimming Technology C Iron Gate 13</t>
  </si>
  <si>
    <t>CJ21034PF</t>
  </si>
  <si>
    <t>QL-2162ME</t>
  </si>
  <si>
    <t>DOLLHOUSE/BBC APPAREL GROUP</t>
  </si>
  <si>
    <t>889602109737</t>
  </si>
  <si>
    <t>Freshman Juniors One-Button Knit Blaze Jet Black M</t>
  </si>
  <si>
    <t>1K13915MC</t>
  </si>
  <si>
    <t>K112H4485M</t>
  </si>
  <si>
    <t>ORANGE</t>
  </si>
  <si>
    <t>ARIYA/ONYX DESIGN GROUP</t>
  </si>
  <si>
    <t>888650119538</t>
  </si>
  <si>
    <t>Ariya Juniors Curvy Embellished Med Delano 15</t>
  </si>
  <si>
    <t>32233M</t>
  </si>
  <si>
    <t>887840191699</t>
  </si>
  <si>
    <t>Emerald Sundae Juniors Mock-Neck Colorblock OliveBlack S</t>
  </si>
  <si>
    <t>ESV1661322</t>
  </si>
  <si>
    <t>888650119514</t>
  </si>
  <si>
    <t>Ariya Juniors Curvy Embellished Med Delano 11</t>
  </si>
  <si>
    <t>713701108752</t>
  </si>
  <si>
    <t>American Rag Juniors Lace Contrast Henley Coastal Fjord M</t>
  </si>
  <si>
    <t>A3672AR</t>
  </si>
  <si>
    <t>MYJ003409</t>
  </si>
  <si>
    <t>OSFA</t>
  </si>
  <si>
    <t>TWELVE NYC/QUETICO LLC</t>
  </si>
  <si>
    <t>841907122873</t>
  </si>
  <si>
    <t>Indigo Rein Juniors Reverse-Selvedge Dark Dark Blue 5</t>
  </si>
  <si>
    <t>RR5403C10MZ</t>
  </si>
  <si>
    <t>INDIGO REIN/JRG APPAREL GRP CO LTD</t>
  </si>
  <si>
    <t>ZT5306C59MZ</t>
  </si>
  <si>
    <t>706256894690</t>
  </si>
  <si>
    <t>Material Girl Active Juniors Metallic Zip H Rose Gold M</t>
  </si>
  <si>
    <t>M61118</t>
  </si>
  <si>
    <t>887043693662</t>
  </si>
  <si>
    <t>Celebrity Pink Juniors Flocked Skinny Jeans Black 7</t>
  </si>
  <si>
    <t>CJ21034P1740</t>
  </si>
  <si>
    <t>887043693624</t>
  </si>
  <si>
    <t>Celebrity Pink Juniors Flocked Skinny Jeans Black 0</t>
  </si>
  <si>
    <t>J6442AB3</t>
  </si>
  <si>
    <t>841413126518</t>
  </si>
  <si>
    <t>OhMG Juniors Southwest Asymmetrica Burgundy L</t>
  </si>
  <si>
    <t>616-JS233</t>
  </si>
  <si>
    <t>888825991709</t>
  </si>
  <si>
    <t>Tinseltown Juniors Black Wash Skinny Mot Black 3</t>
  </si>
  <si>
    <t>1065Y81</t>
  </si>
  <si>
    <t>405834P</t>
  </si>
  <si>
    <t>J8722BE4</t>
  </si>
  <si>
    <t>889602128462</t>
  </si>
  <si>
    <t>Jessica Simpson Juniors Pullover Hoodie Harvard Grey XS</t>
  </si>
  <si>
    <t>645545894440</t>
  </si>
  <si>
    <t>Material Girl Juniors Zipper-Front Contrast Flashmode M</t>
  </si>
  <si>
    <t>841060123304</t>
  </si>
  <si>
    <t>Hippie Rose Juniors Striped Crisscross-Ba Wicked Combo XL</t>
  </si>
  <si>
    <t>H6F0130</t>
  </si>
  <si>
    <t>889602111785</t>
  </si>
  <si>
    <t>Jessica Simpson Logo Foil Graphic Jogger Pants Light Heather Grey M</t>
  </si>
  <si>
    <t>3K31335MC</t>
  </si>
  <si>
    <t>3K31077MC</t>
  </si>
  <si>
    <t>MARILYNMONROE</t>
  </si>
  <si>
    <t>MARILYN MONROE/SPORTS PRODUCTS AMER</t>
  </si>
  <si>
    <t>H6F0140</t>
  </si>
  <si>
    <t>705143708553</t>
  </si>
  <si>
    <t>Energie Juniors Colorblocked Sweatpan Black XS</t>
  </si>
  <si>
    <t>VJSJ673-8J74</t>
  </si>
  <si>
    <t>190121158367</t>
  </si>
  <si>
    <t>Mighty Fine Juniors Disney Princesses Pri Mint L</t>
  </si>
  <si>
    <t>F2640AVMC-MACY</t>
  </si>
  <si>
    <t>ONE CLOTHING/O &amp; K INC</t>
  </si>
  <si>
    <t>IESJK73-8K78</t>
  </si>
  <si>
    <t>887648645042</t>
  </si>
  <si>
    <t>Trolls by DreamWorks Juniors Trolls Patch Sweatshi True Black S</t>
  </si>
  <si>
    <t>TJSJ140-8K78</t>
  </si>
  <si>
    <t>M61138</t>
  </si>
  <si>
    <t>645545932227</t>
  </si>
  <si>
    <t>Material Girl Active Juniors Metallic Hoodi Black M</t>
  </si>
  <si>
    <t>M61153</t>
  </si>
  <si>
    <t>645545931961</t>
  </si>
  <si>
    <t>Material Girl Active Juniors Metallic-Detai Black S</t>
  </si>
  <si>
    <t>M61113</t>
  </si>
  <si>
    <t>645545935600</t>
  </si>
  <si>
    <t>Material Girl Active Juniors Metallic-Detai Cosmic Cobalt L</t>
  </si>
  <si>
    <t>841060125247</t>
  </si>
  <si>
    <t>Hippie Rose Juniors Striped Pullover Hood BlackIvory L</t>
  </si>
  <si>
    <t>H6F0137</t>
  </si>
  <si>
    <t>H6F0134</t>
  </si>
  <si>
    <t>841060124899</t>
  </si>
  <si>
    <t>Hippie Rose Juniors Long-Sleeve Asymmetri MoonstoneLight Heather Grey L</t>
  </si>
  <si>
    <t>645545938717</t>
  </si>
  <si>
    <t>Rebellious One Juniors Squad Sequin Reverse Black M</t>
  </si>
  <si>
    <t>IA2732AV1242</t>
  </si>
  <si>
    <t>3C766MC</t>
  </si>
  <si>
    <t>645545938762</t>
  </si>
  <si>
    <t>Rebellious One Juniors FriYAY Patch Graphic Black S</t>
  </si>
  <si>
    <t>IA4402FV1243</t>
  </si>
  <si>
    <t>841060124912</t>
  </si>
  <si>
    <t>Hippie Rose Juniors Long-Sleeve Asymmetri Mountain BlueBlack Strioe XS</t>
  </si>
  <si>
    <t>695532486424</t>
  </si>
  <si>
    <t>Ultra Flirt Juniors Striped Tie-Neck Tuni Oatmeal HeatherWhite Stripe M</t>
  </si>
  <si>
    <t>841060125599</t>
  </si>
  <si>
    <t>Hippie Rose Juniors Roll-Sleeve Woven Top Brandywine L</t>
  </si>
  <si>
    <t>H6F0143</t>
  </si>
  <si>
    <t>190371272431</t>
  </si>
  <si>
    <t>Bioworld Juniors DC Comics Superman Fr Heather Grey S</t>
  </si>
  <si>
    <t>RG4N7DSPM</t>
  </si>
  <si>
    <t>190344429121</t>
  </si>
  <si>
    <t>Hybrid Juniors Wink Sequin Graphic S Pearl L</t>
  </si>
  <si>
    <t>JL2678JRSO125</t>
  </si>
  <si>
    <t>695532486301</t>
  </si>
  <si>
    <t>Ultra Flirt Juniors Space-Dyed Tie-Neck T CastlerockBlack Spacedye XS</t>
  </si>
  <si>
    <t>190344429213</t>
  </si>
  <si>
    <t>Hybrid Juniors Fast Food Squad Cropp Pearl M</t>
  </si>
  <si>
    <t>JL4739JRSO124</t>
  </si>
  <si>
    <t>190371272493</t>
  </si>
  <si>
    <t>Bioworld Juniors DC Comics Wonder Woma Red M</t>
  </si>
  <si>
    <t>190344429220</t>
  </si>
  <si>
    <t>Hybrid Juniors Fast Food Squad Cropp Pearl L</t>
  </si>
  <si>
    <t>190344429169</t>
  </si>
  <si>
    <t>Hybrid Juniors Hangry Graphic Sweats Heather Grey M</t>
  </si>
  <si>
    <t>190344429152</t>
  </si>
  <si>
    <t>Hybrid Juniors Hangry Graphic Sweats Heather Grey S</t>
  </si>
  <si>
    <t>695532437587</t>
  </si>
  <si>
    <t>Ultra Flirt Juniors Marled High-Low Pullo Oatmeal XS</t>
  </si>
  <si>
    <t>695532437594</t>
  </si>
  <si>
    <t>Ultra Flirt Juniors Marled High-Low Pullo Oatmeal S</t>
  </si>
  <si>
    <t>705143705651</t>
  </si>
  <si>
    <t>Energie Juniors Madison Mesh Graphic Frost Grey XL</t>
  </si>
  <si>
    <t>40027LP204</t>
  </si>
  <si>
    <t>BEIGEKHAKI</t>
  </si>
  <si>
    <t>695532480989</t>
  </si>
  <si>
    <t>Ultra Flirt Juniors Cowl-Neck Waffle-Knit Burgundy M</t>
  </si>
  <si>
    <t>695532480941</t>
  </si>
  <si>
    <t>Ultra Flirt Juniors Cowl-Neck Waffle-Knit Black L</t>
  </si>
  <si>
    <t>ZS6032-7127-3118-MC</t>
  </si>
  <si>
    <t>695532481054</t>
  </si>
  <si>
    <t>Ultra Flirt Juniors Cowl-Neck Waffle-Knit Grey XL</t>
  </si>
  <si>
    <t>637677211653</t>
  </si>
  <si>
    <t>Belle Du Jour Juniors Raglan-Sleeve Love Me Serenity M</t>
  </si>
  <si>
    <t>0XWJNSNV</t>
  </si>
  <si>
    <t>190121147040</t>
  </si>
  <si>
    <t>Mighty Fine Juniors Graphic Raglan T-Shir White M</t>
  </si>
  <si>
    <t>JF9792J185</t>
  </si>
  <si>
    <t>GOJG2616</t>
  </si>
  <si>
    <t>MEDIUM S/S</t>
  </si>
  <si>
    <t>645545934733</t>
  </si>
  <si>
    <t>Material Girl Juniors Strappy Graphic Tank Heather Charcoal XL</t>
  </si>
  <si>
    <t>M6709DF212</t>
  </si>
  <si>
    <t>3C833MC</t>
  </si>
  <si>
    <t>JTSJV28-8K75</t>
  </si>
  <si>
    <t>887648644397</t>
  </si>
  <si>
    <t>Trolls by DreamWorks Juniors Trolls Graphic Raglan WhitePurple Heather L</t>
  </si>
  <si>
    <t>TJSJ042-8K66</t>
  </si>
  <si>
    <t>887648661592</t>
  </si>
  <si>
    <t>Freeze 24-7 Juniors Marvel Heroes Metalli WhiteBlack S</t>
  </si>
  <si>
    <t>RVSJBD1-8K75</t>
  </si>
  <si>
    <t>F2653IEK1-MACY</t>
  </si>
  <si>
    <t>645545954045</t>
  </si>
  <si>
    <t>Rebellious One Rebellious One Juniors Patche Olive Ivory S</t>
  </si>
  <si>
    <t>A2700JV1276</t>
  </si>
  <si>
    <t>F2644IEHA-MACY</t>
  </si>
  <si>
    <t>887648661851</t>
  </si>
  <si>
    <t>Freeze 24-7 Juniors Stitch Graphic Baseba Charcaol Heather L</t>
  </si>
  <si>
    <t>WVSJ085-8K75</t>
  </si>
  <si>
    <t>JL2357JDY4411</t>
  </si>
  <si>
    <t>PINKOVERFL</t>
  </si>
  <si>
    <t>JS3847JTRL0117</t>
  </si>
  <si>
    <t>887648644632</t>
  </si>
  <si>
    <t>Trolls by DreamWorks Juniors Trolls Graphic Raglan WhiteGrey Heather L</t>
  </si>
  <si>
    <t>887648644557</t>
  </si>
  <si>
    <t>Trolls by DreamWorks Juniors Trolls Graphic Raglan Grey Heather S</t>
  </si>
  <si>
    <t>TJSJ060-8K75</t>
  </si>
  <si>
    <t>887648644625</t>
  </si>
  <si>
    <t>Trolls by DreamWorks Juniors Trolls Graphic Raglan WhiteGrey Heather M</t>
  </si>
  <si>
    <t>887648644564</t>
  </si>
  <si>
    <t>Trolls by DreamWorks Juniors Trolls Graphic Raglan Grey Heather M</t>
  </si>
  <si>
    <t>190371275746</t>
  </si>
  <si>
    <t>Bioworld Juniors Graphic T-Shirt White M</t>
  </si>
  <si>
    <t>TS4NCWBTM</t>
  </si>
  <si>
    <t>3B643MC</t>
  </si>
  <si>
    <t>A2JD714</t>
  </si>
  <si>
    <t>IA2985J124A</t>
  </si>
  <si>
    <t>637677151126</t>
  </si>
  <si>
    <t>Belle Du Jour Juniors Daydreamer Graphic Ri Burgundy M</t>
  </si>
  <si>
    <t>0VUHNRSE</t>
  </si>
  <si>
    <t>693401667943</t>
  </si>
  <si>
    <t>NTD Juniors Cuffed-Sleeve Los Ang White L</t>
  </si>
  <si>
    <t>QE1048YK1746</t>
  </si>
  <si>
    <t>QE1048YK1751</t>
  </si>
  <si>
    <t>746194690282</t>
  </si>
  <si>
    <t>Rampage Juniors Drop-Shoulder Cupcake Light Heather Grey M</t>
  </si>
  <si>
    <t>746194690152</t>
  </si>
  <si>
    <t>Rampage Juniors Drop-Shoulder Dreamca Pink Heather L</t>
  </si>
  <si>
    <t>746194690435</t>
  </si>
  <si>
    <t>Rampage Juniors Drop-Shoulder Emoji G Lilac XS</t>
  </si>
  <si>
    <t>3A578MC</t>
  </si>
  <si>
    <t>746194690084</t>
  </si>
  <si>
    <t>Rampage Juniors Drop-Shoulder Coffee Cloud Dancer S</t>
  </si>
  <si>
    <t>M61220</t>
  </si>
  <si>
    <t>190344513790</t>
  </si>
  <si>
    <t>Hybrid Juniors Pokemon Catch Em Al White XL</t>
  </si>
  <si>
    <t>190344513776</t>
  </si>
  <si>
    <t>Hybrid Juniors Pokemon Catch Em Al White M</t>
  </si>
  <si>
    <t>705143667386</t>
  </si>
  <si>
    <t>Energie Juniors Scoop-Neck Top Antique White XXS</t>
  </si>
  <si>
    <t>705143664439</t>
  </si>
  <si>
    <t>Energie Juniors Scoop-Neck Top Jester Red M</t>
  </si>
  <si>
    <t>705143664460</t>
  </si>
  <si>
    <t>Energie Juniors Scoop-Neck Top Jester Red XS</t>
  </si>
  <si>
    <t>705143664361</t>
  </si>
  <si>
    <t>Energie Juniors Scoop-Neck Top Light Heather Grey L</t>
  </si>
  <si>
    <t>821942425320</t>
  </si>
  <si>
    <t>Planet Gold Juniors Rib-Knit Cold-Shoulde Rumba Red XS</t>
  </si>
  <si>
    <t>A2JT715</t>
  </si>
  <si>
    <t>KHAKI</t>
  </si>
  <si>
    <t>B2JN169</t>
  </si>
  <si>
    <t>637865182314</t>
  </si>
  <si>
    <t>Calvin Klein Jeans Printed Denim Shift Dress Indigo Camo XL</t>
  </si>
  <si>
    <t>637865182284</t>
  </si>
  <si>
    <t>Calvin Klein Jeans Printed Denim Shift Dress Indigo Camo S</t>
  </si>
  <si>
    <t>652874872636</t>
  </si>
  <si>
    <t>NAVY MAXI DRS W/TRIM @ WS</t>
  </si>
  <si>
    <t>X34561H513</t>
  </si>
  <si>
    <t>NO SIZE</t>
  </si>
  <si>
    <t>42YW102</t>
  </si>
  <si>
    <t>637865283707</t>
  </si>
  <si>
    <t>Calvin Klein Jeans Utility Shirt White Wash M</t>
  </si>
  <si>
    <t>P6HQ37</t>
  </si>
  <si>
    <t>5513SIC8</t>
  </si>
  <si>
    <t>42ZK250</t>
  </si>
  <si>
    <t>842127107787</t>
  </si>
  <si>
    <t>American Rag Embroidered Lace Fit Flare D Classic Black M</t>
  </si>
  <si>
    <t>7Q2960AR</t>
  </si>
  <si>
    <t>7506AM5DT3</t>
  </si>
  <si>
    <t>652874802435</t>
  </si>
  <si>
    <t>Speechless Juniors Glittered Lace Dress Cherry Red 5</t>
  </si>
  <si>
    <t>D51063HVS</t>
  </si>
  <si>
    <t>1967QD8BT1</t>
  </si>
  <si>
    <t>661414516763</t>
  </si>
  <si>
    <t>Teeze Me Juniors Reversible Knit Dress Deep Ocean Blue XS</t>
  </si>
  <si>
    <t>A4191</t>
  </si>
  <si>
    <t>637865192191</t>
  </si>
  <si>
    <t>Calvin Klein Jeans Lace-Up Split-Neck T-Shirt Wasabi M</t>
  </si>
  <si>
    <t>42ZK242</t>
  </si>
  <si>
    <t>HI RISE SUPER SKNY J</t>
  </si>
  <si>
    <t>6FD39</t>
  </si>
  <si>
    <t>886680025829</t>
  </si>
  <si>
    <t>NEON FLRL OTS 2FER</t>
  </si>
  <si>
    <t>10380MG</t>
  </si>
  <si>
    <t>889775095424</t>
  </si>
  <si>
    <t>SS COCOON SWT SHRG</t>
  </si>
  <si>
    <t>6HT51</t>
  </si>
  <si>
    <t>TEAL ONE SHOULDER DRAPED</t>
  </si>
  <si>
    <t>3492SCR3</t>
  </si>
  <si>
    <t>SURF JUNIORS</t>
  </si>
  <si>
    <t>O'NEILL SPORTSWEAR</t>
  </si>
  <si>
    <t>BLAC COLD SHOULDER, LEAST</t>
  </si>
  <si>
    <t>117766R</t>
  </si>
  <si>
    <t>826422004385</t>
  </si>
  <si>
    <t>BCX Juniors Lace Bomber Jacket Off White XS</t>
  </si>
  <si>
    <t>006220C</t>
  </si>
  <si>
    <t>191170004421</t>
  </si>
  <si>
    <t>Trixxi Juniors Embroidered Illusion Black S</t>
  </si>
  <si>
    <t>26K9706Z6I</t>
  </si>
  <si>
    <t>TRIXXI CLOTHING COMPANY INC</t>
  </si>
  <si>
    <t>791093382301</t>
  </si>
  <si>
    <t>SHIFT Juniors Crushed Velvet Slip D Silver M</t>
  </si>
  <si>
    <t>JK1281D1GLNM</t>
  </si>
  <si>
    <t>886680006897</t>
  </si>
  <si>
    <t>Material Girl Juniors Metallic Lace Bodysui Black Combo XL</t>
  </si>
  <si>
    <t>20203MG</t>
  </si>
  <si>
    <t>637865341056</t>
  </si>
  <si>
    <t>Calvin Klein Jeans Printed High-Low T-Shirt Marshmallow M</t>
  </si>
  <si>
    <t>42AK269</t>
  </si>
  <si>
    <t>LIGH CROPPED CALVIN CAVIA</t>
  </si>
  <si>
    <t>42ZK921</t>
  </si>
  <si>
    <t>706256917955</t>
  </si>
  <si>
    <t>GOLD FOIL JACKET</t>
  </si>
  <si>
    <t>M61149</t>
  </si>
  <si>
    <t>706256917948</t>
  </si>
  <si>
    <t>889775090665</t>
  </si>
  <si>
    <t>BLK LCE SLV NKLC TT</t>
  </si>
  <si>
    <t>1073T92</t>
  </si>
  <si>
    <t>826409835858</t>
  </si>
  <si>
    <t>MYB020081</t>
  </si>
  <si>
    <t>AN5461C4MZ</t>
  </si>
  <si>
    <t>841907136504</t>
  </si>
  <si>
    <t>Indigo Rein Juniors Cuffed Fischer Wash S Fischer Wash 1</t>
  </si>
  <si>
    <t>841907136498</t>
  </si>
  <si>
    <t>Indigo Rein Juniors Cuffed Fischer Wash S Fischer Wash 0</t>
  </si>
  <si>
    <t>826422145149</t>
  </si>
  <si>
    <t>BCX Juniors Cropped Wide-Leg Soft Black S</t>
  </si>
  <si>
    <t>BLK RFFL FRT BBL</t>
  </si>
  <si>
    <t>1018X35</t>
  </si>
  <si>
    <t>887400720185</t>
  </si>
  <si>
    <t>Eyeshadow Trendy Plus Size Sheer Cold-Sh Victorian Grey 2X</t>
  </si>
  <si>
    <t>190040312390</t>
  </si>
  <si>
    <t>Almost Famous Juniors Striped Fringe Waterf SagePink S</t>
  </si>
  <si>
    <t>889901163812</t>
  </si>
  <si>
    <t>Hooked Up by IOT Juniors Amaaazing Pullover Sw Twilight Blue Combo L</t>
  </si>
  <si>
    <t>J63830M</t>
  </si>
  <si>
    <t>889901163805</t>
  </si>
  <si>
    <t>Hooked Up by IOT Juniors Amaaazing Pullover Sw Twilight Blue Combo M</t>
  </si>
  <si>
    <t>889901163799</t>
  </si>
  <si>
    <t>Hooked Up by IOT Juniors Amaaazing Pullover Sw Twilight Blue Combo S</t>
  </si>
  <si>
    <t>826422582807</t>
  </si>
  <si>
    <t>BCX Juniors Ruffled Cold-Shoulder Black M</t>
  </si>
  <si>
    <t>1051C8H</t>
  </si>
  <si>
    <t>H6F0141</t>
  </si>
  <si>
    <t>841060125889</t>
  </si>
  <si>
    <t>Hippie Rose Juniors Lace-Trim Asymmetrica Brandywine M</t>
  </si>
  <si>
    <t>190040349761</t>
  </si>
  <si>
    <t>Almost Famous Juniors Patch-Trim Tunic Bomb Light Heather Grey XS</t>
  </si>
  <si>
    <t>SP6099MAC</t>
  </si>
  <si>
    <t>637677237110</t>
  </si>
  <si>
    <t>Belle Du Jour Juniors Cardigan, T-Shirt and Heather Oatmeal M</t>
  </si>
  <si>
    <t>1DGENSXT</t>
  </si>
  <si>
    <t>637677233419</t>
  </si>
  <si>
    <t>Belle Du Jour Juniors Cardigan, T-Shirt and Deep Merlot M</t>
  </si>
  <si>
    <t>1DFHNSYA</t>
  </si>
  <si>
    <t>706256894966</t>
  </si>
  <si>
    <t>INC International Concepts Pique Dress with Bow Ballet Pink 6</t>
  </si>
  <si>
    <t>M61155</t>
  </si>
  <si>
    <t>706256917658</t>
  </si>
  <si>
    <t>GOLD METALL CROP LEG</t>
  </si>
  <si>
    <t>M61227</t>
  </si>
  <si>
    <t>706256917603</t>
  </si>
  <si>
    <t>ALV LC BABY TEE</t>
  </si>
  <si>
    <t>6HL34</t>
  </si>
  <si>
    <t>LS ONE PKT TWILL PLAID</t>
  </si>
  <si>
    <t>PW13829MC</t>
  </si>
  <si>
    <t>889775092874</t>
  </si>
  <si>
    <t>STRPY BASIC TNK</t>
  </si>
  <si>
    <t>6HK97</t>
  </si>
  <si>
    <t>693401705355</t>
  </si>
  <si>
    <t>821942448749</t>
  </si>
  <si>
    <t>Planet Gold Juniors Off-the-Shoulder Dres Blue XXS</t>
  </si>
  <si>
    <t>821942000008</t>
  </si>
  <si>
    <t>STRIPE ELBOW OFF SHOULDE</t>
  </si>
  <si>
    <t>A3JD305REJ</t>
  </si>
  <si>
    <t>GUJT002P</t>
  </si>
  <si>
    <t>CHERRY STIX LTD</t>
  </si>
  <si>
    <t>SL SCP NK TANK W/ CROCHE</t>
  </si>
  <si>
    <t>8</t>
  </si>
  <si>
    <t>CRYSTAL DOLL/CRYSTAL LYNN CLOTHING</t>
  </si>
  <si>
    <t>686812525599</t>
  </si>
  <si>
    <t>American Rag Knit-Trim Hooded Anorak Jacket Sage M</t>
  </si>
  <si>
    <t>686812525582</t>
  </si>
  <si>
    <t>American Rag Knit-Trim Hooded Anorak Jacket Sage S</t>
  </si>
  <si>
    <t>886542627499</t>
  </si>
  <si>
    <t>B Darlin Juniors 2-Pc. Sequin-Lace Bod Black 910</t>
  </si>
  <si>
    <t>D563G418H</t>
  </si>
  <si>
    <t>637865185230</t>
  </si>
  <si>
    <t>Calvin Klein Jeans Drop-Waist Peasant Top Pristine M</t>
  </si>
  <si>
    <t>DNMLAB/BTRDNM</t>
  </si>
  <si>
    <t>VELVET HEART/TCJ MANUFACTURING</t>
  </si>
  <si>
    <t>889775030999</t>
  </si>
  <si>
    <t>American Rag Juniors Hooded Pullover Sweat Biking RedBlue Combo XS</t>
  </si>
  <si>
    <t>6TS28BDO</t>
  </si>
  <si>
    <t>889775031002</t>
  </si>
  <si>
    <t>American Rag Juniors Hooded Pullover Sweat Biking RedBlue Combo S</t>
  </si>
  <si>
    <t>791093296493</t>
  </si>
  <si>
    <t>In Awe of You by AwesomenessTV Juniors Sleeveless Jewel-Embe Pink S</t>
  </si>
  <si>
    <t>SPJ221D1GA8M</t>
  </si>
  <si>
    <t>12790AR</t>
  </si>
  <si>
    <t>10317MG</t>
  </si>
  <si>
    <t>889775087658</t>
  </si>
  <si>
    <t>American Rag Printed Pintucked Fit Flare Black Multi S</t>
  </si>
  <si>
    <t>DARKORANGE</t>
  </si>
  <si>
    <t>826410223163</t>
  </si>
  <si>
    <t>BCX Juniors Crocheted Lace Fit Wine 13</t>
  </si>
  <si>
    <t>1108T0V</t>
  </si>
  <si>
    <t>844620178394</t>
  </si>
  <si>
    <t>American Rag Crochet-Trim Faux-Suede Sheath Tan XL</t>
  </si>
  <si>
    <t>7L2511TAN</t>
  </si>
  <si>
    <t>889775065830</t>
  </si>
  <si>
    <t>American Rag Printed Three Quarter-Sleeve R Black Combo XL</t>
  </si>
  <si>
    <t>5BN74DCKC</t>
  </si>
  <si>
    <t>889775070650</t>
  </si>
  <si>
    <t>American Rag High-Waist Trudy Wash Skinny J Twilight Wash 15</t>
  </si>
  <si>
    <t>888825380800</t>
  </si>
  <si>
    <t>Material Girl Juniors Illusion Diamond-Embo Caviar Black XXS</t>
  </si>
  <si>
    <t>90009BK204</t>
  </si>
  <si>
    <t>8532SMT5</t>
  </si>
  <si>
    <t>D5VJJ090H</t>
  </si>
  <si>
    <t>889775077154</t>
  </si>
  <si>
    <t>American Rag Juniors Printed Shift Dress Pale Pink Multi S</t>
  </si>
  <si>
    <t>5FX02H</t>
  </si>
  <si>
    <t>JA25803H427</t>
  </si>
  <si>
    <t>889775069654</t>
  </si>
  <si>
    <t>American Rag Colored Wash Super-Skinny Jean Olive 15</t>
  </si>
  <si>
    <t>6BN91X</t>
  </si>
  <si>
    <t>8487DWB3</t>
  </si>
  <si>
    <t>829092244150</t>
  </si>
  <si>
    <t>XOXO Juniors Ruched-Sleeve Lace Ca Black M</t>
  </si>
  <si>
    <t>4272XFL3</t>
  </si>
  <si>
    <t>889775066073</t>
  </si>
  <si>
    <t>American Rag Black Wash Super-Skinny Jeans Black 1</t>
  </si>
  <si>
    <t>6BD22X</t>
  </si>
  <si>
    <t>889775077017</t>
  </si>
  <si>
    <t>American Rag Striped Button-Down Fit Flar Multi Stripe S</t>
  </si>
  <si>
    <t>6FR04C</t>
  </si>
  <si>
    <t>768594155642</t>
  </si>
  <si>
    <t>American Rag Cami T-Shirt Dress Coral L</t>
  </si>
  <si>
    <t>768594155628</t>
  </si>
  <si>
    <t>American Rag Cami T-Shirt Dress Coral S</t>
  </si>
  <si>
    <t>W4D345AR</t>
  </si>
  <si>
    <t>889775076331</t>
  </si>
  <si>
    <t>American Rag Printed Tassel-Tie Peasant Blo Black Combo L</t>
  </si>
  <si>
    <t>6BW32B</t>
  </si>
  <si>
    <t>6BK38</t>
  </si>
  <si>
    <t>889775090436</t>
  </si>
  <si>
    <t>American Rag Embellished Cold-Shoulder Peas Teal XL</t>
  </si>
  <si>
    <t>0079T14</t>
  </si>
  <si>
    <t>826409878480</t>
  </si>
  <si>
    <t>BCX Juniors Textured Open-Front B Black L</t>
  </si>
  <si>
    <t>EHQ13283I</t>
  </si>
  <si>
    <t>6SX20CCKK</t>
  </si>
  <si>
    <t>886998513483</t>
  </si>
  <si>
    <t>American Rag Trendy Plus Size Lace-Trim Hen Egret 2X</t>
  </si>
  <si>
    <t>708008360866</t>
  </si>
  <si>
    <t>City Studios Juniors Double-Strap High-Low Cherry M</t>
  </si>
  <si>
    <t>9560JM6BT1</t>
  </si>
  <si>
    <t>6BK11ROC</t>
  </si>
  <si>
    <t>601350979499</t>
  </si>
  <si>
    <t>Speechless Juniors Printed Mock-Turtlene Navyred M</t>
  </si>
  <si>
    <t>JA87011C842</t>
  </si>
  <si>
    <t>60053MG</t>
  </si>
  <si>
    <t>P6HQ21B</t>
  </si>
  <si>
    <t>829092232706</t>
  </si>
  <si>
    <t>XOXO Juniors Cold-Shoulder Cutout Hunter XL</t>
  </si>
  <si>
    <t>3474TRA3</t>
  </si>
  <si>
    <t>829092234977</t>
  </si>
  <si>
    <t>XOXO Juniors Button-Front Mini A-L Gold M</t>
  </si>
  <si>
    <t>829826304976</t>
  </si>
  <si>
    <t>Planet Gold Juniors Advent Calendar Pullo Navy L</t>
  </si>
  <si>
    <t>M2JP022</t>
  </si>
  <si>
    <t>829826304990</t>
  </si>
  <si>
    <t>Planet Gold Juniors Advent Calendar Pullo Navy S</t>
  </si>
  <si>
    <t>829826304983</t>
  </si>
  <si>
    <t>Planet Gold Juniors Advent Calendar Pullo Navy M</t>
  </si>
  <si>
    <t>ERJWD03061</t>
  </si>
  <si>
    <t>887043618047</t>
  </si>
  <si>
    <t>Celebrity Pink Body Sculpt by Celebrity Pink Gypsy Rock 0</t>
  </si>
  <si>
    <t>CJ22003SN</t>
  </si>
  <si>
    <t>746194692934</t>
  </si>
  <si>
    <t>Material Girl Juniors Off-The-Shoulder Body Black M</t>
  </si>
  <si>
    <t>887043500502</t>
  </si>
  <si>
    <t>Celebrity Pink Juniors Light Wash Skinny Jea Mystic Falls 15</t>
  </si>
  <si>
    <t>CJ20823SG</t>
  </si>
  <si>
    <t>888825936090</t>
  </si>
  <si>
    <t>Material Girl Juniors Illusion Lace Bodysui Blush S</t>
  </si>
  <si>
    <t>3440KCR3</t>
  </si>
  <si>
    <t>887043679871</t>
  </si>
  <si>
    <t>Celebrity Pink Juniors Slimming Technology C Black 15</t>
  </si>
  <si>
    <t>R1494UNES</t>
  </si>
  <si>
    <t>887043679925</t>
  </si>
  <si>
    <t>Celebrity Pink Juniors Slimming Technology C Burnt Red 1</t>
  </si>
  <si>
    <t>887043679987</t>
  </si>
  <si>
    <t>Celebrity Pink Juniors Slimming Technology C Burnt Red 13</t>
  </si>
  <si>
    <t>RJ031016</t>
  </si>
  <si>
    <t>RAMPAGE/IBRANDS INTL LLC</t>
  </si>
  <si>
    <t>889602109898</t>
  </si>
  <si>
    <t>Freshman Juniors One-Button Knit Blaze Secluded S</t>
  </si>
  <si>
    <t>889602109720</t>
  </si>
  <si>
    <t>Freshman Juniors One-Button Knit Blaze Jet Black S</t>
  </si>
  <si>
    <t>IMPERIAL STAR/REVISE CLOTHING INC</t>
  </si>
  <si>
    <t>888650119521</t>
  </si>
  <si>
    <t>Ariya Juniors Curvy Embellished Med Delano 13</t>
  </si>
  <si>
    <t>887043694119</t>
  </si>
  <si>
    <t>Celebrity Pink Juniors Paisley Metallic-Prin BlackMetallic Print 5</t>
  </si>
  <si>
    <t>CJ21034P1751</t>
  </si>
  <si>
    <t>CJ21034P1757</t>
  </si>
  <si>
    <t>32136M</t>
  </si>
  <si>
    <t>PT14566MC</t>
  </si>
  <si>
    <t>713701108530</t>
  </si>
  <si>
    <t>American Rag Juniors Lace Contrast Henley Zinfandel S</t>
  </si>
  <si>
    <t>713701108462</t>
  </si>
  <si>
    <t>American Rag Juniors Lace Contrast Henley Dusty Olive S</t>
  </si>
  <si>
    <t>713701108523</t>
  </si>
  <si>
    <t>American Rag Juniors Lace Contrast Henley Zinfandel XS</t>
  </si>
  <si>
    <t>888825958788</t>
  </si>
  <si>
    <t>Tinseltown Juniors Sweater-Sleeve Denim Dark Wash M</t>
  </si>
  <si>
    <t>RR5403C1MZ</t>
  </si>
  <si>
    <t>887043693679</t>
  </si>
  <si>
    <t>Celebrity Pink Juniors Flocked Skinny Jeans Black 9</t>
  </si>
  <si>
    <t>1092V0M</t>
  </si>
  <si>
    <t>CJ20615M42</t>
  </si>
  <si>
    <t>1092V1W</t>
  </si>
  <si>
    <t>J2696A5D</t>
  </si>
  <si>
    <t>888825899081</t>
  </si>
  <si>
    <t>Tinseltown Juniors Ripped Medium Wash Sk Medium Wash 11</t>
  </si>
  <si>
    <t>MYB019229</t>
  </si>
  <si>
    <t>516-JS315</t>
  </si>
  <si>
    <t>1021X30</t>
  </si>
  <si>
    <t>1092V7G</t>
  </si>
  <si>
    <t>887043532688</t>
  </si>
  <si>
    <t>Celebrity Pink Juniors Soft Skinny Jeans Prince Light 3</t>
  </si>
  <si>
    <t>J8976BE4</t>
  </si>
  <si>
    <t>CJ20974A57</t>
  </si>
  <si>
    <t>J8976ABB</t>
  </si>
  <si>
    <t>841413126433</t>
  </si>
  <si>
    <t>OhMG Juniors Southwest Asymmetrica BlackWhite XS</t>
  </si>
  <si>
    <t>841413126488</t>
  </si>
  <si>
    <t>OhMG Juniors Southwest Asymmetrica Burgundy XS</t>
  </si>
  <si>
    <t>841413126440</t>
  </si>
  <si>
    <t>OhMG Juniors Southwest Asymmetrica BlackWhite S</t>
  </si>
  <si>
    <t>841413126495</t>
  </si>
  <si>
    <t>OhMG Juniors Southwest Asymmetrica Burgundy S</t>
  </si>
  <si>
    <t>841413126501</t>
  </si>
  <si>
    <t>OhMG Juniors Southwest Asymmetrica Burgundy M</t>
  </si>
  <si>
    <t>841413126532</t>
  </si>
  <si>
    <t>OhMG Juniors Southwest Asymmetrica Medium Grey XS</t>
  </si>
  <si>
    <t>645545933613</t>
  </si>
  <si>
    <t>Material Girl Juniors Mesh Zip-Up Hoodie Black XL</t>
  </si>
  <si>
    <t>M61209</t>
  </si>
  <si>
    <t>889387779736</t>
  </si>
  <si>
    <t>Trixxi Juniors Flared Cutout Dress Royal 5</t>
  </si>
  <si>
    <t>86F9599MXI</t>
  </si>
  <si>
    <t>645545933996</t>
  </si>
  <si>
    <t>Material Girl Juniors Graphic Mesh-Inset Sw Heather Charcoal M</t>
  </si>
  <si>
    <t>M61212</t>
  </si>
  <si>
    <t>888825991716</t>
  </si>
  <si>
    <t>Tinseltown Juniors Black Wash Skinny Mot Black 5</t>
  </si>
  <si>
    <t>829826295847</t>
  </si>
  <si>
    <t>Planet Gold Juniors Kiss Me Pullover Swea Black L</t>
  </si>
  <si>
    <t>M2JP023</t>
  </si>
  <si>
    <t>829826295861</t>
  </si>
  <si>
    <t>Planet Gold Juniors Kiss Me Pullover Swea Black S</t>
  </si>
  <si>
    <t>1080Y49</t>
  </si>
  <si>
    <t>888825991808</t>
  </si>
  <si>
    <t>Tinseltown Juniors Moto Burgundy Wash Sk Burgundy 5</t>
  </si>
  <si>
    <t>888825991792</t>
  </si>
  <si>
    <t>Tinseltown Juniors Moto Burgundy Wash Sk Burgundy 3</t>
  </si>
  <si>
    <t>CJ20974Z35</t>
  </si>
  <si>
    <t>888825870554</t>
  </si>
  <si>
    <t>Tinseltown Juniors High-Waist Skinny Jea Moss Camo Printed 5</t>
  </si>
  <si>
    <t>MYB018899</t>
  </si>
  <si>
    <t>888825870547</t>
  </si>
  <si>
    <t>Tinseltown Juniors High-Waist Skinny Jea Moss Camo Printed 3</t>
  </si>
  <si>
    <t>888825870530</t>
  </si>
  <si>
    <t>Tinseltown Juniors High-Waist Skinny Jea Moss Camo Printed 1</t>
  </si>
  <si>
    <t>190040292913</t>
  </si>
  <si>
    <t>Almost Famous Juniors Sequin T-Rex Cropped Heather Oatmeal L</t>
  </si>
  <si>
    <t>RV9750MC</t>
  </si>
  <si>
    <t>LT/PAS ORG</t>
  </si>
  <si>
    <t>190040292951</t>
  </si>
  <si>
    <t>Almost Famous Juniors Graphic Cropped Pullo Heather Grey M</t>
  </si>
  <si>
    <t>RV9770MC</t>
  </si>
  <si>
    <t>840523180953</t>
  </si>
  <si>
    <t>Indigo Rein Juniors Ripped Light Wash Ski Med Blue 9</t>
  </si>
  <si>
    <t>RR5162C26MZ</t>
  </si>
  <si>
    <t>190040292890</t>
  </si>
  <si>
    <t>Almost Famous Juniors Sequin T-Rex Cropped Heather Oatmeal S</t>
  </si>
  <si>
    <t>5T52009MC</t>
  </si>
  <si>
    <t>316- JS536</t>
  </si>
  <si>
    <t>889602128400</t>
  </si>
  <si>
    <t>Jessica Simpson Juniors Pullover Hoodie Deep Carribean S</t>
  </si>
  <si>
    <t>841060123120</t>
  </si>
  <si>
    <t>Hippie Rose Juniors Crisscross-Back High- Med Heather S</t>
  </si>
  <si>
    <t>889901118065</t>
  </si>
  <si>
    <t>Hooked Up by IOT Juniors Fringed Mixed-Pattern Mood IndigoRuby Wine S</t>
  </si>
  <si>
    <t>695532440228</t>
  </si>
  <si>
    <t>Ultra Flirt Juniors Striped Mitered-Hem T BlackWhite M</t>
  </si>
  <si>
    <t>695532440464</t>
  </si>
  <si>
    <t>Ultra Flirt Juniors Space-Dyed Mitered-He BlackGrayIvory S</t>
  </si>
  <si>
    <t>841060123274</t>
  </si>
  <si>
    <t>Hippie Rose Juniors Striped Crisscross-Ba Wicked Combo S</t>
  </si>
  <si>
    <t>887043661234</t>
  </si>
  <si>
    <t>Celebrity Pink Juniors Skinny Ponte Pants Heather Charcoal 3</t>
  </si>
  <si>
    <t>CJ21034M42</t>
  </si>
  <si>
    <t>841060123113</t>
  </si>
  <si>
    <t>Hippie Rose Juniors Crisscross-Back High- Med Heather XS</t>
  </si>
  <si>
    <t>841060123151</t>
  </si>
  <si>
    <t>Hippie Rose Juniors Crisscross-Back High- Med Heather XL</t>
  </si>
  <si>
    <t>JA26406J508</t>
  </si>
  <si>
    <t>MED YELLOW</t>
  </si>
  <si>
    <t>645545917446</t>
  </si>
  <si>
    <t>Material Girl Juniors Graphic Pullover Hood Flashmode S</t>
  </si>
  <si>
    <t>M6O26FM212</t>
  </si>
  <si>
    <t>645545917422</t>
  </si>
  <si>
    <t>Material Girl Juniors Graphic Pullover Hood Flashmode XS</t>
  </si>
  <si>
    <t>746194687190</t>
  </si>
  <si>
    <t>Material Girl Juniors Cap-Sleeve Bodysuit Black S</t>
  </si>
  <si>
    <t>710816359284</t>
  </si>
  <si>
    <t>BCX Juniors High-Waist Pencil Skir Black 7</t>
  </si>
  <si>
    <t>4075D30</t>
  </si>
  <si>
    <t>695532480729</t>
  </si>
  <si>
    <t>Ultra Flirt Juniors Sleeveless Mock-Neck Black S</t>
  </si>
  <si>
    <t>841060119062</t>
  </si>
  <si>
    <t>Hippie Rose Juniors Handkerchief-Hem Card Black Combo XS</t>
  </si>
  <si>
    <t>619720908673</t>
  </si>
  <si>
    <t>Be Bop Juniors Military Shirt Ivory L</t>
  </si>
  <si>
    <t>GJ3115ANP</t>
  </si>
  <si>
    <t>FISH BOWL/SECOND GENERATION</t>
  </si>
  <si>
    <t>887648645417</t>
  </si>
  <si>
    <t>Freeze 24-7 Juniors Minnie Mouse Patch Gr True Black M</t>
  </si>
  <si>
    <t>M6816NS212</t>
  </si>
  <si>
    <t>655998038339</t>
  </si>
  <si>
    <t>Material Girl Juniors Racerback Sports Bra Black Space Dye XS</t>
  </si>
  <si>
    <t>655998038315</t>
  </si>
  <si>
    <t>Material Girl Juniors Racerback Sports Bra Black Space Dye S</t>
  </si>
  <si>
    <t>887648645400</t>
  </si>
  <si>
    <t>Freeze 24-7 Juniors Minnie Mouse Patch Gr True Black S</t>
  </si>
  <si>
    <t>M6953HC212</t>
  </si>
  <si>
    <t>M6O08NR212</t>
  </si>
  <si>
    <t>645545932241</t>
  </si>
  <si>
    <t>Material Girl Active Juniors Metallic Hoodi Black XL</t>
  </si>
  <si>
    <t>706256695259</t>
  </si>
  <si>
    <t>Material Girl Active Juniors Lace-Waist Yog Black S</t>
  </si>
  <si>
    <t>706256694894</t>
  </si>
  <si>
    <t>Material Girl Juniors Graphic Jogger Pants Black XS</t>
  </si>
  <si>
    <t>M61119</t>
  </si>
  <si>
    <t>M61114</t>
  </si>
  <si>
    <t>645545931978</t>
  </si>
  <si>
    <t>Material Girl Active Juniors Metallic-Detai Black M</t>
  </si>
  <si>
    <t>887069474993</t>
  </si>
  <si>
    <t>Pink Rose Juniors Rib-Knit Fine-Gauge S Medium Heather Grey XL</t>
  </si>
  <si>
    <t>PF626722</t>
  </si>
  <si>
    <t>1033V07</t>
  </si>
  <si>
    <t>ONE CLOTHING/O&amp;K DBA ONE CLOTHING</t>
  </si>
  <si>
    <t>841060124233</t>
  </si>
  <si>
    <t>Hippie Rose Juniors Long-Sleeve Coccoon C BlackIvory M</t>
  </si>
  <si>
    <t>705143699035</t>
  </si>
  <si>
    <t>Energie Juniors Molly Striped V-Neck CaviarHeather L</t>
  </si>
  <si>
    <t>887069475211</t>
  </si>
  <si>
    <t>Pink Rose Juniors Ruched-Side Fine-Gaug Black S</t>
  </si>
  <si>
    <t>PF613237</t>
  </si>
  <si>
    <t>841060124424</t>
  </si>
  <si>
    <t>Hippie Rose Juniors Crochet-Contrast Pull Mountain BlueBlack S</t>
  </si>
  <si>
    <t>J62195M</t>
  </si>
  <si>
    <t>841060124967</t>
  </si>
  <si>
    <t>Hippie Rose Juniors Long-Sleeve Asymmetri Olive Branch XS</t>
  </si>
  <si>
    <t>887854011242</t>
  </si>
  <si>
    <t>Miss Chievous Juniors Lace-Trim V-Neck Tuni Shadow XS</t>
  </si>
  <si>
    <t>841060124844</t>
  </si>
  <si>
    <t>Hippie Rose Juniors Long-Sleeve Asymmetri Medium Heather Grey L</t>
  </si>
  <si>
    <t>887854000451</t>
  </si>
  <si>
    <t>Miss Chievous Juniors Printed Raglan-Sleeve Soft Breeze XS</t>
  </si>
  <si>
    <t>JF9277X156</t>
  </si>
  <si>
    <t>829826310427</t>
  </si>
  <si>
    <t>Planet Gold Juniors Holiday-Print Fit F Blue Combo M</t>
  </si>
  <si>
    <t>M2JR475</t>
  </si>
  <si>
    <t>829826311660</t>
  </si>
  <si>
    <t>Planet Gold Juniors Holiday-Print Fit F Black Combo M</t>
  </si>
  <si>
    <t>M2JR476</t>
  </si>
  <si>
    <t>829826310434</t>
  </si>
  <si>
    <t>Planet Gold Juniors Holiday-Print Fit F Blue Combo S</t>
  </si>
  <si>
    <t>887854011105</t>
  </si>
  <si>
    <t>Miss Chievous Juniors Lace-Trim V-Neck Tuni Faded Fatigue XS</t>
  </si>
  <si>
    <t>695532456526</t>
  </si>
  <si>
    <t>Ultra Flirt Juniors Moto Leggings Burgundy M</t>
  </si>
  <si>
    <t>4P24MC</t>
  </si>
  <si>
    <t>TJSJ076-3L13</t>
  </si>
  <si>
    <t>705143708225</t>
  </si>
  <si>
    <t>Energie Juniors Jacey Printed Legging Medium Red M</t>
  </si>
  <si>
    <t>637677212629</t>
  </si>
  <si>
    <t>Belle Du Jour Juniors Lace-Trim Hoodie Tuni Red Plum S</t>
  </si>
  <si>
    <t>1BSNAJNM</t>
  </si>
  <si>
    <t>59141M</t>
  </si>
  <si>
    <t>829826310366</t>
  </si>
  <si>
    <t>Planet Gold Juniors Holiday-Print Pencil Green Combo M</t>
  </si>
  <si>
    <t>M2JR473</t>
  </si>
  <si>
    <t>829826310373</t>
  </si>
  <si>
    <t>Planet Gold Juniors Holiday-Print Pencil Green Combo S</t>
  </si>
  <si>
    <t>829826310359</t>
  </si>
  <si>
    <t>Planet Gold Juniors Holiday-Print Pencil Green Combo L</t>
  </si>
  <si>
    <t>190344429053</t>
  </si>
  <si>
    <t>Hybrid Juniors Despicable Me Fluffy Light Pink S</t>
  </si>
  <si>
    <t>190344429138</t>
  </si>
  <si>
    <t>Hybrid Juniors Wink Sequin Graphic S Pearl XL</t>
  </si>
  <si>
    <t>190344429176</t>
  </si>
  <si>
    <t>Hybrid Juniors Hangry Graphic Sweats Heather Grey L</t>
  </si>
  <si>
    <t>190371272516</t>
  </si>
  <si>
    <t>Bioworld Juniors DC Comics Wonder Woma Red XL</t>
  </si>
  <si>
    <t>829826310397</t>
  </si>
  <si>
    <t>Planet Gold Juniors Holiday-Print Pencil Black Combo M</t>
  </si>
  <si>
    <t>M2JR474</t>
  </si>
  <si>
    <t>190371272455</t>
  </si>
  <si>
    <t>Bioworld Juniors DC Comics Superman Fr Heather Grey L</t>
  </si>
  <si>
    <t>190344429190</t>
  </si>
  <si>
    <t>Hybrid Juniors Fast Food Squad Cropp Pearl XS</t>
  </si>
  <si>
    <t>829826310403</t>
  </si>
  <si>
    <t>Planet Gold Juniors Holiday-Print Pencil Black Combo S</t>
  </si>
  <si>
    <t>6X68MC</t>
  </si>
  <si>
    <t>1K13017MC</t>
  </si>
  <si>
    <t>887069038454</t>
  </si>
  <si>
    <t>Material Girl Juniors Pants, Faux-Leather Le Caviar Black ML</t>
  </si>
  <si>
    <t>PC11463BLK</t>
  </si>
  <si>
    <t>ZT8470-6960-7956-MC</t>
  </si>
  <si>
    <t>190040298304</t>
  </si>
  <si>
    <t>Almost Famous Juniors Lace-Trim Roll-Sleeve Black S</t>
  </si>
  <si>
    <t>ZT8459-5484-0695-MC</t>
  </si>
  <si>
    <t>H6F0110</t>
  </si>
  <si>
    <t>821942395845</t>
  </si>
  <si>
    <t>Planet Gold Juniors Printed Fit Flare D Black Grey Floral XL</t>
  </si>
  <si>
    <t>190040297017</t>
  </si>
  <si>
    <t>Almost Famous Juniors Lattice-Front Ruched Natural L</t>
  </si>
  <si>
    <t>ZV2444-3707-MC</t>
  </si>
  <si>
    <t>695532481108</t>
  </si>
  <si>
    <t>Ultra Flirt Juniors Cowl-Neck Waffle-Knit Mauve XL</t>
  </si>
  <si>
    <t>PF629605</t>
  </si>
  <si>
    <t>645545892699</t>
  </si>
  <si>
    <t>Material Girl Juniors Graphic Tank Top Noir L</t>
  </si>
  <si>
    <t>M6705NR212</t>
  </si>
  <si>
    <t>637677211639</t>
  </si>
  <si>
    <t>Belle Du Jour Juniors Raglan-Sleeve Love Me Serenity XS</t>
  </si>
  <si>
    <t>637677211646</t>
  </si>
  <si>
    <t>Belle Du Jour Juniors Raglan-Sleeve Love Me Serenity S</t>
  </si>
  <si>
    <t>M6702FM212</t>
  </si>
  <si>
    <t>FHJB2052</t>
  </si>
  <si>
    <t>3C773MC</t>
  </si>
  <si>
    <t>843561089134</t>
  </si>
  <si>
    <t>Miss Chievous Juniors Embellished Dolman-Sl Pinot Noir L</t>
  </si>
  <si>
    <t>F2648ICB1-MACY</t>
  </si>
  <si>
    <t>190371170751</t>
  </si>
  <si>
    <t>Bioworld Juniors Superhero Graphic T-S Light Blue XS</t>
  </si>
  <si>
    <t>FA4DWRSPM</t>
  </si>
  <si>
    <t>645545892866</t>
  </si>
  <si>
    <t>Material Girl Juniors Cutout-Back Graphic T Flashmode XL</t>
  </si>
  <si>
    <t>M6708FM212</t>
  </si>
  <si>
    <t>M6966</t>
  </si>
  <si>
    <t>645545892859</t>
  </si>
  <si>
    <t>Material Girl Juniors Cutout-Back Graphic T Flashmode L</t>
  </si>
  <si>
    <t>645545892842</t>
  </si>
  <si>
    <t>Material Girl Juniors Cutout-Back Graphic T Flashmode M</t>
  </si>
  <si>
    <t>M6312FM212</t>
  </si>
  <si>
    <t>645545892835</t>
  </si>
  <si>
    <t>Material Girl Juniors Cutout-Back Graphic T Flashmode S</t>
  </si>
  <si>
    <t>645545953789</t>
  </si>
  <si>
    <t>Material Girl Juniors Graphic Racerback Tan Strong Yelllow XXS</t>
  </si>
  <si>
    <t>M6968</t>
  </si>
  <si>
    <t>BRGHT YELL</t>
  </si>
  <si>
    <t>887648645219</t>
  </si>
  <si>
    <t>Trolls by DreamWorks Juniors Trolls Graphic T-Shir Grey Heather XS</t>
  </si>
  <si>
    <t>TJSJ064-9K20</t>
  </si>
  <si>
    <t>H6S0107</t>
  </si>
  <si>
    <t>BROWN</t>
  </si>
  <si>
    <t>3B632MC</t>
  </si>
  <si>
    <t>M61111</t>
  </si>
  <si>
    <t>645545931480</t>
  </si>
  <si>
    <t>Material Girl Active Juniors Graphic Tank T Hot Chilli M</t>
  </si>
  <si>
    <t>M61112</t>
  </si>
  <si>
    <t>645545931503</t>
  </si>
  <si>
    <t>Material Girl Active Juniors Graphic Tank T Hot Chilli XL</t>
  </si>
  <si>
    <t>645545931893</t>
  </si>
  <si>
    <t>Material Girl Active Juniors Graphic Tank T Flashmode M</t>
  </si>
  <si>
    <t>645545931909</t>
  </si>
  <si>
    <t>Material Girl Active Juniors Graphic Tank T Flashmode L</t>
  </si>
  <si>
    <t>5T98MC</t>
  </si>
  <si>
    <t>190121167512</t>
  </si>
  <si>
    <t>Mighty Fine Juniors Graphic Football T-Sh Light Pink M</t>
  </si>
  <si>
    <t>F2652IEK1-MACY</t>
  </si>
  <si>
    <t>887648661837</t>
  </si>
  <si>
    <t>Freeze 24-7 Juniors Stitch Graphic Baseba Charcaol Heather S</t>
  </si>
  <si>
    <t>190121167499</t>
  </si>
  <si>
    <t>Mighty Fine Juniors Graphic Football T-Sh Light Pink XS</t>
  </si>
  <si>
    <t>A7884ICW1-MACY</t>
  </si>
  <si>
    <t>887648661868</t>
  </si>
  <si>
    <t>Freeze 24-7 Juniors Stitch Graphic Baseba Charcaol Heather XL</t>
  </si>
  <si>
    <t>190121167536</t>
  </si>
  <si>
    <t>Mighty Fine Juniors Graphic Football T-Sh Light Pink XL</t>
  </si>
  <si>
    <t>637677168513</t>
  </si>
  <si>
    <t>Belle Du Jour Juniors Graphic Raglan T-Shir Patriot BlueHeather Grey M</t>
  </si>
  <si>
    <t>0QVNNRYC</t>
  </si>
  <si>
    <t>637677168490</t>
  </si>
  <si>
    <t>Belle Du Jour Juniors Graphic Raglan T-Shir Patriot BlueHeather Grey XS</t>
  </si>
  <si>
    <t>IESJN97-8K75</t>
  </si>
  <si>
    <t>190121167529</t>
  </si>
  <si>
    <t>Mighty Fine Juniors Graphic Football T-Sh Light Pink L</t>
  </si>
  <si>
    <t>637677168506</t>
  </si>
  <si>
    <t>Belle Du Jour Juniors Graphic Raglan T-Shir Patriot BlueHeather Grey S</t>
  </si>
  <si>
    <t>190344363135</t>
  </si>
  <si>
    <t>Trolls by DreamWorks Juniors Trolls Graphic Ringer PearlFuchsia S</t>
  </si>
  <si>
    <t>J10212JTRL0119</t>
  </si>
  <si>
    <t>190344411508</t>
  </si>
  <si>
    <t>Trolls by DreamWorks Juniors Trolls Lace-Up Graphi Black L</t>
  </si>
  <si>
    <t>JS3847JTRL0116</t>
  </si>
  <si>
    <t>190344393897</t>
  </si>
  <si>
    <t>Hybrid Juniors Graphic Raglan T-Shir BlackIndigo L</t>
  </si>
  <si>
    <t>190344393859</t>
  </si>
  <si>
    <t>Hybrid Juniors Graphic Raglan T-Shir PearlHeather Charcoal XL</t>
  </si>
  <si>
    <t>190344363029</t>
  </si>
  <si>
    <t>Trolls by DreamWorks Juniors Trolls Graphic Raglan WhiteBlue XS</t>
  </si>
  <si>
    <t>JL2996JTRL0090</t>
  </si>
  <si>
    <t>IA8334J124A</t>
  </si>
  <si>
    <t>645545926240</t>
  </si>
  <si>
    <t>Rebellious One Juniors Tie-Front Top Heather Grey S</t>
  </si>
  <si>
    <t>190371275791</t>
  </si>
  <si>
    <t>Bioworld Juniors Graphic V-Neck T-Shir Navy M</t>
  </si>
  <si>
    <t>VN4LUMSPM</t>
  </si>
  <si>
    <t>645545930063</t>
  </si>
  <si>
    <t>Rebellious One Juniors Long-Sleeve High-Low Malbec M</t>
  </si>
  <si>
    <t>887648644496</t>
  </si>
  <si>
    <t>Trolls by DreamWorks Juniors Trolls Graphic Raglan WhiteBlack S</t>
  </si>
  <si>
    <t>TJSJ083-8K75</t>
  </si>
  <si>
    <t>190371275685</t>
  </si>
  <si>
    <t>Bioworld Juniors Graphic T-Shirt Athletic Heather S</t>
  </si>
  <si>
    <t>TS4NCTHPT</t>
  </si>
  <si>
    <t>190371275838</t>
  </si>
  <si>
    <t>Bioworld Juniors Graphic T-Shirt Red S</t>
  </si>
  <si>
    <t>TS4LULDCO</t>
  </si>
  <si>
    <t>693401668018</t>
  </si>
  <si>
    <t>NTD Juniors Cuffed-Sleeve Los Ang Denim Mix XS</t>
  </si>
  <si>
    <t>693401668100</t>
  </si>
  <si>
    <t>2-Kuhl Juniors Cuffed-Sleeve Sunset Grey Mix XL</t>
  </si>
  <si>
    <t>QE1048YK1750</t>
  </si>
  <si>
    <t>3C503MC</t>
  </si>
  <si>
    <t>746194690534</t>
  </si>
  <si>
    <t>Rampage Juniors Drop-Shoulder Metalli Light Heather Grey XS</t>
  </si>
  <si>
    <t>645545929777</t>
  </si>
  <si>
    <t>Rebellious One Juniors Graphic Raglan T-Shir WhiteBlack L</t>
  </si>
  <si>
    <t>IA2056JX6687</t>
  </si>
  <si>
    <t>758315007671</t>
  </si>
  <si>
    <t>Freeze 24-7 Juniors High-Low Graphic Tuni Grey Heather L</t>
  </si>
  <si>
    <t>JTSJU12-4L79</t>
  </si>
  <si>
    <t>758315007404</t>
  </si>
  <si>
    <t>Freeze 24-7 Juniors High-Low Graphic Tuni Black L</t>
  </si>
  <si>
    <t>JTSJH23-4L79</t>
  </si>
  <si>
    <t>NQSJV79-4L79</t>
  </si>
  <si>
    <t>758315007640</t>
  </si>
  <si>
    <t>Freeze 24-7 Juniors High-Low Graphic Tuni Grey Heather S</t>
  </si>
  <si>
    <t>758315007718</t>
  </si>
  <si>
    <t>Freeze 24-7 Juniors High-Low Graphic Tuni Black XS</t>
  </si>
  <si>
    <t>695532471529</t>
  </si>
  <si>
    <t>Ultra Flirt Juniors Ringer T-Shirt CharcoalHeather Black M</t>
  </si>
  <si>
    <t>3B960MC</t>
  </si>
  <si>
    <t>758315007626</t>
  </si>
  <si>
    <t>Freeze 24-7 Juniors High-Low Graphic Tuni Grey Heather XS</t>
  </si>
  <si>
    <t>758315007664</t>
  </si>
  <si>
    <t>Freeze 24-7 Juniors High-Low Graphic Tuni Grey Heather M</t>
  </si>
  <si>
    <t>758315007411</t>
  </si>
  <si>
    <t>Freeze 24-7 Juniors High-Low Graphic Tuni Black XL</t>
  </si>
  <si>
    <t>645545952553</t>
  </si>
  <si>
    <t>Rebellious One Juniors Colorblock Graphic Tu Blush Deep L</t>
  </si>
  <si>
    <t>M6O66BW212</t>
  </si>
  <si>
    <t>645545932944</t>
  </si>
  <si>
    <t>Material Girl Active Juniors Racerback Spor Hot Chilli M</t>
  </si>
  <si>
    <t>190344072051</t>
  </si>
  <si>
    <t>Hybrid Juniors Pokemon Pikachu Grap Black M</t>
  </si>
  <si>
    <t>HJ930JPKM0070</t>
  </si>
  <si>
    <t>190344510133</t>
  </si>
  <si>
    <t>Hybrid Juniors Pokemon Characters G Black L</t>
  </si>
  <si>
    <t>HJ930JPKM0041</t>
  </si>
  <si>
    <t>190344312829</t>
  </si>
  <si>
    <t>Hybrid Juniors Pokemon Pikachu Grap White S</t>
  </si>
  <si>
    <t>HJ930JPKM0092</t>
  </si>
  <si>
    <t>TJSJ204-3L48</t>
  </si>
  <si>
    <t>190371313318</t>
  </si>
  <si>
    <t>Bioworld Juniors Fantastic Beasts MACU Black S</t>
  </si>
  <si>
    <t>RG4N3FFAN</t>
  </si>
  <si>
    <t>705143664507</t>
  </si>
  <si>
    <t>Energie Juniors Scoop-Neck Top Medieval Blue S</t>
  </si>
  <si>
    <t>705143664422</t>
  </si>
  <si>
    <t>Energie Juniors Scoop-Neck Top Jester Red L</t>
  </si>
  <si>
    <t>705143709093</t>
  </si>
  <si>
    <t>Energie Juniors Mila Printed V-Neck T Aztec Pop S</t>
  </si>
  <si>
    <t>887648690240</t>
  </si>
  <si>
    <t>Freeze 24-7 Juniors Pokemon Pikachu Fr True Black M</t>
  </si>
  <si>
    <t>MUSJ556-5562</t>
  </si>
  <si>
    <t>887648690301</t>
  </si>
  <si>
    <t>Freeze 24-7 Juniors Pokemon Poke Ball G Yellow L</t>
  </si>
  <si>
    <t>MUSJ281-5562</t>
  </si>
  <si>
    <t>4I16MC</t>
  </si>
  <si>
    <t>637865199220</t>
  </si>
  <si>
    <t>Calvin Klein Jeans Studded Denim Pencil Skirt Trix 30</t>
  </si>
  <si>
    <t>42ZT797</t>
  </si>
  <si>
    <t>SQUARE 30</t>
  </si>
  <si>
    <t>KDP12065I</t>
  </si>
  <si>
    <t>637865191705</t>
  </si>
  <si>
    <t>Calvin Klein Jeans Marled High-Low-Hem Top Black White Combo M</t>
  </si>
  <si>
    <t>42ZK238</t>
  </si>
  <si>
    <t>3233QU5CT3</t>
  </si>
  <si>
    <t>829092277370</t>
  </si>
  <si>
    <t>10373MG</t>
  </si>
  <si>
    <t>3248SX7BT1</t>
  </si>
  <si>
    <t>25N068HH9I</t>
  </si>
  <si>
    <t>637865223734</t>
  </si>
  <si>
    <t>Calvin Klein Jeans Lace-Trim Long-Sleeve Top Lead L</t>
  </si>
  <si>
    <t>42ZK267</t>
  </si>
  <si>
    <t>889775087740</t>
  </si>
  <si>
    <t>WIDE LEG SAILOR PANT</t>
  </si>
  <si>
    <t>4291SU1D</t>
  </si>
  <si>
    <t>MOCK HLTR FLRL RMPR</t>
  </si>
  <si>
    <t>W4D40428AR</t>
  </si>
  <si>
    <t>708008371145</t>
  </si>
  <si>
    <t>City Studios Juniors Illusion Colorblock S Navywhite 3</t>
  </si>
  <si>
    <t>7426KV7AT3</t>
  </si>
  <si>
    <t>KMN13365I</t>
  </si>
  <si>
    <t>886680013765</t>
  </si>
  <si>
    <t>Material Girl Juniors Metallic Lace Bodysui Misty Rose Combo XL</t>
  </si>
  <si>
    <t>20206MG</t>
  </si>
  <si>
    <t>STRP SMCK BTM SF PNT</t>
  </si>
  <si>
    <t>7TN37</t>
  </si>
  <si>
    <t>CLAS AUTHHIRISE 5PKT SHRT</t>
  </si>
  <si>
    <t>6SD61CBK</t>
  </si>
  <si>
    <t>889775096704</t>
  </si>
  <si>
    <t>RAW EDGE DENIM SKIRT</t>
  </si>
  <si>
    <t>7TR14</t>
  </si>
  <si>
    <t>42ZK202</t>
  </si>
  <si>
    <t>889631050383</t>
  </si>
  <si>
    <t>Crystal Doll Juniors Floral-Print High-Low Pink Floral S</t>
  </si>
  <si>
    <t>KXI13376I</t>
  </si>
  <si>
    <t>706256917962</t>
  </si>
  <si>
    <t>PLAID SHACKET</t>
  </si>
  <si>
    <t>211R192EEGC</t>
  </si>
  <si>
    <t>889775090542</t>
  </si>
  <si>
    <t>889775093062</t>
  </si>
  <si>
    <t>American Rag Lace-Inset High-Low Peasant To Chilli Pepper XS</t>
  </si>
  <si>
    <t>768594155727</t>
  </si>
  <si>
    <t>889775093314</t>
  </si>
  <si>
    <t>20208MG</t>
  </si>
  <si>
    <t>CR5359-Y530</t>
  </si>
  <si>
    <t>UR3657-QQ16Z948</t>
  </si>
  <si>
    <t>190040312307</t>
  </si>
  <si>
    <t>Almost Famous Juniors Striped Fringe Waterf NavyRust XS</t>
  </si>
  <si>
    <t>889775110202</t>
  </si>
  <si>
    <t>SLD SS ALVR SMCK TP</t>
  </si>
  <si>
    <t>6HK90</t>
  </si>
  <si>
    <t>619720911857</t>
  </si>
  <si>
    <t>CHAR HYBTD BLTD PLLN LGGN</t>
  </si>
  <si>
    <t>JKK6683288</t>
  </si>
  <si>
    <t>1DFHNSXZ</t>
  </si>
  <si>
    <t>WHIT LOTUS LOVE</t>
  </si>
  <si>
    <t>FA6423024M</t>
  </si>
  <si>
    <t>AMERICA</t>
  </si>
  <si>
    <t>SU6423008</t>
  </si>
  <si>
    <t>706256917245</t>
  </si>
  <si>
    <t>Material Girl Printed Yoga Leggings Black XS</t>
  </si>
  <si>
    <t>705143704319</t>
  </si>
  <si>
    <t>Energie Juniors Brandi Shine Colorblo Chinchilla S</t>
  </si>
  <si>
    <t>706256576541</t>
  </si>
  <si>
    <t>DENIM CROP LEGGING</t>
  </si>
  <si>
    <t>M6O39DM212</t>
  </si>
  <si>
    <t>M6O36BK212</t>
  </si>
  <si>
    <t>LOVE STRIPE CRP YOGA</t>
  </si>
  <si>
    <t>M6O41BK212</t>
  </si>
  <si>
    <t>645545932388</t>
  </si>
  <si>
    <t>WORKOUT HOODIE</t>
  </si>
  <si>
    <t>M61116</t>
  </si>
  <si>
    <t>706257141175</t>
  </si>
  <si>
    <t>CANT STOP CROP LEGGI</t>
  </si>
  <si>
    <t>M7151</t>
  </si>
  <si>
    <t>885779658832</t>
  </si>
  <si>
    <t>Vanilla Star Juniors Pull-On Mars Wash Ski Ava 0</t>
  </si>
  <si>
    <t>V20892</t>
  </si>
  <si>
    <t>885779658856</t>
  </si>
  <si>
    <t>Vanilla Star Juniors Pull-On Mars Wash Ski Ava 3</t>
  </si>
  <si>
    <t>885779658887</t>
  </si>
  <si>
    <t>Vanilla Star Juniors Pull-On Mars Wash Ski Ava 9</t>
  </si>
  <si>
    <t>885779658894</t>
  </si>
  <si>
    <t>Vanilla Star Juniors Pull-On Mars Wash Ski Ava 11</t>
  </si>
  <si>
    <t>885779658870</t>
  </si>
  <si>
    <t>Vanilla Star Juniors Pull-On Mars Wash Ski Ava 7</t>
  </si>
  <si>
    <t>885779658863</t>
  </si>
  <si>
    <t>Vanilla Star Juniors Pull-On Mars Wash Ski Ava 5</t>
  </si>
  <si>
    <t>S/S HACCI RINGER TOP</t>
  </si>
  <si>
    <t>PK13876MC</t>
  </si>
  <si>
    <t>5T53168K</t>
  </si>
  <si>
    <t>NOIR MAT GIRL ELSTC TANK</t>
  </si>
  <si>
    <t>M6900NR212</t>
  </si>
  <si>
    <t>645545915213</t>
  </si>
  <si>
    <t>645545915237</t>
  </si>
  <si>
    <t>716068580964</t>
  </si>
  <si>
    <t>OOMPA LOOMPA</t>
  </si>
  <si>
    <t>WOJV2016</t>
  </si>
  <si>
    <t>716068581015</t>
  </si>
  <si>
    <t>WILLY WONKA CIRCLE</t>
  </si>
  <si>
    <t>WOJV2036</t>
  </si>
  <si>
    <t>716068581046</t>
  </si>
  <si>
    <t>716068580971</t>
  </si>
  <si>
    <t>716068581008</t>
  </si>
  <si>
    <t>716068581022</t>
  </si>
  <si>
    <t>716068581039</t>
  </si>
  <si>
    <t>716068580957</t>
  </si>
  <si>
    <t>716068580988</t>
  </si>
  <si>
    <t>645545959927</t>
  </si>
  <si>
    <t>I DID IT FOR LIKES RGLN</t>
  </si>
  <si>
    <t>A3318JX7077</t>
  </si>
  <si>
    <t>42ZD776</t>
  </si>
  <si>
    <t>637865105047</t>
  </si>
  <si>
    <t>Calvin Klein Jeans Denim Pencil Skirt Trafaluc 29</t>
  </si>
  <si>
    <t>42YT791</t>
  </si>
  <si>
    <t>42YA782</t>
  </si>
  <si>
    <t>791093338032</t>
  </si>
  <si>
    <t>Trolls by DreamWorks Juniors Glitter Bomber Jacket BlackSilver M</t>
  </si>
  <si>
    <t>JW1165J1ZKBM</t>
  </si>
  <si>
    <t>791093338018</t>
  </si>
  <si>
    <t>Trolls by DreamWorks Juniors Glitter Bomber Jacket BlackSilver XS</t>
  </si>
  <si>
    <t>791093319529</t>
  </si>
  <si>
    <t>In Awe of You by AwesomenessTV Juniors Tiered Lace Dress Ruby L</t>
  </si>
  <si>
    <t>SPJ344D1GIMM</t>
  </si>
  <si>
    <t>637865185674</t>
  </si>
  <si>
    <t>Calvin Klein Jeans Drop-Waist Peasant Top Shell Pink XL</t>
  </si>
  <si>
    <t>889775031026</t>
  </si>
  <si>
    <t>American Rag Juniors Hooded Pullover Sweat Biking RedBlue Combo L</t>
  </si>
  <si>
    <t>6FD02</t>
  </si>
  <si>
    <t>9170HPK3</t>
  </si>
  <si>
    <t>889351709097</t>
  </si>
  <si>
    <t>Roxy Juniors Take Stock Lightweigh Dark Purple S</t>
  </si>
  <si>
    <t>6BD12DX</t>
  </si>
  <si>
    <t>822982511615</t>
  </si>
  <si>
    <t>Jessica Simpson Lace-Up Off-The-Shoulder Sweat Biking Red L</t>
  </si>
  <si>
    <t>190121132138</t>
  </si>
  <si>
    <t>Lisa Frank Juniors Patch Graphic Denim V Light Blue L</t>
  </si>
  <si>
    <t>F2622IDNA-MACY</t>
  </si>
  <si>
    <t>889775067599</t>
  </si>
  <si>
    <t>American Rag Colored Wash Super-Skinny Jean Woodrose 15</t>
  </si>
  <si>
    <t>889775069630</t>
  </si>
  <si>
    <t>American Rag Colored Wash Super-Skinny Jean Olive 11</t>
  </si>
  <si>
    <t>829092299303</t>
  </si>
  <si>
    <t>XOXO Juniors Wide-Leg Trousers White 56</t>
  </si>
  <si>
    <t>889775076317</t>
  </si>
  <si>
    <t>American Rag Printed Tassel-Tie Peasant Blo Black Combo S</t>
  </si>
  <si>
    <t>889775090412</t>
  </si>
  <si>
    <t>American Rag Embellished Cold-Shoulder Peas Teal M</t>
  </si>
  <si>
    <t>889667098298</t>
  </si>
  <si>
    <t>ONeill Juniors Kassia Printed Tassel White S</t>
  </si>
  <si>
    <t>SU6404002</t>
  </si>
  <si>
    <t>889775083254</t>
  </si>
  <si>
    <t>American Rag Cold-Shoulder Peasant Top Zinfandel M</t>
  </si>
  <si>
    <t>889775083247</t>
  </si>
  <si>
    <t>American Rag Cold-Shoulder Peasant Top Zinfandel S</t>
  </si>
  <si>
    <t>713701095670</t>
  </si>
  <si>
    <t>American Rag Printed Waffle-Knit Lace-Trim Floral Print M</t>
  </si>
  <si>
    <t>ARJKT03250</t>
  </si>
  <si>
    <t>887043618061</t>
  </si>
  <si>
    <t>Celebrity Pink Body Sculpt by Celebrity Pink Gypsy Rock 3</t>
  </si>
  <si>
    <t>887043618108</t>
  </si>
  <si>
    <t>Celebrity Pink Body Sculpt by Celebrity Pink Gypsy Rock 11</t>
  </si>
  <si>
    <t>17</t>
  </si>
  <si>
    <t>826409496080</t>
  </si>
  <si>
    <t>BCX Juniors High-Low Layered-Look White XS</t>
  </si>
  <si>
    <t>1097V0F</t>
  </si>
  <si>
    <t>826409643637</t>
  </si>
  <si>
    <t>BCX Juniors Crocheted Fringe-Trim White XS</t>
  </si>
  <si>
    <t>887043681553</t>
  </si>
  <si>
    <t>Celebrity Pink Juniors Slimming Technology C Iron Gate 1</t>
  </si>
  <si>
    <t>826409970849</t>
  </si>
  <si>
    <t>BCX Juniors Printed Split-Sleeve Patch Print S</t>
  </si>
  <si>
    <t>1088V17</t>
  </si>
  <si>
    <t>889237708602</t>
  </si>
  <si>
    <t>As U Wish Juniors Lace-Trim Shift Dress Black S</t>
  </si>
  <si>
    <t>I199695A7</t>
  </si>
  <si>
    <t>887043681577</t>
  </si>
  <si>
    <t>Celebrity Pink Juniors Slimming Technology C Iron Gate 5</t>
  </si>
  <si>
    <t>887043681591</t>
  </si>
  <si>
    <t>Celebrity Pink Juniors Slimming Technology C Iron Gate 9</t>
  </si>
  <si>
    <t>713701108745</t>
  </si>
  <si>
    <t>American Rag Juniors Lace Contrast Henley Coastal Fjord S</t>
  </si>
  <si>
    <t>888825958719</t>
  </si>
  <si>
    <t>Tinseltown Juniors Sweater-Sleeve Denim Black XS</t>
  </si>
  <si>
    <t>888825958733</t>
  </si>
  <si>
    <t>Tinseltown Juniors Sweater-Sleeve Denim Black M</t>
  </si>
  <si>
    <t>MYJ003408</t>
  </si>
  <si>
    <t>888825958726</t>
  </si>
  <si>
    <t>Tinseltown Juniors Sweater-Sleeve Denim Black S</t>
  </si>
  <si>
    <t>706256894744</t>
  </si>
  <si>
    <t>Material Girl Active Juniors Metallic Zip H Gold Metallic XS</t>
  </si>
  <si>
    <t>706256894775</t>
  </si>
  <si>
    <t>Material Girl Active Juniors Metallic Zip H Gold Metallic L</t>
  </si>
  <si>
    <t>JK1173T1GA6SM</t>
  </si>
  <si>
    <t>ZT5306C57MZ</t>
  </si>
  <si>
    <t>JD15S62576</t>
  </si>
  <si>
    <t>619720907386</t>
  </si>
  <si>
    <t>Be Bop Juniors High-Waist Bootcut Tr Stone 0</t>
  </si>
  <si>
    <t>888825935734</t>
  </si>
  <si>
    <t>Tinseltown Juniors High-Waist Skinny Jea Mamba Rinse Wash 0</t>
  </si>
  <si>
    <t>MYB019398</t>
  </si>
  <si>
    <t>ARJWT03118</t>
  </si>
  <si>
    <t>Material Girl Juniors Graphic Jogger Pants Black L</t>
  </si>
  <si>
    <t>M61213</t>
  </si>
  <si>
    <t>J60828M</t>
  </si>
  <si>
    <t>SAY WHAT?/KNITWORK PRODUCTIONS</t>
  </si>
  <si>
    <t>H6F0115</t>
  </si>
  <si>
    <t>M6904NR212</t>
  </si>
  <si>
    <t>695532440235</t>
  </si>
  <si>
    <t>Ultra Flirt Juniors Striped Mitered-Hem T BlackWhite L</t>
  </si>
  <si>
    <t>889901118034</t>
  </si>
  <si>
    <t>Hooked Up by IOT Juniors Fringed Mixed-Pattern BlackLight Grey HeatherSpiri L</t>
  </si>
  <si>
    <t>J8856ARX</t>
  </si>
  <si>
    <t>841413124804</t>
  </si>
  <si>
    <t>OhMG Juniors Love Sequin Marled Sw Charcoal Grey M</t>
  </si>
  <si>
    <t>655998038322</t>
  </si>
  <si>
    <t>Material Girl Juniors Racerback Sports Bra Black Space Dye XL</t>
  </si>
  <si>
    <t>706256732404</t>
  </si>
  <si>
    <t>Material Girl Active Juniors Graphic Leggin Heather Charcoal XXS</t>
  </si>
  <si>
    <t>M61120</t>
  </si>
  <si>
    <t>706256695143</t>
  </si>
  <si>
    <t>Material Girl Active Juniors Love Yoga Pant Black XS</t>
  </si>
  <si>
    <t>706256695273</t>
  </si>
  <si>
    <t>Material Girl Active Juniors Lace-Waist Yog Black L</t>
  </si>
  <si>
    <t>706256695051</t>
  </si>
  <si>
    <t>Material Girl Active Juniors Colorblocked L Heather Charcoal S</t>
  </si>
  <si>
    <t>706256694979</t>
  </si>
  <si>
    <t>Material Girl Active Juniors Graphic Leggin Heather Charcoal L</t>
  </si>
  <si>
    <t>706256695266</t>
  </si>
  <si>
    <t>Material Girl Active Juniors Lace-Waist Yog Black M</t>
  </si>
  <si>
    <t>706256694931</t>
  </si>
  <si>
    <t>Material Girl Juniors Graphic Jogger Pants Black XL</t>
  </si>
  <si>
    <t>706256695075</t>
  </si>
  <si>
    <t>Material Girl Active Juniors Colorblocked L Heather Charcoal L</t>
  </si>
  <si>
    <t>M61115</t>
  </si>
  <si>
    <t>PF626742</t>
  </si>
  <si>
    <t>887069474672</t>
  </si>
  <si>
    <t>Pink Rose Juniors Striped Cowl-Neck Fin Heather CharcoalWhite M</t>
  </si>
  <si>
    <t>887069474719</t>
  </si>
  <si>
    <t>Pink Rose Juniors Cowl-Neck Marled Fine Heather Grey S</t>
  </si>
  <si>
    <t>887069474689</t>
  </si>
  <si>
    <t>Pink Rose Juniors Striped Cowl-Neck Fin Heather CharcoalWhite L</t>
  </si>
  <si>
    <t>887069474702</t>
  </si>
  <si>
    <t>Pink Rose Juniors Cowl-Neck Marled Fine Heather Grey XS</t>
  </si>
  <si>
    <t>887069474665</t>
  </si>
  <si>
    <t>Pink Rose Juniors Striped Cowl-Neck Fin Heather CharcoalWhite S</t>
  </si>
  <si>
    <t>887069474658</t>
  </si>
  <si>
    <t>Pink Rose Juniors Striped Cowl-Neck Fin Heather CharcoalWhite XS</t>
  </si>
  <si>
    <t>887069474726</t>
  </si>
  <si>
    <t>Pink Rose Juniors Cowl-Neck Marled Fine Heather Grey M</t>
  </si>
  <si>
    <t>705143699011</t>
  </si>
  <si>
    <t>Energie Juniors Molly Striped V-Neck Inky Blue XS</t>
  </si>
  <si>
    <t>6U46MC</t>
  </si>
  <si>
    <t>H6F0122M</t>
  </si>
  <si>
    <t>841060121744</t>
  </si>
  <si>
    <t>Pink Rose Juniors V-Neck Fine-Gauge Swe Black L</t>
  </si>
  <si>
    <t>CONFESS/AT LAST SPORTSWEAR INC</t>
  </si>
  <si>
    <t>887854091299</t>
  </si>
  <si>
    <t>Miss Chievous Juniors No Way Applique Pullo Blue Print S</t>
  </si>
  <si>
    <t>JA9977F120</t>
  </si>
  <si>
    <t>645545938786</t>
  </si>
  <si>
    <t>Rebellious One Juniors FriYAY Patch Graphic Black L</t>
  </si>
  <si>
    <t>645545938830</t>
  </si>
  <si>
    <t>Rebellious One Juniors Military Patches Reve Olive Fatigue M</t>
  </si>
  <si>
    <t>IA3706AV1241</t>
  </si>
  <si>
    <t>645545938847</t>
  </si>
  <si>
    <t>Rebellious One Juniors Military Patches Reve Olive Fatigue L</t>
  </si>
  <si>
    <t>841060125209</t>
  </si>
  <si>
    <t>Hippie Rose Juniors Dolman-Sleeve Graphic MoonstoneLight GreyBlack Sno XL</t>
  </si>
  <si>
    <t>705143698700</t>
  </si>
  <si>
    <t>Energie Juniors Willow Textured-Strip Wild Strawberry XL</t>
  </si>
  <si>
    <t>705143698687</t>
  </si>
  <si>
    <t>Energie Juniors Willow Textured-Strip Wild Strawberry M</t>
  </si>
  <si>
    <t>841060125179</t>
  </si>
  <si>
    <t>Hippie Rose Juniors Dolman-Sleeve Graphic MoonstoneLight GreyBlack Sno S</t>
  </si>
  <si>
    <t>619720917125</t>
  </si>
  <si>
    <t>Be Bop Juniors Lace-Trim Velvet Pepl Black L</t>
  </si>
  <si>
    <t>GJ1263IE</t>
  </si>
  <si>
    <t>705143714080</t>
  </si>
  <si>
    <t>Energie Active Juniors Fleece Vest an Navy Spacedye XS</t>
  </si>
  <si>
    <t>841060122109</t>
  </si>
  <si>
    <t>Hippie Rose Juniors Lace-Up Marled Knit T Olive Branch XL</t>
  </si>
  <si>
    <t>H6F0120</t>
  </si>
  <si>
    <t>841060122192</t>
  </si>
  <si>
    <t>Hippie Rose Juniors Printed Pullover Swea Heather Oatmeal L</t>
  </si>
  <si>
    <t>H6F0119</t>
  </si>
  <si>
    <t>841060122079</t>
  </si>
  <si>
    <t>Hippie Rose Juniors Lace-Up Marled Knit T Olive Branch S</t>
  </si>
  <si>
    <t>841060121942</t>
  </si>
  <si>
    <t>Hippie Rose Juniors Lace-Up Marled Knit T Autumn Rust L</t>
  </si>
  <si>
    <t>841060121997</t>
  </si>
  <si>
    <t>Hippie Rose Juniors Lace-Up Marled Knit T Black L</t>
  </si>
  <si>
    <t>3C525MC</t>
  </si>
  <si>
    <t>190040298311</t>
  </si>
  <si>
    <t>Almost Famous Juniors Lace-Trim Roll-Sleeve Black M</t>
  </si>
  <si>
    <t>637677213312</t>
  </si>
  <si>
    <t>Belle Du Jour Juniors Lace-Trim Cage-Front Red Plum S</t>
  </si>
  <si>
    <t>1CVNAJNL</t>
  </si>
  <si>
    <t>655998038667</t>
  </si>
  <si>
    <t>Material Girl Juniors Mesh-Detail Sports Br Black XXS</t>
  </si>
  <si>
    <t>M6842NR212</t>
  </si>
  <si>
    <t>190344361964</t>
  </si>
  <si>
    <t>Trolls by DreamWorks Juniors Trolls High-Low Poppy Vintage Black XS</t>
  </si>
  <si>
    <t>JL2678JTRL0128</t>
  </si>
  <si>
    <t>190344361957</t>
  </si>
  <si>
    <t>Trolls by DreamWorks Juniors Trolls Heart Graphic Purple XL</t>
  </si>
  <si>
    <t>JL2678JTRL0082</t>
  </si>
  <si>
    <t>190344361971</t>
  </si>
  <si>
    <t>Trolls by DreamWorks Juniors Trolls High-Low Poppy Vintage Black S</t>
  </si>
  <si>
    <t>695532481009</t>
  </si>
  <si>
    <t>Ultra Flirt Juniors Cowl-Neck Waffle-Knit Burgundy XL</t>
  </si>
  <si>
    <t>695532480965</t>
  </si>
  <si>
    <t>Ultra Flirt Juniors Cowl-Neck Waffle-Knit Burgundy XS</t>
  </si>
  <si>
    <t>3C018MC</t>
  </si>
  <si>
    <t>H6S0097</t>
  </si>
  <si>
    <t>645545892378</t>
  </si>
  <si>
    <t>Material Girl Juniors Graphic Tank Top Island Cobalt L</t>
  </si>
  <si>
    <t>M6701IC212</t>
  </si>
  <si>
    <t>M61237</t>
  </si>
  <si>
    <t>645545946101</t>
  </si>
  <si>
    <t>Rebellious One Juniors Asymmetrical-Hem Pock Olive Fatigue XS</t>
  </si>
  <si>
    <t>A3164J232</t>
  </si>
  <si>
    <t>M6967</t>
  </si>
  <si>
    <t>M61135</t>
  </si>
  <si>
    <t>645545953741</t>
  </si>
  <si>
    <t>Material Girl Juniors Graphic Racerback Tan Bright White L</t>
  </si>
  <si>
    <t>TJSJ040-9K20</t>
  </si>
  <si>
    <t>887648661646</t>
  </si>
  <si>
    <t>Freeze 24-7 Juniors Home Alone Graphic Ba WhiteRed XS</t>
  </si>
  <si>
    <t>FXSJ016-8K75</t>
  </si>
  <si>
    <t>887648661844</t>
  </si>
  <si>
    <t>Freeze 24-7 Juniors Stitch Graphic Baseba Charcaol Heather M</t>
  </si>
  <si>
    <t>887648662025</t>
  </si>
  <si>
    <t>Freeze 24-7 Juniors Disney Minnie Mouse H WhiteCharcoal M</t>
  </si>
  <si>
    <t>190371275678</t>
  </si>
  <si>
    <t>Bioworld Juniors Graphic T-Shirt Athletic Heather XS</t>
  </si>
  <si>
    <t>PNSJ095-8K75</t>
  </si>
  <si>
    <t>746194690190</t>
  </si>
  <si>
    <t>Rampage Juniors Drop-Shoulder Graphic Charcoal Grey Heather XS</t>
  </si>
  <si>
    <t>758315007381</t>
  </si>
  <si>
    <t>Freeze 24-7 Juniors High-Low Graphic Tuni Black S</t>
  </si>
  <si>
    <t>758315007374</t>
  </si>
  <si>
    <t>746194690138</t>
  </si>
  <si>
    <t>Rampage Juniors Drop-Shoulder Dreamca Pink Heather S</t>
  </si>
  <si>
    <t>645545952478</t>
  </si>
  <si>
    <t>Rebellious One Juniors Colorblock Graphic Tu White Dust S</t>
  </si>
  <si>
    <t>XA3114JX6900</t>
  </si>
  <si>
    <t>190344072044</t>
  </si>
  <si>
    <t>Hybrid Juniors Pokemon Pikachu Grap Black S</t>
  </si>
  <si>
    <t>190344510119</t>
  </si>
  <si>
    <t>Hybrid Juniors Pokemon Characters G Black S</t>
  </si>
  <si>
    <t>887648643666</t>
  </si>
  <si>
    <t>Trolls by DreamWorks Juniors Trolls Out Of Con-Tro Charcoal M</t>
  </si>
  <si>
    <t>190371327261</t>
  </si>
  <si>
    <t>Bioworld Juniors Fantastic Beasts Magi Maroon S</t>
  </si>
  <si>
    <t>RI4MUUFAN</t>
  </si>
  <si>
    <t>190371313424</t>
  </si>
  <si>
    <t>Bioworld Fantastic Beasts Juniors Acci Maroon M</t>
  </si>
  <si>
    <t>RG4RZYFAN</t>
  </si>
  <si>
    <t>705143602929</t>
  </si>
  <si>
    <t>Energie Juniors Scoop-Neck Top Caviar S</t>
  </si>
  <si>
    <t>705143664514</t>
  </si>
  <si>
    <t>Energie Juniors Scoop-Neck Top Medieval Blue XL</t>
  </si>
  <si>
    <t>705143602769</t>
  </si>
  <si>
    <t>Energie Juniors Scoop-Neck Top Antique White XS</t>
  </si>
  <si>
    <t>705143701523</t>
  </si>
  <si>
    <t>Energie Energie Juniors Mila V-Neck T Boysenberry L</t>
  </si>
  <si>
    <t>705143701592</t>
  </si>
  <si>
    <t>Energie Juniors Reversible Seamless C Boysenberry M</t>
  </si>
  <si>
    <t>BLONDIE NITES LTD</t>
  </si>
  <si>
    <t>637865190012</t>
  </si>
  <si>
    <t>Calvin Klein Jeans Studded Denim Jacket Trix S</t>
  </si>
  <si>
    <t>42ZJ785</t>
  </si>
  <si>
    <t>42ZJ784</t>
  </si>
  <si>
    <t>637865182307</t>
  </si>
  <si>
    <t>Calvin Klein Jeans Printed Denim Shift Dress Indigo Camo L</t>
  </si>
  <si>
    <t>42ZA733</t>
  </si>
  <si>
    <t>637865225714</t>
  </si>
  <si>
    <t>Calvin Klein Jeans Low-Rise Skinny Jeans, Mid Use Windsor 32</t>
  </si>
  <si>
    <t>42ZA798</t>
  </si>
  <si>
    <t>42ZA713</t>
  </si>
  <si>
    <t>42ZW145</t>
  </si>
  <si>
    <t>829092253886</t>
  </si>
  <si>
    <t>889351705631</t>
  </si>
  <si>
    <t>Roxy Juniors Wendi Printed Lace-Tr Dark Purple M</t>
  </si>
  <si>
    <t>ARJWD03170</t>
  </si>
  <si>
    <t>ARJFT03452</t>
  </si>
  <si>
    <t>822982636943</t>
  </si>
  <si>
    <t>Jessica Simpson Hyne Bell-Sleeve Sweater White M</t>
  </si>
  <si>
    <t>822982636882</t>
  </si>
  <si>
    <t>Jessica Simpson Hyne Bell-Sleeve Sweater Medium Pink S</t>
  </si>
  <si>
    <t>A THREE HOUR TOUR</t>
  </si>
  <si>
    <t>ERJSW03129</t>
  </si>
  <si>
    <t>661414516787</t>
  </si>
  <si>
    <t>Teeze Me Juniors Reversible Knit Dress Deep Ocean Blue M</t>
  </si>
  <si>
    <t>889775095431</t>
  </si>
  <si>
    <t>889775095462</t>
  </si>
  <si>
    <t>889775095455</t>
  </si>
  <si>
    <t>P12873AR</t>
  </si>
  <si>
    <t>826422586812</t>
  </si>
  <si>
    <t>DLC1446018</t>
  </si>
  <si>
    <t>791093382394</t>
  </si>
  <si>
    <t>SHIFT Juniors Plisse Cropped Wide- Black S</t>
  </si>
  <si>
    <t>JK1231B1GLLM</t>
  </si>
  <si>
    <t>886680006866</t>
  </si>
  <si>
    <t>Material Girl Juniors Metallic Lace Bodysui Black Combo S</t>
  </si>
  <si>
    <t>50140MG</t>
  </si>
  <si>
    <t>889351230171</t>
  </si>
  <si>
    <t>FEEL FLOWS</t>
  </si>
  <si>
    <t>ERJKT03150</t>
  </si>
  <si>
    <t>889775096698</t>
  </si>
  <si>
    <t>768594155703</t>
  </si>
  <si>
    <t>889775093093</t>
  </si>
  <si>
    <t>American Rag Lace-Inset High-Low Peasant To Chilli Pepper L</t>
  </si>
  <si>
    <t>889775090689</t>
  </si>
  <si>
    <t>889775094489</t>
  </si>
  <si>
    <t>American Rag Crocheted Crop Top Oatmeal Combo L</t>
  </si>
  <si>
    <t>J63877M</t>
  </si>
  <si>
    <t>B6448CBNM</t>
  </si>
  <si>
    <t>JK1280T1GLNM</t>
  </si>
  <si>
    <t>J63874M</t>
  </si>
  <si>
    <t>841060125902</t>
  </si>
  <si>
    <t>Hippie Rose Juniors Lace-Trim Asymmetrica Brandywine XL</t>
  </si>
  <si>
    <t>645545917286</t>
  </si>
  <si>
    <t>Material Girl Juniors Graphic Pullover Hood Heather Charcoal S</t>
  </si>
  <si>
    <t>645545917316</t>
  </si>
  <si>
    <t>Material Girl Juniors Graphic Pullover Hood Heather Charcoal XL</t>
  </si>
  <si>
    <t>637677233372</t>
  </si>
  <si>
    <t>Belle Du Jour Juniors Cardigan, T-Shirt and Patriot Blue L</t>
  </si>
  <si>
    <t>637677237103</t>
  </si>
  <si>
    <t>Belle Du Jour Juniors Cardigan, T-Shirt and Heather Oatmeal S</t>
  </si>
  <si>
    <t>19509MC</t>
  </si>
  <si>
    <t>841060127029</t>
  </si>
  <si>
    <t>Hippie Rose Juniors Zip-Front Velour Hood Spicy Sangria L</t>
  </si>
  <si>
    <t>706256570495</t>
  </si>
  <si>
    <t>GEO BURST FL YOGA BT</t>
  </si>
  <si>
    <t>M6O10BK212</t>
  </si>
  <si>
    <t>706256576381</t>
  </si>
  <si>
    <t>FALL FEATHER CRP LEG</t>
  </si>
  <si>
    <t>M6O37FF212</t>
  </si>
  <si>
    <t>706256576374</t>
  </si>
  <si>
    <t>706256895130</t>
  </si>
  <si>
    <t>METALLIC LOVE CROP</t>
  </si>
  <si>
    <t>M61157</t>
  </si>
  <si>
    <t>706257020203</t>
  </si>
  <si>
    <t>STACKED LOVE CROP LE</t>
  </si>
  <si>
    <t>M61238</t>
  </si>
  <si>
    <t>H6F0145</t>
  </si>
  <si>
    <t>645545947061</t>
  </si>
  <si>
    <t>Rebellious One Juniors French Fries Graphic Heather Charcoal S</t>
  </si>
  <si>
    <t>645545947092</t>
  </si>
  <si>
    <t>Rebellious One Juniors French Fries Graphic Heather Charcoal XL</t>
  </si>
  <si>
    <t>645545947085</t>
  </si>
  <si>
    <t>Rebellious One Juniors French Fries Graphic Heather Charcoal L</t>
  </si>
  <si>
    <t>889602138188</t>
  </si>
  <si>
    <t>Jessica Simpson Juniors Graphic Tank Top Glowing White XL</t>
  </si>
  <si>
    <t>3K31968MC</t>
  </si>
  <si>
    <t>889602138171</t>
  </si>
  <si>
    <t>Jessica Simpson Juniors Graphic Tank Top Glowing White L</t>
  </si>
  <si>
    <t>889775092898</t>
  </si>
  <si>
    <t>FLAWLESS SLASH SS SH</t>
  </si>
  <si>
    <t>M6O03HP212</t>
  </si>
  <si>
    <t>645545915220</t>
  </si>
  <si>
    <t>M6900FM212</t>
  </si>
  <si>
    <t>BRIG MAT GIRL ELSTC TANK</t>
  </si>
  <si>
    <t>M6900BW212</t>
  </si>
  <si>
    <t>645545915466</t>
  </si>
  <si>
    <t>DRAFT - MATERIAL GIRL ACTIVE E Flashmode L</t>
  </si>
  <si>
    <t>821942448787</t>
  </si>
  <si>
    <t>Planet Gold Juniors Off-the-Shoulder Dres Olive XL</t>
  </si>
  <si>
    <t>RI4TYPFAN</t>
  </si>
  <si>
    <t>3634Y94KT1</t>
  </si>
  <si>
    <t>889775084497</t>
  </si>
  <si>
    <t>American Rag Juniors Hooded Pullover Sweat Indigo Combo XS</t>
  </si>
  <si>
    <t>889775031019</t>
  </si>
  <si>
    <t>American Rag Juniors Hooded Pullover Sweat Biking RedBlue Combo M</t>
  </si>
  <si>
    <t>5471YPB3</t>
  </si>
  <si>
    <t>5464TPR3</t>
  </si>
  <si>
    <t>829092230948</t>
  </si>
  <si>
    <t>XOXO Juniors Pleated Plaid Blazer Navy Plaid S</t>
  </si>
  <si>
    <t>822982609510</t>
  </si>
  <si>
    <t>Jessica Simpson Wilma Printed High-Low Top Romantic Floral Print XS</t>
  </si>
  <si>
    <t>889775070605</t>
  </si>
  <si>
    <t>American Rag High-Waist Trudy Wash Skinny J Twilight Wash 5</t>
  </si>
  <si>
    <t>889775077741</t>
  </si>
  <si>
    <t>American Rag Plus Size Shirred Lace-Trim To Egret 0X</t>
  </si>
  <si>
    <t>P6BQ57</t>
  </si>
  <si>
    <t>8508YPB3</t>
  </si>
  <si>
    <t>1856DS8AT1</t>
  </si>
  <si>
    <t>889775083698</t>
  </si>
  <si>
    <t>American Rag Printed Wide-Leg Pants Black Combo XL</t>
  </si>
  <si>
    <t>6FN17B</t>
  </si>
  <si>
    <t>713701104907</t>
  </si>
  <si>
    <t>American Rag Printed Lace-Inset Hoodie Pale Pink XS</t>
  </si>
  <si>
    <t>12748BAR</t>
  </si>
  <si>
    <t>6TN70CBK</t>
  </si>
  <si>
    <t>211R192H</t>
  </si>
  <si>
    <t>1138R0D</t>
  </si>
  <si>
    <t>CX20823SG</t>
  </si>
  <si>
    <t>50135MG</t>
  </si>
  <si>
    <t>888825937707</t>
  </si>
  <si>
    <t>Material Girl Juniors Asymmetrical Pinstrip Black S</t>
  </si>
  <si>
    <t>50137MG</t>
  </si>
  <si>
    <t>888825937684</t>
  </si>
  <si>
    <t>Material Girl Juniors Asymmetrical Pinstrip Black XXS</t>
  </si>
  <si>
    <t>889775083230</t>
  </si>
  <si>
    <t>American Rag Cold-Shoulder Peasant Top Zinfandel XS</t>
  </si>
  <si>
    <t>713701095762</t>
  </si>
  <si>
    <t>American Rag Printed Waffle-Knit Lace-Trim Zinfandel Combo M</t>
  </si>
  <si>
    <t>713701095960</t>
  </si>
  <si>
    <t>American Rag Printed Waffle-Knit Lace-Trim Dusty Olive S</t>
  </si>
  <si>
    <t>713701095984</t>
  </si>
  <si>
    <t>American Rag Printed Waffle-Knit Lace-Trim Dusty Olive L</t>
  </si>
  <si>
    <t>889775085401</t>
  </si>
  <si>
    <t>American Rag Crocheted Peasant Top Off White M</t>
  </si>
  <si>
    <t>6FK23</t>
  </si>
  <si>
    <t>713701095731</t>
  </si>
  <si>
    <t>American Rag Printed Waffle-Knit Lace-Trim Zinfandel Combo XXS</t>
  </si>
  <si>
    <t>713701095748</t>
  </si>
  <si>
    <t>American Rag Printed Waffle-Knit Lace-Trim Zinfandel Combo XS</t>
  </si>
  <si>
    <t>VOLCOM INC</t>
  </si>
  <si>
    <t>826409524691</t>
  </si>
  <si>
    <t>BCX Juniors Lace-Up Cowl-Neck Swe White S</t>
  </si>
  <si>
    <t>826409643651</t>
  </si>
  <si>
    <t>BCX Juniors Crocheted Fringe-Trim White M</t>
  </si>
  <si>
    <t>746194692941</t>
  </si>
  <si>
    <t>Material Girl Juniors Off-The-Shoulder Body Black L</t>
  </si>
  <si>
    <t>826409495748</t>
  </si>
  <si>
    <t>BCX Juniors High-Low Layered-Look Bordeaux M</t>
  </si>
  <si>
    <t>1090V3X</t>
  </si>
  <si>
    <t>826409639692</t>
  </si>
  <si>
    <t>BCX Juniors Lace-Up Sweater Black M</t>
  </si>
  <si>
    <t>826409495731</t>
  </si>
  <si>
    <t>BCX Juniors High-Low Layered-Look Bordeaux S</t>
  </si>
  <si>
    <t>826409495724</t>
  </si>
  <si>
    <t>BCX Juniors High-Low Layered-Look Bordeaux XS</t>
  </si>
  <si>
    <t>888825976843</t>
  </si>
  <si>
    <t>American Rag Striped Off-The-Shoulder Top Classic Black XL</t>
  </si>
  <si>
    <t>FTK1422AR</t>
  </si>
  <si>
    <t>887043681546</t>
  </si>
  <si>
    <t>Celebrity Pink Juniors Slimming Technology C Iron Gate 0</t>
  </si>
  <si>
    <t>746194687466</t>
  </si>
  <si>
    <t>Material Girl Juniors Flocked Mesh Bodysuit Black S</t>
  </si>
  <si>
    <t>V20912-2B</t>
  </si>
  <si>
    <t>887043694096</t>
  </si>
  <si>
    <t>Celebrity Pink Juniors Paisley Metallic-Prin BlackMetallic Print 1</t>
  </si>
  <si>
    <t>713701108547</t>
  </si>
  <si>
    <t>American Rag Juniors Lace Contrast Henley Zinfandel M</t>
  </si>
  <si>
    <t>713701108769</t>
  </si>
  <si>
    <t>American Rag Juniors Lace Contrast Henley Coastal Fjord L</t>
  </si>
  <si>
    <t>713701108479</t>
  </si>
  <si>
    <t>American Rag Juniors Lace Contrast Henley Dusty Olive M</t>
  </si>
  <si>
    <t>841907121494</t>
  </si>
  <si>
    <t>Indigo Rein Juniors Skinny Five-Pocket Co Beet 3</t>
  </si>
  <si>
    <t>841907121470</t>
  </si>
  <si>
    <t>Indigo Rein Juniors Skinny Five-Pocket Co Beet 0</t>
  </si>
  <si>
    <t>RR5403C9MZ</t>
  </si>
  <si>
    <t>706256894638</t>
  </si>
  <si>
    <t>Material Girl Active Juniors Metallic Zip H Silver Metallic L</t>
  </si>
  <si>
    <t>706256894614</t>
  </si>
  <si>
    <t>Material Girl Active Juniors Metallic Zip H Silver Metallic S</t>
  </si>
  <si>
    <t>887043693693</t>
  </si>
  <si>
    <t>Celebrity Pink Juniors Flocked Skinny Jeans Black 13</t>
  </si>
  <si>
    <t>887043693792</t>
  </si>
  <si>
    <t>Celebrity Pink Juniors Flocked Skinny Jeans Burnt Red 1</t>
  </si>
  <si>
    <t>CJ21034P1739</t>
  </si>
  <si>
    <t>887043693686</t>
  </si>
  <si>
    <t>Celebrity Pink Juniors Flocked Skinny Jeans Black 11</t>
  </si>
  <si>
    <t>887043693709</t>
  </si>
  <si>
    <t>Celebrity Pink Juniors Flocked Skinny Jeans Black 15</t>
  </si>
  <si>
    <t>887043693631</t>
  </si>
  <si>
    <t>Celebrity Pink Juniors Flocked Skinny Jeans Black 1</t>
  </si>
  <si>
    <t>887043693839</t>
  </si>
  <si>
    <t>Celebrity Pink Juniors Flocked Skinny Jeans Burnt Red 9</t>
  </si>
  <si>
    <t>887043693648</t>
  </si>
  <si>
    <t>Celebrity Pink Juniors Flocked Skinny Jeans Black 3</t>
  </si>
  <si>
    <t>1092V7Q</t>
  </si>
  <si>
    <t>829092199160</t>
  </si>
  <si>
    <t>XOXO Juniors Printed Smocked-Neck Multi M</t>
  </si>
  <si>
    <t>3451PKC3</t>
  </si>
  <si>
    <t>619720907270</t>
  </si>
  <si>
    <t>Be Bop Juniors High-Waist Bootcut Tr Navy 0</t>
  </si>
  <si>
    <t>J8762AWE</t>
  </si>
  <si>
    <t>888825991860</t>
  </si>
  <si>
    <t>Tinseltown Juniors Moto Burgundy Wash Sk Grey Plaid 0</t>
  </si>
  <si>
    <t>888825991730</t>
  </si>
  <si>
    <t>Tinseltown Juniors Black Wash Skinny Mot Black 9</t>
  </si>
  <si>
    <t>MYB019619</t>
  </si>
  <si>
    <t>887043643063</t>
  </si>
  <si>
    <t>Celebrity Pink Juniors Denim Overall Dress Burnt Red L</t>
  </si>
  <si>
    <t>CJ10057H19</t>
  </si>
  <si>
    <t>888825991693</t>
  </si>
  <si>
    <t>Tinseltown Juniors Black Wash Skinny Mot Black 1</t>
  </si>
  <si>
    <t>888825991778</t>
  </si>
  <si>
    <t>Tinseltown Juniors Moto Burgundy Wash Sk Burgundy 0</t>
  </si>
  <si>
    <t>888825991723</t>
  </si>
  <si>
    <t>Tinseltown Juniors Black Wash Skinny Mot Black 7</t>
  </si>
  <si>
    <t>888825991884</t>
  </si>
  <si>
    <t>Tinseltown Juniors Moto Burgundy Wash Sk Grey Plaid 3</t>
  </si>
  <si>
    <t>J8722CE4</t>
  </si>
  <si>
    <t>RR5162C33MZ</t>
  </si>
  <si>
    <t>405525A</t>
  </si>
  <si>
    <t>50149B</t>
  </si>
  <si>
    <t>3K31618MC</t>
  </si>
  <si>
    <t>889602097713</t>
  </si>
  <si>
    <t>Jessica Simpson Juniors Mesh-Back Sports Bra Jet Black S</t>
  </si>
  <si>
    <t>3K31423MC</t>
  </si>
  <si>
    <t>M6837NR212</t>
  </si>
  <si>
    <t>889901060050</t>
  </si>
  <si>
    <t>Hooked Up by IOT Juniors Ombre Mixed-Knit Tuni Shearl TanSpiritual Vanilla S</t>
  </si>
  <si>
    <t>789050880434</t>
  </si>
  <si>
    <t>Hooked Up by IOT Juniors Colorblock Zip-Pocket Vinospiri XL</t>
  </si>
  <si>
    <t>J50035</t>
  </si>
  <si>
    <t>789050366440</t>
  </si>
  <si>
    <t>Hooked Up by IOT Juniors Colorblock Zip-Pocket Vinospiri XS</t>
  </si>
  <si>
    <t>889901060173</t>
  </si>
  <si>
    <t>Hooked Up by IOT Juniors Zipper-Trim Pullover New BeewaxVanilla Marl Combo L</t>
  </si>
  <si>
    <t>695532480743</t>
  </si>
  <si>
    <t>Ultra Flirt Juniors Sleeveless Mock-Neck Black L</t>
  </si>
  <si>
    <t>FSR-36322</t>
  </si>
  <si>
    <t>FREESTYLE REVOLUTION/ESSENTIALS NY</t>
  </si>
  <si>
    <t>706256235356</t>
  </si>
  <si>
    <t>Material Girl Foil-Printed Fearless Yoga Leg Black XS</t>
  </si>
  <si>
    <t>M6918BK212</t>
  </si>
  <si>
    <t>887648644823</t>
  </si>
  <si>
    <t>Disney Juniors The Lion King Patch G Grey Heather XL</t>
  </si>
  <si>
    <t>887648644984</t>
  </si>
  <si>
    <t>Trolls by DreamWorks Juniors Trolls Poppy Sweatshi Light Pink S</t>
  </si>
  <si>
    <t>TJSJ135-8K78</t>
  </si>
  <si>
    <t>M6O20BK212</t>
  </si>
  <si>
    <t>706256732664</t>
  </si>
  <si>
    <t>Material Girl Active Juniors Lace-Waist Yog Black XXS</t>
  </si>
  <si>
    <t>645545932210</t>
  </si>
  <si>
    <t>Material Girl Active Juniors Metallic Hoodi Black S</t>
  </si>
  <si>
    <t>887069475631</t>
  </si>
  <si>
    <t>Pink Rose Juniors Rib-Knit Fine-Gauge S Mustard Seed L</t>
  </si>
  <si>
    <t>887069474825</t>
  </si>
  <si>
    <t>Pink Rose Juniors Striped Cowl-Neck Fin WickedHeather Oatmeal Stripe M</t>
  </si>
  <si>
    <t>887069475037</t>
  </si>
  <si>
    <t>Pink Rose Juniors Striped Rib-Knit Fine Medium Heather GreyBlack L</t>
  </si>
  <si>
    <t>CT6062-D353WI68</t>
  </si>
  <si>
    <t>841060124394</t>
  </si>
  <si>
    <t>Hippie Rose Juniors Long-Sleeve Coccoon C Olive Branch L</t>
  </si>
  <si>
    <t>660032592685</t>
  </si>
  <si>
    <t>One Clothing Juniors Sequin Ruffle-Hem Tan Gold S</t>
  </si>
  <si>
    <t>841060124288</t>
  </si>
  <si>
    <t>Hippie Rose Juniors Long-Sleeve Coccoon C Moonstone M</t>
  </si>
  <si>
    <t>887069475204</t>
  </si>
  <si>
    <t>Pink Rose Juniors Ruched-Side Fine-Gaug Black XS</t>
  </si>
  <si>
    <t>3B500MC</t>
  </si>
  <si>
    <t>695532443311</t>
  </si>
  <si>
    <t>Ultra Flirt Juniors Off-The-Shoulder Peas White L</t>
  </si>
  <si>
    <t>887854010993</t>
  </si>
  <si>
    <t>Miss Chievous Juniors Lace-Trim V-Neck Tuni Black L</t>
  </si>
  <si>
    <t>887854010849</t>
  </si>
  <si>
    <t>Miss Chievous Juniors Lace-Trim V-Neck Tuni Merlot M</t>
  </si>
  <si>
    <t>841060124615</t>
  </si>
  <si>
    <t>Hippie Rose Juniors Long-Sleeve Zip Hoodi Light Heather Grey XS</t>
  </si>
  <si>
    <t>H6F0135</t>
  </si>
  <si>
    <t>841060124929</t>
  </si>
  <si>
    <t>Hippie Rose Juniors Long-Sleeve Asymmetri Mountain BlueBlack Strioe S</t>
  </si>
  <si>
    <t>887854010986</t>
  </si>
  <si>
    <t>Miss Chievous Juniors Lace-Trim V-Neck Tuni Black M</t>
  </si>
  <si>
    <t>841060125056</t>
  </si>
  <si>
    <t>Hippie Rose Juniors Dolman-Sleeve Graphic Olive Branch XL</t>
  </si>
  <si>
    <t>841060124820</t>
  </si>
  <si>
    <t>Hippie Rose Juniors Long-Sleeve Asymmetri Medium Heather Grey S</t>
  </si>
  <si>
    <t>841060124622</t>
  </si>
  <si>
    <t>Hippie Rose Juniors Long-Sleeve Zip Hoodi Light Heather Grey S</t>
  </si>
  <si>
    <t>GJ1264IE</t>
  </si>
  <si>
    <t>645545938779</t>
  </si>
  <si>
    <t>Rebellious One Juniors FriYAY Patch Graphic Black M</t>
  </si>
  <si>
    <t>841060124998</t>
  </si>
  <si>
    <t>Hippie Rose Juniors Long-Sleeve Asymmetri Olive Branch L</t>
  </si>
  <si>
    <t>695532486516</t>
  </si>
  <si>
    <t>Ultra Flirt Juniors Striped Tie-Neck Tuni PeacoatGardenia Stripe S</t>
  </si>
  <si>
    <t>887854010863</t>
  </si>
  <si>
    <t>Miss Chievous Juniors Lace-Trim V-Neck Tuni Merlot XL</t>
  </si>
  <si>
    <t>887854010979</t>
  </si>
  <si>
    <t>Miss Chievous Juniors Lace-Trim V-Neck Tuni Black S</t>
  </si>
  <si>
    <t>841060124837</t>
  </si>
  <si>
    <t>Hippie Rose Juniors Long-Sleeve Asymmetri Medium Heather Grey M</t>
  </si>
  <si>
    <t>841060124882</t>
  </si>
  <si>
    <t>Hippie Rose Juniors Long-Sleeve Asymmetri MoonstoneLight Heather Grey M</t>
  </si>
  <si>
    <t>887854011112</t>
  </si>
  <si>
    <t>Miss Chievous Juniors Lace-Trim V-Neck Tuni Faded Fatigue S</t>
  </si>
  <si>
    <t>JA9860S353</t>
  </si>
  <si>
    <t>1CCDNSJN</t>
  </si>
  <si>
    <t>1CCDNSJP</t>
  </si>
  <si>
    <t>887069551397</t>
  </si>
  <si>
    <t>Material Girl Juniors Pull-On Faux-Leather Caviar Black S</t>
  </si>
  <si>
    <t>40034MG</t>
  </si>
  <si>
    <t>887069551403</t>
  </si>
  <si>
    <t>Material Girl Juniors Pull-On Faux-Leather Caviar Black M</t>
  </si>
  <si>
    <t>887069551380</t>
  </si>
  <si>
    <t>Material Girl Juniors Pull-On Faux-Leather Caviar Black XS</t>
  </si>
  <si>
    <t>190344429077</t>
  </si>
  <si>
    <t>Hybrid Juniors Despicable Me Fluffy Light Pink L</t>
  </si>
  <si>
    <t>190344429145</t>
  </si>
  <si>
    <t>Hybrid Juniors Hangry Graphic Sweats Heather Grey XS</t>
  </si>
  <si>
    <t>190371272509</t>
  </si>
  <si>
    <t>Bioworld Juniors DC Comics Wonder Woma Red L</t>
  </si>
  <si>
    <t>190344429251</t>
  </si>
  <si>
    <t>Hybrid Juniors Donut Sequin Cropped Heather Charcoal S</t>
  </si>
  <si>
    <t>841060121386</t>
  </si>
  <si>
    <t>Hippie Rose Juniors Pullover Hoodie Medium Heather GreyIvory M</t>
  </si>
  <si>
    <t>H6F0113</t>
  </si>
  <si>
    <t>695532486585</t>
  </si>
  <si>
    <t>Ultra Flirt Juniors Space-Dyed Tie-Neck T Tawny Port Black Spacedye L</t>
  </si>
  <si>
    <t>841060121393</t>
  </si>
  <si>
    <t>Hippie Rose Juniors Pullover Hoodie Medium Heather GreyIvory L</t>
  </si>
  <si>
    <t>841060122185</t>
  </si>
  <si>
    <t>Hippie Rose Juniors Printed Pullover Swea Heather Oatmeal M</t>
  </si>
  <si>
    <t>887069475181</t>
  </si>
  <si>
    <t>Pink Rose Juniors Ruched-Side Fine-Gaug Blue Topaz L</t>
  </si>
  <si>
    <t>705143716190</t>
  </si>
  <si>
    <t>Energie Juniors Autumn Colorblocked Y Electric Strawberry XXS</t>
  </si>
  <si>
    <t>190344429114</t>
  </si>
  <si>
    <t>Hybrid Juniors Wink Sequin Graphic S Pearl M</t>
  </si>
  <si>
    <t>190344429107</t>
  </si>
  <si>
    <t>Hybrid Juniors Wink Sequin Graphic S Pearl S</t>
  </si>
  <si>
    <t>DARKYELLOW</t>
  </si>
  <si>
    <t>705143715094</t>
  </si>
  <si>
    <t>Energie Juniors Fiona Tulip-Back Grap Heather Grey S</t>
  </si>
  <si>
    <t>705143715155</t>
  </si>
  <si>
    <t>Energie Juniors Fiona Tulip-Back Grap Caviarelectric S</t>
  </si>
  <si>
    <t>887069171687</t>
  </si>
  <si>
    <t>Material Girl Juniors Faux-Leather Leggings Caviar Black S</t>
  </si>
  <si>
    <t>PC19065BLK</t>
  </si>
  <si>
    <t>887069171649</t>
  </si>
  <si>
    <t>Material Girl Juniors High-Waist Faux-Leath Caviar Black L</t>
  </si>
  <si>
    <t>PC19064BLK</t>
  </si>
  <si>
    <t>887069171618</t>
  </si>
  <si>
    <t>Material Girl Juniors High-Waist Faux-Leath Caviar Black XS</t>
  </si>
  <si>
    <t>887069171632</t>
  </si>
  <si>
    <t>Material Girl Juniors High-Waist Faux-Leath Caviar Black M</t>
  </si>
  <si>
    <t>887069171694</t>
  </si>
  <si>
    <t>Material Girl Juniors Faux-Leather Leggings Caviar Black M</t>
  </si>
  <si>
    <t>887069171625</t>
  </si>
  <si>
    <t>Material Girl Juniors High-Waist Faux-Leath Caviar Black S</t>
  </si>
  <si>
    <t>887069171670</t>
  </si>
  <si>
    <t>Material Girl Juniors Faux-Leather Leggings Caviar Black XS</t>
  </si>
  <si>
    <t>887069171700</t>
  </si>
  <si>
    <t>Material Girl Juniors Faux-Leather Leggings Caviar Black L</t>
  </si>
  <si>
    <t>637677212902</t>
  </si>
  <si>
    <t>Belle Du Jour Juniors Lace-Trim Cage-Front Black L</t>
  </si>
  <si>
    <t>190040298373</t>
  </si>
  <si>
    <t>Almost Famous Juniors Lace-Trim Roll-Sleeve Burgundy L</t>
  </si>
  <si>
    <t>H6S0098</t>
  </si>
  <si>
    <t>190371272356</t>
  </si>
  <si>
    <t>Bioworld Juniors DC Comics Batman Fren BlackHeather Grey L</t>
  </si>
  <si>
    <t>OW3SYSBTM</t>
  </si>
  <si>
    <t>695532481139</t>
  </si>
  <si>
    <t>Ultra Flirt Juniors Cowl-Neck Waffle-Knit Olive M</t>
  </si>
  <si>
    <t>695532481115</t>
  </si>
  <si>
    <t>Ultra Flirt Juniors Cowl-Neck Waffle-Knit Olive XS</t>
  </si>
  <si>
    <t>695532481030</t>
  </si>
  <si>
    <t>Ultra Flirt Juniors Cowl-Neck Waffle-Knit Grey M</t>
  </si>
  <si>
    <t>637677211660</t>
  </si>
  <si>
    <t>Belle Du Jour Juniors Raglan-Sleeve Love Me Serenity L</t>
  </si>
  <si>
    <t>706255811872</t>
  </si>
  <si>
    <t>Material Girl Juniors Printed Shorts Exploded Leopard XL</t>
  </si>
  <si>
    <t>M6725EL212</t>
  </si>
  <si>
    <t>3C222MC</t>
  </si>
  <si>
    <t>M6801SF212</t>
  </si>
  <si>
    <t>887648644373</t>
  </si>
  <si>
    <t>Trolls by DreamWorks Juniors Trolls Graphic Raglan WhitePurple Heather S</t>
  </si>
  <si>
    <t>887648645127</t>
  </si>
  <si>
    <t>Trolls by DreamWorks Juniors Trolls Graphic High-L NavyWhite L</t>
  </si>
  <si>
    <t>TJSJ142-9K20</t>
  </si>
  <si>
    <t>TJSJ046-8K66</t>
  </si>
  <si>
    <t>3C834MC</t>
  </si>
  <si>
    <t>190121167468</t>
  </si>
  <si>
    <t>Mighty Fine Juniors Graphic Football T-Sh Cream M</t>
  </si>
  <si>
    <t>695532487131</t>
  </si>
  <si>
    <t>Ultra Flirt Juniors Scoop-Back Pullover T Black L</t>
  </si>
  <si>
    <t>887648661615</t>
  </si>
  <si>
    <t>Freeze 24-7 Juniors Marvel Heroes Metalli WhiteBlack L</t>
  </si>
  <si>
    <t>887648662018</t>
  </si>
  <si>
    <t>Freeze 24-7 Juniors Disney Minnie Mouse H WhiteCharcoal S</t>
  </si>
  <si>
    <t>190121167475</t>
  </si>
  <si>
    <t>Mighty Fine Juniors Graphic Football T-Sh Cream L</t>
  </si>
  <si>
    <t>645545954069</t>
  </si>
  <si>
    <t>Rebellious One Rebellious One Juniors Patche Olive Ivory L</t>
  </si>
  <si>
    <t>887648661608</t>
  </si>
  <si>
    <t>Freeze 24-7 Juniors Marvel Heroes Metalli WhiteBlack M</t>
  </si>
  <si>
    <t>887648662032</t>
  </si>
  <si>
    <t>Freeze 24-7 Juniors Disney Minnie Mouse H WhiteCharcoal L</t>
  </si>
  <si>
    <t>190344312171</t>
  </si>
  <si>
    <t>Hybrid Juniors Breakfast Club Graphi Mint L</t>
  </si>
  <si>
    <t>JS3674UBC1018</t>
  </si>
  <si>
    <t>695532471833</t>
  </si>
  <si>
    <t>Ultra Flirt Juniors Striped Split-Neck T- NavyBriar Rose L</t>
  </si>
  <si>
    <t>645545926141</t>
  </si>
  <si>
    <t>Rebellious One Juniors Tie-Front Top Olive L</t>
  </si>
  <si>
    <t>887648644649</t>
  </si>
  <si>
    <t>Trolls by DreamWorks Juniors Trolls Graphic Raglan WhiteGrey Heather XL</t>
  </si>
  <si>
    <t>887648644618</t>
  </si>
  <si>
    <t>Trolls by DreamWorks Juniors Trolls Graphic Raglan WhiteGrey Heather S</t>
  </si>
  <si>
    <t>887648644571</t>
  </si>
  <si>
    <t>Trolls by DreamWorks Juniors Trolls Graphic Raglan Grey Heather L</t>
  </si>
  <si>
    <t>746194690381</t>
  </si>
  <si>
    <t>Rampage Juniors Drop-Shoulder Lips Gr True Black M</t>
  </si>
  <si>
    <t>645545932845</t>
  </si>
  <si>
    <t>Material Girl Active Juniors Racerback Spor Black XS</t>
  </si>
  <si>
    <t>A2JT086</t>
  </si>
  <si>
    <t>821942348025</t>
  </si>
  <si>
    <t>Planet Gold Juniors Ruched Dolman-Sleeve Egret L</t>
  </si>
  <si>
    <t>3B747MC</t>
  </si>
  <si>
    <t>705143667430</t>
  </si>
  <si>
    <t>Energie Juniors Scoop-Neck Top Medieval Blue XXS</t>
  </si>
  <si>
    <t>705143664408</t>
  </si>
  <si>
    <t>Energie Juniors Scoop-Neck Top Light Heather Grey XS</t>
  </si>
  <si>
    <t>705143701561</t>
  </si>
  <si>
    <t>Energie Energie Juniors Mila V-Neck T Boysenberry XS</t>
  </si>
  <si>
    <t>DTK NYLON SPARKLE CK SWE</t>
  </si>
  <si>
    <t>42YS362</t>
  </si>
  <si>
    <t>B OR MED</t>
  </si>
  <si>
    <t>637865199947</t>
  </si>
  <si>
    <t>Calvin Klein Jeans High-Low Plaid Top Silk Slate XL</t>
  </si>
  <si>
    <t>42ZW194</t>
  </si>
  <si>
    <t>637865191729</t>
  </si>
  <si>
    <t>Calvin Klein Jeans Marled High-Low-Hem Top Black White Combo XL</t>
  </si>
  <si>
    <t>822980906376</t>
  </si>
  <si>
    <t>Jessica Simpson Kiss Me Ripped Black Wash Skin Black 27</t>
  </si>
  <si>
    <t>637865192252</t>
  </si>
  <si>
    <t>Calvin Klein Jeans Lace-Up Split-Neck T-Shirt Shell Pink S</t>
  </si>
  <si>
    <t>637865223741</t>
  </si>
  <si>
    <t>Calvin Klein Jeans Lace-Trim Long-Sleeve Top Lead XL</t>
  </si>
  <si>
    <t>637865192283</t>
  </si>
  <si>
    <t>Calvin Klein Jeans Lace-Up Split-Neck T-Shirt Shell Pink XL</t>
  </si>
  <si>
    <t>829092317052</t>
  </si>
  <si>
    <t>XOXO Juniors Striped Cold-Shoulder GreenBlack S</t>
  </si>
  <si>
    <t>9746OTS8</t>
  </si>
  <si>
    <t>886680025812</t>
  </si>
  <si>
    <t>713701116283</t>
  </si>
  <si>
    <t>889775093642</t>
  </si>
  <si>
    <t>889775095448</t>
  </si>
  <si>
    <t>886680034012</t>
  </si>
  <si>
    <t>OTS STRAPPY 2FER</t>
  </si>
  <si>
    <t>10379MG</t>
  </si>
  <si>
    <t>886680033992</t>
  </si>
  <si>
    <t>886680034029</t>
  </si>
  <si>
    <t>886680034005</t>
  </si>
  <si>
    <t>008570P</t>
  </si>
  <si>
    <t>I452365E4</t>
  </si>
  <si>
    <t>886680006873</t>
  </si>
  <si>
    <t>Material Girl Juniors Metallic Lace Bodysui Black Combo M</t>
  </si>
  <si>
    <t>886680006859</t>
  </si>
  <si>
    <t>Material Girl Juniors Metallic Lace Bodysui Black Combo XS</t>
  </si>
  <si>
    <t>3565MGC8</t>
  </si>
  <si>
    <t>889775093789</t>
  </si>
  <si>
    <t>SOFT LACE INSET SHOR</t>
  </si>
  <si>
    <t>6HN90</t>
  </si>
  <si>
    <t>20204MG</t>
  </si>
  <si>
    <t>889775090467</t>
  </si>
  <si>
    <t>889775090641</t>
  </si>
  <si>
    <t>889775090610</t>
  </si>
  <si>
    <t>889775090474</t>
  </si>
  <si>
    <t>889775090559</t>
  </si>
  <si>
    <t>889775090696</t>
  </si>
  <si>
    <t>614015985711</t>
  </si>
  <si>
    <t>Rewash Juniors Ripped Blue Wash Skin Blue Wash 3</t>
  </si>
  <si>
    <t>J12175AG2</t>
  </si>
  <si>
    <t>J12175B9H</t>
  </si>
  <si>
    <t>BE7 30 (32 UNCUFFED)-12</t>
  </si>
  <si>
    <t>BLK ZIP SHLDR PLTH PKT</t>
  </si>
  <si>
    <t>1092V4X</t>
  </si>
  <si>
    <t>841413126341</t>
  </si>
  <si>
    <t>OhMG Juniors Yaasss Sequin Pullove BlackRed S</t>
  </si>
  <si>
    <t>GJ2151ADJ</t>
  </si>
  <si>
    <t>NO COLOR</t>
  </si>
  <si>
    <t>632421523266</t>
  </si>
  <si>
    <t>Love Squared Trendy Plus Size Twist-Front S Ruby 1X</t>
  </si>
  <si>
    <t>INK711H3794</t>
  </si>
  <si>
    <t>J63873M</t>
  </si>
  <si>
    <t>190040312215</t>
  </si>
  <si>
    <t>Almost Famous Juniors Striped Fringe Waterf BlackRed S</t>
  </si>
  <si>
    <t>889901163645</t>
  </si>
  <si>
    <t>Hooked Up by IOT Juniors Shine Donuts Pullover Light Grey Heather S</t>
  </si>
  <si>
    <t>889602137938</t>
  </si>
  <si>
    <t>Jessica Simpson Juniors Fleece-Panel Sweatshi Aqua Smoke XL</t>
  </si>
  <si>
    <t>3K31553MC</t>
  </si>
  <si>
    <t>889602133787</t>
  </si>
  <si>
    <t>Jessica Simpson Juniors Open-Back Compression Tracery S</t>
  </si>
  <si>
    <t>619720920330</t>
  </si>
  <si>
    <t>Be Bop Juniors Printed Romper Denim M</t>
  </si>
  <si>
    <t>JFSEW00447</t>
  </si>
  <si>
    <t>841060125872</t>
  </si>
  <si>
    <t>Hippie Rose Juniors Lace-Trim Asymmetrica Brandywine S</t>
  </si>
  <si>
    <t>190040349471</t>
  </si>
  <si>
    <t>Almost Famous Juniors Patch Knit Bomber Jac Burgundy M</t>
  </si>
  <si>
    <t>SP6086MAC</t>
  </si>
  <si>
    <t>COCOA</t>
  </si>
  <si>
    <t>889602128790</t>
  </si>
  <si>
    <t>Freshman Juniors Sleeveless Cowl-Neck Light Heather Grey L</t>
  </si>
  <si>
    <t>5T52793MC</t>
  </si>
  <si>
    <t>889602128776</t>
  </si>
  <si>
    <t>Freshman Juniors Sleeveless Cowl-Neck Light Heather Grey S</t>
  </si>
  <si>
    <t>H6F0147</t>
  </si>
  <si>
    <t>841060127005</t>
  </si>
  <si>
    <t>Hippie Rose Juniors Zip-Front Velour Hood Spicy Sangria S</t>
  </si>
  <si>
    <t>695532510495</t>
  </si>
  <si>
    <t>Ultra Flirt Juniors Twist Cold-Shoulder B Grey M</t>
  </si>
  <si>
    <t>706256570761</t>
  </si>
  <si>
    <t>Charter Club Velour Pants Navy L</t>
  </si>
  <si>
    <t>706256732527</t>
  </si>
  <si>
    <t>CRACKLE CROP YOGA BT</t>
  </si>
  <si>
    <t>M61158</t>
  </si>
  <si>
    <t>841060126657</t>
  </si>
  <si>
    <t>DRAFT - Hippie Rose Juniors V Pioneer OliveIvory M</t>
  </si>
  <si>
    <t>841060126541</t>
  </si>
  <si>
    <t>DRAFT - Hippie Rose Juniors V Dixie GarnetIvory Stripe S</t>
  </si>
  <si>
    <t>889775093499</t>
  </si>
  <si>
    <t>887069475259</t>
  </si>
  <si>
    <t>Pink Rose Juniors Ruched-Side Fine-Gaug Heather Aubergine XS</t>
  </si>
  <si>
    <t>645545947078</t>
  </si>
  <si>
    <t>Rebellious One Juniors French Fries Graphic Heather Charcoal M</t>
  </si>
  <si>
    <t>889602138119</t>
  </si>
  <si>
    <t>Jessica Simpson Juniors Graphic Tank Top Flutter Pink M</t>
  </si>
  <si>
    <t>3K31969MC</t>
  </si>
  <si>
    <t>TAWN SWEATPANT W/ FLARED LEG</t>
  </si>
  <si>
    <t>4J65MC</t>
  </si>
  <si>
    <t>695532489272</t>
  </si>
  <si>
    <t>645545969148</t>
  </si>
  <si>
    <t>MALB I REALLY DONT CARE T</t>
  </si>
  <si>
    <t>IA2756JX7184</t>
  </si>
  <si>
    <t>706256917764</t>
  </si>
  <si>
    <t>FLUSH FEATHER SHORT</t>
  </si>
  <si>
    <t>M61230</t>
  </si>
  <si>
    <t>PK14660MC</t>
  </si>
  <si>
    <t>716068580896</t>
  </si>
  <si>
    <t>716068580858</t>
  </si>
  <si>
    <t>693401705461</t>
  </si>
  <si>
    <t>NACHO BAE</t>
  </si>
  <si>
    <t>QE0971YK1919</t>
  </si>
  <si>
    <t>693401705478</t>
  </si>
  <si>
    <t>693401705447</t>
  </si>
  <si>
    <t>693401705454</t>
  </si>
  <si>
    <t>821942448770</t>
  </si>
  <si>
    <t>Planet Gold Juniors Off-the-Shoulder Dres Olive S</t>
  </si>
  <si>
    <t>821942448350</t>
  </si>
  <si>
    <t>Planet Gold Juniors Off-the-Shoulder Dres Black M</t>
  </si>
  <si>
    <t>821942448763</t>
  </si>
  <si>
    <t>Planet Gold Juniors Off-the-Shoulder Dres Olive M</t>
  </si>
  <si>
    <t>42YA785</t>
  </si>
  <si>
    <t>32X32</t>
  </si>
  <si>
    <t>3 AV/MD/RG</t>
  </si>
  <si>
    <t>SPJ271B1GIPM</t>
  </si>
  <si>
    <t>842127107718</t>
  </si>
  <si>
    <t>American Rag Juniors Bell-Sleeve Burnout L Dusty Pink L</t>
  </si>
  <si>
    <t>7Q2999AR</t>
  </si>
  <si>
    <t>90028ZN204</t>
  </si>
  <si>
    <t>822982511554</t>
  </si>
  <si>
    <t>Jessica Simpson Lace-Up Off-The-Shoulder Sweat Whisper White M</t>
  </si>
  <si>
    <t>889775070582</t>
  </si>
  <si>
    <t>American Rag High-Waist Trudy Wash Skinny J Twilight Wash 1</t>
  </si>
  <si>
    <t>10349MG</t>
  </si>
  <si>
    <t>10338MG</t>
  </si>
  <si>
    <t>889775069173</t>
  </si>
  <si>
    <t>American Rag Slim-Fit Ishana Wash Bootcut J Kremi Wash 5</t>
  </si>
  <si>
    <t>6BD33X</t>
  </si>
  <si>
    <t>889775069203</t>
  </si>
  <si>
    <t>American Rag Slim-Fit Ishana Wash Bootcut J Kremi Wash 11</t>
  </si>
  <si>
    <t>887840197486</t>
  </si>
  <si>
    <t>Emerald Sundae Juniors Illusion Fit Flare Burgunday 11</t>
  </si>
  <si>
    <t>EOR1027610</t>
  </si>
  <si>
    <t>889775069623</t>
  </si>
  <si>
    <t>American Rag Colored Wash Super-Skinny Jean Olive 9</t>
  </si>
  <si>
    <t>829092299297</t>
  </si>
  <si>
    <t>XOXO Juniors Wide-Leg Trousers White 12</t>
  </si>
  <si>
    <t>768594155604</t>
  </si>
  <si>
    <t>American Rag Cami T-Shirt Dress Coral XXS</t>
  </si>
  <si>
    <t>768594155635</t>
  </si>
  <si>
    <t>American Rag Cami T-Shirt Dress Coral M</t>
  </si>
  <si>
    <t>768594155659</t>
  </si>
  <si>
    <t>American Rag Cami T-Shirt Dress Coral XL</t>
  </si>
  <si>
    <t>889775083681</t>
  </si>
  <si>
    <t>American Rag Printed Wide-Leg Pants Black Combo L</t>
  </si>
  <si>
    <t>6HT26</t>
  </si>
  <si>
    <t>889775030074</t>
  </si>
  <si>
    <t>American Rag Cropped Cuffed Colored Skinny Classic Black 0</t>
  </si>
  <si>
    <t>888825935574</t>
  </si>
  <si>
    <t>Material Girl Juniors Mock-Neck Lace Dress Red S</t>
  </si>
  <si>
    <t>10325MG</t>
  </si>
  <si>
    <t>886998513537</t>
  </si>
  <si>
    <t>American Rag Trendy Plus Size Lace-Trim Hen Coastal Flood 3X</t>
  </si>
  <si>
    <t>6BE12</t>
  </si>
  <si>
    <t>713701112544</t>
  </si>
  <si>
    <t>Material Girl Juniors Lace-Detail Pencil Sk Black Combo S</t>
  </si>
  <si>
    <t>50138MG</t>
  </si>
  <si>
    <t>CX22005H20</t>
  </si>
  <si>
    <t>20194MG</t>
  </si>
  <si>
    <t>746194687510</t>
  </si>
  <si>
    <t>Material Girl Juniors Flocked Mesh Bodysuit Black XXL</t>
  </si>
  <si>
    <t>706256894546</t>
  </si>
  <si>
    <t>Material Girl Active Juniors Metallic Zip H Black Metallic S</t>
  </si>
  <si>
    <t>706256894751</t>
  </si>
  <si>
    <t>Material Girl Active Juniors Metallic Zip H Gold Metallic S</t>
  </si>
  <si>
    <t>706256894553</t>
  </si>
  <si>
    <t>Material Girl Active Juniors Metallic Zip H Black Metallic M</t>
  </si>
  <si>
    <t>887043693655</t>
  </si>
  <si>
    <t>Celebrity Pink Juniors Flocked Skinny Jeans Black 5</t>
  </si>
  <si>
    <t>887043693785</t>
  </si>
  <si>
    <t>Celebrity Pink Juniors Flocked Skinny Jeans Burnt Red 0</t>
  </si>
  <si>
    <t>ERM2705427</t>
  </si>
  <si>
    <t>1086T3U</t>
  </si>
  <si>
    <t>M61210</t>
  </si>
  <si>
    <t>645545933675</t>
  </si>
  <si>
    <t>Material Girl Juniors Graphic Jogger Pants Heather Charcoal M</t>
  </si>
  <si>
    <t>645545933835</t>
  </si>
  <si>
    <t>Material Girl Juniors Mesh-Inset Graphic Sw Black M</t>
  </si>
  <si>
    <t>888825991839</t>
  </si>
  <si>
    <t>Tinseltown Juniors Moto Burgundy Wash Sk Burgundy 11</t>
  </si>
  <si>
    <t>3K31336MC</t>
  </si>
  <si>
    <t>619720898318</t>
  </si>
  <si>
    <t>FISHBOWL Juniors Printed Tie-Neck Shif RustBurgundy Combo XS</t>
  </si>
  <si>
    <t>JFLIK004610</t>
  </si>
  <si>
    <t>887043628442</t>
  </si>
  <si>
    <t>Celebrity Pink Juniors Skinny Ponte Pants Olive Night 7</t>
  </si>
  <si>
    <t>887043628305</t>
  </si>
  <si>
    <t>Celebrity Pink Juniors Skinny Ponte Pants Burnt Red 5</t>
  </si>
  <si>
    <t>645545917439</t>
  </si>
  <si>
    <t>746194687176</t>
  </si>
  <si>
    <t>Material Girl Juniors Cap-Sleeve Bodysuit Black L</t>
  </si>
  <si>
    <t>889602128264</t>
  </si>
  <si>
    <t>Jessica Simpson Juniors Logo Jogger Pants Italian Plum S</t>
  </si>
  <si>
    <t>889602128271</t>
  </si>
  <si>
    <t>Jessica Simpson Juniors Logo Jogger Pants Italian Plum M</t>
  </si>
  <si>
    <t>PW11823MC</t>
  </si>
  <si>
    <t>841060119321</t>
  </si>
  <si>
    <t>Hippie Rose Juniors Handkerchief-Hem Card Retro Maroon Combo S</t>
  </si>
  <si>
    <t>706256923741</t>
  </si>
  <si>
    <t>Material Girl Active Juniors Lace-Waist Yog Fuschia L</t>
  </si>
  <si>
    <t>645545932234</t>
  </si>
  <si>
    <t>Material Girl Active Juniors Metallic Hoodi Black L</t>
  </si>
  <si>
    <t>706256923727</t>
  </si>
  <si>
    <t>Material Girl Active Juniors Lace-Waist Yog Fuschia S</t>
  </si>
  <si>
    <t>706256694900</t>
  </si>
  <si>
    <t>Material Girl Juniors Graphic Jogger Pants Black S</t>
  </si>
  <si>
    <t>706256695150</t>
  </si>
  <si>
    <t>Material Girl Active Juniors Love Yoga Pant Black S</t>
  </si>
  <si>
    <t>706256695280</t>
  </si>
  <si>
    <t>Material Girl Active Juniors Lace-Waist Yog Black XL</t>
  </si>
  <si>
    <t>645545932302</t>
  </si>
  <si>
    <t>Material Girl Active Juniors Metallic-Detai Flashmode M</t>
  </si>
  <si>
    <t>645545932319</t>
  </si>
  <si>
    <t>Material Girl Active Juniors Metallic-Detai Flashmode L</t>
  </si>
  <si>
    <t>645545932067</t>
  </si>
  <si>
    <t>Material Girl Active Juniors Metallic-Detai Heather Charcoal M</t>
  </si>
  <si>
    <t>645545932296</t>
  </si>
  <si>
    <t>Material Girl Active Juniors Metallic-Detai Flashmode S</t>
  </si>
  <si>
    <t>841060124813</t>
  </si>
  <si>
    <t>Hippie Rose Juniors Long-Sleeve Asymmetri Medium Heather Grey XS</t>
  </si>
  <si>
    <t>841060125193</t>
  </si>
  <si>
    <t>Hippie Rose Juniors Dolman-Sleeve Graphic MoonstoneLight GreyBlack Sno L</t>
  </si>
  <si>
    <t>841060125186</t>
  </si>
  <si>
    <t>Hippie Rose Juniors Dolman-Sleeve Graphic MoonstoneLight GreyBlack Sno M</t>
  </si>
  <si>
    <t>887648643536</t>
  </si>
  <si>
    <t>Trolls by DreamWorks Juniors Trolls Graphic Jogger True Black S</t>
  </si>
  <si>
    <t>5R55MC</t>
  </si>
  <si>
    <t>190344361674</t>
  </si>
  <si>
    <t>Trolls by DreamWorks Juniors Trolls Graphic Jogger Vintage BlackWhite S</t>
  </si>
  <si>
    <t>JB2449JTRL0113</t>
  </si>
  <si>
    <t>190344361698</t>
  </si>
  <si>
    <t>Trolls by DreamWorks Juniors Trolls Graphic Jogger Vintage BlackWhite L</t>
  </si>
  <si>
    <t>645545934405</t>
  </si>
  <si>
    <t>Material Girl Juniors Graphic Shorts Black L</t>
  </si>
  <si>
    <t>645545953659</t>
  </si>
  <si>
    <t>Material Girl Juniors Graphic Racerback Tan Flashmode M</t>
  </si>
  <si>
    <t>645545953819</t>
  </si>
  <si>
    <t>Material Girl Juniors Graphic Racerback Tan Strong Yelllow M</t>
  </si>
  <si>
    <t>645545953833</t>
  </si>
  <si>
    <t>Material Girl Juniors Graphic Racerback Tan Strong Yelllow XL</t>
  </si>
  <si>
    <t>645545934801</t>
  </si>
  <si>
    <t>Material Girl Juniors Strappy Graphic Tank Black L</t>
  </si>
  <si>
    <t>M61247</t>
  </si>
  <si>
    <t>645545934818</t>
  </si>
  <si>
    <t>Material Girl Juniors Strappy Graphic Tank Black XL</t>
  </si>
  <si>
    <t>645545892927</t>
  </si>
  <si>
    <t>Material Girl Juniors Cutout-Back Burnout T Dipdie Fushia M</t>
  </si>
  <si>
    <t>M6914HP212</t>
  </si>
  <si>
    <t>JTSJV26-8K75</t>
  </si>
  <si>
    <t>887648644380</t>
  </si>
  <si>
    <t>Trolls by DreamWorks Juniors Trolls Graphic Raglan WhitePurple Heather M</t>
  </si>
  <si>
    <t>645545931473</t>
  </si>
  <si>
    <t>Material Girl Active Juniors Graphic Tank T Hot Chilli S</t>
  </si>
  <si>
    <t>645545931817</t>
  </si>
  <si>
    <t>Material Girl Active Juniors Graphic Tank T Deep Charcoal L</t>
  </si>
  <si>
    <t>645545931657</t>
  </si>
  <si>
    <t>Material Girl Active Juniors Graphic Tank T Femme Fuschia L</t>
  </si>
  <si>
    <t>M61109</t>
  </si>
  <si>
    <t>645545931664</t>
  </si>
  <si>
    <t>Material Girl Active Juniors Graphic Tank T Femme Fuschia XL</t>
  </si>
  <si>
    <t>645545931633</t>
  </si>
  <si>
    <t>Material Girl Active Juniors Graphic Tank T Femme Fuschia S</t>
  </si>
  <si>
    <t>190121146951</t>
  </si>
  <si>
    <t>Mighty Fine Juniors Graphic T-Shirt Gray L</t>
  </si>
  <si>
    <t>F2635ICB1-MACY</t>
  </si>
  <si>
    <t>645545933118</t>
  </si>
  <si>
    <t>Material Girl Active Juniors Pull-On Shorts Black M</t>
  </si>
  <si>
    <t>645545933026</t>
  </si>
  <si>
    <t>Material Girl Active Juniors Racerback Spor Heather Platinum S</t>
  </si>
  <si>
    <t>645545933255</t>
  </si>
  <si>
    <t>Material Girl Active Juniors Pull-On Shorts Heather Platinum XS</t>
  </si>
  <si>
    <t>645545933187</t>
  </si>
  <si>
    <t>Material Girl Active Juniors Pull-On Shorts Hot Chilli S</t>
  </si>
  <si>
    <t>705143701622</t>
  </si>
  <si>
    <t>Energie Juniors Reversible Seamless C Boysenberry XS</t>
  </si>
  <si>
    <t>42ZW191</t>
  </si>
  <si>
    <t>8309SS3BT3</t>
  </si>
  <si>
    <t>713701110229</t>
  </si>
  <si>
    <t>American Rag Lace Bell-Sleeve Romper Classic Black S</t>
  </si>
  <si>
    <t>822982621086</t>
  </si>
  <si>
    <t>Jessica Simpson Arielle Embroidered Peasant Sh BlackWhite S</t>
  </si>
  <si>
    <t>70101MG</t>
  </si>
  <si>
    <t>637865191866</t>
  </si>
  <si>
    <t>Calvin Klein Jeans Marled High-Low-Hem Top Blueberry Dust XL</t>
  </si>
  <si>
    <t>708008363737</t>
  </si>
  <si>
    <t>City Studios Juniors Scallop-Trim Lace Bod NudeBlack 5</t>
  </si>
  <si>
    <t>842127107770</t>
  </si>
  <si>
    <t>American Rag Embroidered Lace Fit Flare D Classic Black S</t>
  </si>
  <si>
    <t>889775094137</t>
  </si>
  <si>
    <t>American Rag Off-The-Shoulder Pointelle Swe Egret L</t>
  </si>
  <si>
    <t>10364MG</t>
  </si>
  <si>
    <t>713701112407</t>
  </si>
  <si>
    <t>Material Girl Juniors 2-Pc. Lace-Trim Slip Zinfandel Combo S</t>
  </si>
  <si>
    <t>889351487322</t>
  </si>
  <si>
    <t>P6HD16</t>
  </si>
  <si>
    <t>791093382691</t>
  </si>
  <si>
    <t>SHIFT Juniors Sheer Metallic Pencil BlackSilver S</t>
  </si>
  <si>
    <t>JK1328B1GHGM</t>
  </si>
  <si>
    <t>791093382707</t>
  </si>
  <si>
    <t>SHIFT Juniors Sheer Metallic Pencil BlackSilver M</t>
  </si>
  <si>
    <t>791093382387</t>
  </si>
  <si>
    <t>SHIFT Juniors Plisse Cropped Wide- Black XS</t>
  </si>
  <si>
    <t>MERC HIGH RISE SHORT</t>
  </si>
  <si>
    <t>6BD61</t>
  </si>
  <si>
    <t>829092301136</t>
  </si>
  <si>
    <t>XOXO Juniors Velvet Chiffon-Contra Black M</t>
  </si>
  <si>
    <t>3541VNV5</t>
  </si>
  <si>
    <t>826410387117</t>
  </si>
  <si>
    <t>BCX Juniors Trousers White 15</t>
  </si>
  <si>
    <t>0047W7M</t>
  </si>
  <si>
    <t>889775093765</t>
  </si>
  <si>
    <t>889775093772</t>
  </si>
  <si>
    <t>889775090511</t>
  </si>
  <si>
    <t>W23594AR</t>
  </si>
  <si>
    <t>887043730039</t>
  </si>
  <si>
    <t>Celebrity Pink Juniors Body Sculpt The Lifte Black Rinse 1</t>
  </si>
  <si>
    <t>CJ21378SL</t>
  </si>
  <si>
    <t>3K31555MC</t>
  </si>
  <si>
    <t>889602138232</t>
  </si>
  <si>
    <t>Jessica Simpson Juniors Tie-Dyed Jogger Pants Blue Tie Dye XL</t>
  </si>
  <si>
    <t>887400717888</t>
  </si>
  <si>
    <t>Eyeshadow Trendy Plus Size Keyhole Peasa Burgundy Passion 3X</t>
  </si>
  <si>
    <t>B8366CAET</t>
  </si>
  <si>
    <t>826422002954</t>
  </si>
  <si>
    <t>BCX Juniors Cropped Wide-Leg Soft Off White M</t>
  </si>
  <si>
    <t>RIB LACE MARYLN</t>
  </si>
  <si>
    <t>106149H</t>
  </si>
  <si>
    <t>190040312208</t>
  </si>
  <si>
    <t>Almost Famous Juniors Striped Fringe Waterf BlackRed XS</t>
  </si>
  <si>
    <t>841060125896</t>
  </si>
  <si>
    <t>Hippie Rose Juniors Lace-Trim Asymmetrica Brandywine L</t>
  </si>
  <si>
    <t>841060126046</t>
  </si>
  <si>
    <t>Hippie Rose Juniors Lace-Trim Asymmetrica Vanilla Almond L</t>
  </si>
  <si>
    <t>JL2W006076</t>
  </si>
  <si>
    <t>889602128684</t>
  </si>
  <si>
    <t>Freshman Juniors Sleeveless Cowl-Neck Fleur De Lis M</t>
  </si>
  <si>
    <t>889602128691</t>
  </si>
  <si>
    <t>Freshman Juniors Sleeveless Cowl-Neck Fleur De Lis L</t>
  </si>
  <si>
    <t>841060127227</t>
  </si>
  <si>
    <t>Hippie Rose Juniors Velour Jogger Pants Medium Heather Grey L</t>
  </si>
  <si>
    <t>841060126770</t>
  </si>
  <si>
    <t>Hippie Rose Juniors Velour Jogger Pants Tapestry Blue L</t>
  </si>
  <si>
    <t>706256576404</t>
  </si>
  <si>
    <t>M7121</t>
  </si>
  <si>
    <t>CRACKLE CROP LEGGING</t>
  </si>
  <si>
    <t>706256732510</t>
  </si>
  <si>
    <t>706256923840</t>
  </si>
  <si>
    <t>Material Girl Juniors Shine-Waistband Yoga Classic Black XXS</t>
  </si>
  <si>
    <t>706257141151</t>
  </si>
  <si>
    <t>706256917597</t>
  </si>
  <si>
    <t>JEC7006055</t>
  </si>
  <si>
    <t>H6F0144</t>
  </si>
  <si>
    <t>H6F0128</t>
  </si>
  <si>
    <t>889602138126</t>
  </si>
  <si>
    <t>Jessica Simpson Juniors Graphic Tank Top Flutter Pink L</t>
  </si>
  <si>
    <t>645545916753</t>
  </si>
  <si>
    <t>MY FLEX LATTICE TANK</t>
  </si>
  <si>
    <t>M6O34BW212</t>
  </si>
  <si>
    <t>645545915473</t>
  </si>
  <si>
    <t>DRAFT - MATERIAL GIRL ACTIVE E Flashmode XL</t>
  </si>
  <si>
    <t>11325MYE</t>
  </si>
  <si>
    <t>717960517089</t>
  </si>
  <si>
    <t>Extra Touch Trendy Plus Size Strappy-Back Gray 2X</t>
  </si>
  <si>
    <t>717960513371</t>
  </si>
  <si>
    <t>42YA71Q</t>
  </si>
  <si>
    <t>42YA71P</t>
  </si>
  <si>
    <t>886542631717</t>
  </si>
  <si>
    <t>B Darlin Juniors Open-Back Rhinestone- GoldBlack 1314</t>
  </si>
  <si>
    <t>I131H709H</t>
  </si>
  <si>
    <t>MY MICHELLE/KELLWOOD CO</t>
  </si>
  <si>
    <t>829092257235</t>
  </si>
  <si>
    <t>XOXO Juniors Embellished Blazer Black S</t>
  </si>
  <si>
    <t>886542616479</t>
  </si>
  <si>
    <t>B Darlin Juniors Embellished Scuba Fit Black 56</t>
  </si>
  <si>
    <t>I7AAJ387H</t>
  </si>
  <si>
    <t>886542616509</t>
  </si>
  <si>
    <t>B Darlin Juniors Embellished Scuba Fit Black 1112</t>
  </si>
  <si>
    <t>719621218809</t>
  </si>
  <si>
    <t>American Rag Utility Vest Zinfandel XS</t>
  </si>
  <si>
    <t>H063781</t>
  </si>
  <si>
    <t>3182ND8CT3</t>
  </si>
  <si>
    <t>829092280592</t>
  </si>
  <si>
    <t>XOXO Juniors Asymmetrical Dolman-S Ivory XXL</t>
  </si>
  <si>
    <t>4480XFT</t>
  </si>
  <si>
    <t>888825872503</t>
  </si>
  <si>
    <t>Material Girl Juniors Short-Sleeve Plaid-Wr Heather Grey XS</t>
  </si>
  <si>
    <t>10320MG</t>
  </si>
  <si>
    <t>42YK248</t>
  </si>
  <si>
    <t>8435HPC</t>
  </si>
  <si>
    <t>829092281162</t>
  </si>
  <si>
    <t>XOXO Juniors Off-The-Shoulder Swea BlackIvory XS</t>
  </si>
  <si>
    <t>4600XEW</t>
  </si>
  <si>
    <t>887840191613</t>
  </si>
  <si>
    <t>Emerald Sundae Juniors Printed Split-Sleeve Eggplant Multi S</t>
  </si>
  <si>
    <t>EUJ2783511</t>
  </si>
  <si>
    <t>CX21046SG</t>
  </si>
  <si>
    <t>713701105614</t>
  </si>
  <si>
    <t>Material Girl Juniors Zipper-Trim Faux-Leat Caviar Black XS</t>
  </si>
  <si>
    <t>P6HQ02</t>
  </si>
  <si>
    <t>791093320198</t>
  </si>
  <si>
    <t>In Awe of You by AwesomenessTV Juniors Metallic Mini Skirt Silver S</t>
  </si>
  <si>
    <t>SPJ322B1G8PM</t>
  </si>
  <si>
    <t>791093320204</t>
  </si>
  <si>
    <t>In Awe of You by AwesomenessTV Juniors Metallic Mini Skirt Silver M</t>
  </si>
  <si>
    <t>826409611957</t>
  </si>
  <si>
    <t>BCX Juniors Sheer Belted A-Line D Multi L</t>
  </si>
  <si>
    <t>KUU13308I</t>
  </si>
  <si>
    <t>826409524707</t>
  </si>
  <si>
    <t>BCX Juniors Lace-Up Cowl-Neck Swe White M</t>
  </si>
  <si>
    <t>826409611926</t>
  </si>
  <si>
    <t>BCX Juniors Sheer Belted A-Line D Multi XS</t>
  </si>
  <si>
    <t>NTC164X-RBU</t>
  </si>
  <si>
    <t>20163PL204</t>
  </si>
  <si>
    <t>888825945245</t>
  </si>
  <si>
    <t>Material Girl Lace-Up Rib-Knit Bodysuit Zinfandel XL</t>
  </si>
  <si>
    <t>1124V50</t>
  </si>
  <si>
    <t>ASSORTED</t>
  </si>
  <si>
    <t>826409630071</t>
  </si>
  <si>
    <t>BCX Juniors Belted Cutout Fit F Red XXS</t>
  </si>
  <si>
    <t>887043681560</t>
  </si>
  <si>
    <t>Celebrity Pink Juniors Slimming Technology C Iron Gate 3</t>
  </si>
  <si>
    <t>744199720485</t>
  </si>
  <si>
    <t>Dollhouse Juniors Paint Splatter Dark W Black 9</t>
  </si>
  <si>
    <t>DP-2162ME</t>
  </si>
  <si>
    <t>887043681607</t>
  </si>
  <si>
    <t>Celebrity Pink Juniors Slimming Technology C Iron Gate 11</t>
  </si>
  <si>
    <t>889237664533</t>
  </si>
  <si>
    <t>As U Wish Juniors Printed Tie-Front Ruf RedCream M</t>
  </si>
  <si>
    <t>I390453V8</t>
  </si>
  <si>
    <t>1078T2P</t>
  </si>
  <si>
    <t>889351234742</t>
  </si>
  <si>
    <t>Roxy Juniors Printed T-Back Shift Bright Blue S</t>
  </si>
  <si>
    <t>889351234759</t>
  </si>
  <si>
    <t>Roxy Juniors Printed T-Back Shift Bright Blue XL</t>
  </si>
  <si>
    <t>887409059514</t>
  </si>
  <si>
    <t>Polly Esther Juniors Queen Bee Lemonade Gr Grey L</t>
  </si>
  <si>
    <t>887409059569</t>
  </si>
  <si>
    <t>Polly Esther Juniors Unicorn Patch Pullove Grey L</t>
  </si>
  <si>
    <t>PT14571MC</t>
  </si>
  <si>
    <t>887409059507</t>
  </si>
  <si>
    <t>Polly Esther Juniors Queen Bee Lemonade Gr Grey M</t>
  </si>
  <si>
    <t>887409059552</t>
  </si>
  <si>
    <t>Polly Esther Juniors Unicorn Patch Pullove Grey M</t>
  </si>
  <si>
    <t>J2255AET</t>
  </si>
  <si>
    <t>841907121531</t>
  </si>
  <si>
    <t>Indigo Rein Juniors Skinny Five-Pocket Co Beet 11</t>
  </si>
  <si>
    <t>706256894768</t>
  </si>
  <si>
    <t>Material Girl Active Juniors Metallic Zip H Gold Metallic M</t>
  </si>
  <si>
    <t>887840186084</t>
  </si>
  <si>
    <t>Emerald Sundae Juniors Knit Dress with Knot- NavyWine M</t>
  </si>
  <si>
    <t>ERM2668482</t>
  </si>
  <si>
    <t>ERM2704008</t>
  </si>
  <si>
    <t>887840186077</t>
  </si>
  <si>
    <t>Emerald Sundae Juniors Knit Dress with Knot- NavyWine S</t>
  </si>
  <si>
    <t>841413126525</t>
  </si>
  <si>
    <t>OhMG Juniors Southwest Asymmetrica Burgundy XL</t>
  </si>
  <si>
    <t>637677168742</t>
  </si>
  <si>
    <t>Self Esteem Juniors Draped Open-Front Car Chili Pepper Combo M</t>
  </si>
  <si>
    <t>637677168698</t>
  </si>
  <si>
    <t>Self Esteem Juniors Draped Open-Front Car Charcoal Blush Combo M</t>
  </si>
  <si>
    <t>829826295854</t>
  </si>
  <si>
    <t>Planet Gold Juniors Kiss Me Pullover Swea Black M</t>
  </si>
  <si>
    <t>637677168704</t>
  </si>
  <si>
    <t>Self Esteem Juniors Draped Open-Front Car Charcoal Blush Combo L</t>
  </si>
  <si>
    <t>841060120372</t>
  </si>
  <si>
    <t>Pink Rose Juniors Ribbed Mock-Turtlenec Wine S</t>
  </si>
  <si>
    <t>H6F0116</t>
  </si>
  <si>
    <t>887043628299</t>
  </si>
  <si>
    <t>Celebrity Pink Juniors Skinny Ponte Pants Burnt Red 3</t>
  </si>
  <si>
    <t>887043628275</t>
  </si>
  <si>
    <t>Celebrity Pink Juniors Skinny Ponte Pants Burnt Red 0</t>
  </si>
  <si>
    <t>652874756752</t>
  </si>
  <si>
    <t>Speechless Juniors Striped Swing Dress OlivePlum Combo S</t>
  </si>
  <si>
    <t>841413124903</t>
  </si>
  <si>
    <t>OhMG Juniors Fruit Shine Patch Swe Black M</t>
  </si>
  <si>
    <t>841413124859</t>
  </si>
  <si>
    <t>OhMG Juniors Favorites Shine Patch Oatmeal M</t>
  </si>
  <si>
    <t>3K31066MC</t>
  </si>
  <si>
    <t>695532480903</t>
  </si>
  <si>
    <t>Ultra Flirt Juniors Sleeveless Mock-Neck Wine Tasting XL</t>
  </si>
  <si>
    <t>695532480842</t>
  </si>
  <si>
    <t>Ultra Flirt Juniors Sleeveless Mock-Neck Olive L</t>
  </si>
  <si>
    <t>5T50218MC</t>
  </si>
  <si>
    <t>841060119291</t>
  </si>
  <si>
    <t>Hippie Rose Juniors Handkerchief-Hem Card Heather Oatmeal Combo L</t>
  </si>
  <si>
    <t>841060119130</t>
  </si>
  <si>
    <t>Hippie Rose Juniors Handkerchief-Hem Card Coyote Blue Combo M</t>
  </si>
  <si>
    <t>887043641472</t>
  </si>
  <si>
    <t>Celebrity Pink Juniors Button-Front Mini A-L Olive Night M</t>
  </si>
  <si>
    <t>841060119093</t>
  </si>
  <si>
    <t>Hippie Rose Juniors Handkerchief-Hem Card Black Combo L</t>
  </si>
  <si>
    <t>841060119345</t>
  </si>
  <si>
    <t>Hippie Rose Juniors Handkerchief-Hem Card Retro Maroon Combo L</t>
  </si>
  <si>
    <t>841060119086</t>
  </si>
  <si>
    <t>Hippie Rose Juniors Handkerchief-Hem Card Black Combo M</t>
  </si>
  <si>
    <t>887648645332</t>
  </si>
  <si>
    <t>Freeze 24-7 Juniors Mickey Mouse Patch Gr Red XS</t>
  </si>
  <si>
    <t>MYSJR76-8K78</t>
  </si>
  <si>
    <t>887648645349</t>
  </si>
  <si>
    <t>Freeze 24-7 Juniors Mickey Mouse Patch Gr Red S</t>
  </si>
  <si>
    <t>695532460073</t>
  </si>
  <si>
    <t>Ultra Flirt Juniors Plaid Raglan-Sleeve L BlackWhite XS</t>
  </si>
  <si>
    <t>5T22MC</t>
  </si>
  <si>
    <t>695532460141</t>
  </si>
  <si>
    <t>Ultra Flirt Juniors Plaid Raglan-Sleeve L BlackWine XS</t>
  </si>
  <si>
    <t>706256235561</t>
  </si>
  <si>
    <t>Material Girl Juniors Active Drawstring Cro Heather Charcoal XS</t>
  </si>
  <si>
    <t>706256923772</t>
  </si>
  <si>
    <t>Material Girl Active Juniors Lace-Waist Yog Fuschia XXS</t>
  </si>
  <si>
    <t>645545935594</t>
  </si>
  <si>
    <t>Material Girl Active Juniors Metallic-Detai Cosmic Cobalt M</t>
  </si>
  <si>
    <t>706256026718</t>
  </si>
  <si>
    <t>Material Girl Juniors Printed Foldover-Wais Classic Black XS</t>
  </si>
  <si>
    <t>M6824BK212</t>
  </si>
  <si>
    <t>706256026770</t>
  </si>
  <si>
    <t>Material Girl Juniors Printed Foldover-Wais Classic Black XXS</t>
  </si>
  <si>
    <t>706256026374</t>
  </si>
  <si>
    <t>Material Girl Juniors Ombre-Print Cropped L Sunset L</t>
  </si>
  <si>
    <t>M6823SU212</t>
  </si>
  <si>
    <t>LT/PAS YEL</t>
  </si>
  <si>
    <t>706255833027</t>
  </si>
  <si>
    <t>Material Girl Juniors Printed Cropped Leggi Wild Tiger XXS</t>
  </si>
  <si>
    <t>706255830057</t>
  </si>
  <si>
    <t>Material Girl Juniors Cropped Leggings Brushed Leo L</t>
  </si>
  <si>
    <t>M6718BK212</t>
  </si>
  <si>
    <t>841060124219</t>
  </si>
  <si>
    <t>Hippie Rose Juniors Long-Sleeve Coccoon C BlackIvory XS</t>
  </si>
  <si>
    <t>841060121782</t>
  </si>
  <si>
    <t>Pink Rose Juniors V-Neck Fine-Gauge Swe Olive Branch M</t>
  </si>
  <si>
    <t>887069475235</t>
  </si>
  <si>
    <t>Pink Rose Juniors Ruched-Side Fine-Gaug Black L</t>
  </si>
  <si>
    <t>887854000154</t>
  </si>
  <si>
    <t>Miss Chievous Juniors Printed Raglan-Sleeve Dusty Olive S</t>
  </si>
  <si>
    <t>JF9277X157</t>
  </si>
  <si>
    <t>645545938793</t>
  </si>
  <si>
    <t>Rebellious One Juniors FriYAY Patch Graphic Black XL</t>
  </si>
  <si>
    <t>645545938755</t>
  </si>
  <si>
    <t>Rebellious One Juniors FriYAY Patch Graphic Black XS</t>
  </si>
  <si>
    <t>1AHRAHSB</t>
  </si>
  <si>
    <t>3C277MC</t>
  </si>
  <si>
    <t>695532437709</t>
  </si>
  <si>
    <t>Ultra Flirt Juniors Marled High-Low Pullo Tawny Port M</t>
  </si>
  <si>
    <t>887069038447</t>
  </si>
  <si>
    <t>Material Girl Juniors Pants, Faux-Leather Le Caviar Black XSS</t>
  </si>
  <si>
    <t>H6F0104</t>
  </si>
  <si>
    <t>841060119727</t>
  </si>
  <si>
    <t>Hippie Rose Juniors Colorblocked Leggings Heather Black Aubergine S</t>
  </si>
  <si>
    <t>H6F0102M</t>
  </si>
  <si>
    <t>190344361759</t>
  </si>
  <si>
    <t>Trolls by DreamWorks Juniors Trolls Patched Jogger Deep Teal XL</t>
  </si>
  <si>
    <t>JB2449JTRL0130</t>
  </si>
  <si>
    <t>JL3197JTRL0127</t>
  </si>
  <si>
    <t>H6S0101M</t>
  </si>
  <si>
    <t>190121167871</t>
  </si>
  <si>
    <t>Mighty Fine Juniors Pizza Party Graphic B Linen L</t>
  </si>
  <si>
    <t>F2650IAV1-MACY</t>
  </si>
  <si>
    <t>716068570903</t>
  </si>
  <si>
    <t>NTD Juniors Short-Sleeve Graphic BlackWhite S</t>
  </si>
  <si>
    <t>BVJG2000</t>
  </si>
  <si>
    <t>645545934825</t>
  </si>
  <si>
    <t>Material Girl Juniors Strappy Graphic Tank Black XXL</t>
  </si>
  <si>
    <t>706256504322</t>
  </si>
  <si>
    <t>Material Girl Printed Yoga Shorts Fall Feather M</t>
  </si>
  <si>
    <t>M6O45FF212</t>
  </si>
  <si>
    <t>645545934795</t>
  </si>
  <si>
    <t>Material Girl Juniors Strappy Graphic Tank Black M</t>
  </si>
  <si>
    <t>645545931640</t>
  </si>
  <si>
    <t>Material Girl Active Juniors Graphic Tank T Femme Fuschia M</t>
  </si>
  <si>
    <t>PK14460MC</t>
  </si>
  <si>
    <t>190121147132</t>
  </si>
  <si>
    <t>Mighty Fine Juniors Graphic T-Shirt Cream M</t>
  </si>
  <si>
    <t>F2651ICW1-MACY</t>
  </si>
  <si>
    <t>JL2996JTRL0086</t>
  </si>
  <si>
    <t>0VUHNRSF</t>
  </si>
  <si>
    <t>645545933019</t>
  </si>
  <si>
    <t>Material Girl Active Juniors Racerback Spor Heather Platinum XS</t>
  </si>
  <si>
    <t>645545932920</t>
  </si>
  <si>
    <t>Material Girl Active Juniors Racerback Spor Hot Chilli XS</t>
  </si>
  <si>
    <t>655998351698</t>
  </si>
  <si>
    <t>Material Girl Printed Lace Bandeau Bra Sugar Almond M</t>
  </si>
  <si>
    <t>M5411SA212</t>
  </si>
  <si>
    <t>190371313363</t>
  </si>
  <si>
    <t>Bioworld Fantastic Beasts Juniors Noma White S</t>
  </si>
  <si>
    <t>RG4RZRFAN</t>
  </si>
  <si>
    <t>190371327254</t>
  </si>
  <si>
    <t>Bioworld Juniors Fantastic Beasts Magi Maroon XS</t>
  </si>
  <si>
    <t>190371313455</t>
  </si>
  <si>
    <t>Bioworld Fantastic Beasts Juniors Newt White XS</t>
  </si>
  <si>
    <t>RG4S1NFAN</t>
  </si>
  <si>
    <t>821942362144</t>
  </si>
  <si>
    <t>Planet Gold Juniors Spaghetti-Strap Tank Evening Blue XXS</t>
  </si>
  <si>
    <t>705143701837</t>
  </si>
  <si>
    <t>Energie Juniors Reversible Seamless C Algiers Blue M</t>
  </si>
  <si>
    <t>705143701615</t>
  </si>
  <si>
    <t>Energie Juniors Reversible Seamless C Boysenberry XL</t>
  </si>
  <si>
    <t>705143701608</t>
  </si>
  <si>
    <t>Energie Juniors Reversible Seamless C Boysenberry S</t>
  </si>
  <si>
    <t>705143701851</t>
  </si>
  <si>
    <t>Energie Juniors Reversible Seamless C Algiers Blue XL</t>
  </si>
  <si>
    <t>705143701844</t>
  </si>
  <si>
    <t>Energie Juniors Reversible Seamless C Algiers Blue S</t>
  </si>
  <si>
    <t>S/S V-NECK KNIT DRESS</t>
  </si>
  <si>
    <t>42ZD772</t>
  </si>
  <si>
    <t>42ZW138</t>
  </si>
  <si>
    <t>42ZW152</t>
  </si>
  <si>
    <t>637865184745</t>
  </si>
  <si>
    <t>Calvin Klein Jeans Floral-Print Shirt Blue Nights M</t>
  </si>
  <si>
    <t>708008363140</t>
  </si>
  <si>
    <t>City Studios Juniors Embellished Lace-Fron Black 3</t>
  </si>
  <si>
    <t>708008363164</t>
  </si>
  <si>
    <t>City Studios Juniors Embellished Lace-Fron Black 7</t>
  </si>
  <si>
    <t>708008363171</t>
  </si>
  <si>
    <t>City Studios Juniors Embellished Lace-Fron Black 9</t>
  </si>
  <si>
    <t>RUBY CLEMENS</t>
  </si>
  <si>
    <t>HO6417012</t>
  </si>
  <si>
    <t>886680025966</t>
  </si>
  <si>
    <t>Material Girl Juniors Halter Jumpsuit Black L</t>
  </si>
  <si>
    <t>637865191859</t>
  </si>
  <si>
    <t>Calvin Klein Jeans Marled High-Low-Hem Top Blueberry Dust L</t>
  </si>
  <si>
    <t>SILV SELF BELT UTILITY SH</t>
  </si>
  <si>
    <t>KSM13318I</t>
  </si>
  <si>
    <t>889387991879</t>
  </si>
  <si>
    <t>Trixxi Cold-Shoulder Sheath Dress Black M</t>
  </si>
  <si>
    <t>25M737S4UI</t>
  </si>
  <si>
    <t>10359MG</t>
  </si>
  <si>
    <t>70111MG</t>
  </si>
  <si>
    <t>191198125788</t>
  </si>
  <si>
    <t>Material Girl Juniors Maxi Romper, Only at Black Combo XS</t>
  </si>
  <si>
    <t>EDB1027420.</t>
  </si>
  <si>
    <t>661414516381</t>
  </si>
  <si>
    <t>Teeze Me Juniors Velvet Crisscross-Bac Red L</t>
  </si>
  <si>
    <t>889775087788</t>
  </si>
  <si>
    <t>652874833347</t>
  </si>
  <si>
    <t>Speechless Juniors Ruffled Fit Flare D Royal Blue XL</t>
  </si>
  <si>
    <t>JA87861GLC</t>
  </si>
  <si>
    <t>889237815966</t>
  </si>
  <si>
    <t>As U Wish Juniors Bodycon Dress with Ne Black M</t>
  </si>
  <si>
    <t>I571215A1</t>
  </si>
  <si>
    <t>889775090603</t>
  </si>
  <si>
    <t>889775093369</t>
  </si>
  <si>
    <t>889775093345</t>
  </si>
  <si>
    <t>759880883295</t>
  </si>
  <si>
    <t>841060125834</t>
  </si>
  <si>
    <t>Hippie Rose Juniors Lace-Trim Asymmetrica Black M</t>
  </si>
  <si>
    <t>889602128745</t>
  </si>
  <si>
    <t>Freshman Juniors Sleeveless Cowl-Neck Honeysuckle Sun L</t>
  </si>
  <si>
    <t>637677242671</t>
  </si>
  <si>
    <t>Belle Du Jour Juniors Cardigan, T-Shirt and Clover L</t>
  </si>
  <si>
    <t>1DDYNSXU</t>
  </si>
  <si>
    <t>JLFQAD76938</t>
  </si>
  <si>
    <t>889775093482</t>
  </si>
  <si>
    <t>887409061524</t>
  </si>
  <si>
    <t>NAVY LS RAYON HERRINGBONE</t>
  </si>
  <si>
    <t>PAT TOP SPLIT FT</t>
  </si>
  <si>
    <t>1016Y4T</t>
  </si>
  <si>
    <t>695532489265</t>
  </si>
  <si>
    <t>695532495082</t>
  </si>
  <si>
    <t>Ultra Flirt Juniors Contrast Asymmetrical WhiteHeather Grey M</t>
  </si>
  <si>
    <t>LUKE'S GILMORE GIRLS</t>
  </si>
  <si>
    <t>GZJV2002</t>
  </si>
  <si>
    <t>190371344428</t>
  </si>
  <si>
    <t>Bioworld Juniors Fantastic Beasts Grap Ivory XS</t>
  </si>
  <si>
    <t>708008229064</t>
  </si>
  <si>
    <t>City Studios Juniors Dress, Strapless Lace Black 11</t>
  </si>
  <si>
    <t>889775001975</t>
  </si>
  <si>
    <t>American Rag Plus Size Slim Bootcut Jeans, Betsy Wash 14W</t>
  </si>
  <si>
    <t>889775098616</t>
  </si>
  <si>
    <t>American Rag Trendy Plus Size Patched Asbur Asbury Wash 14W</t>
  </si>
  <si>
    <t>829092290485</t>
  </si>
  <si>
    <t>XOXO Juniors Cropped Embellished J BlackWhite Multi S</t>
  </si>
  <si>
    <t>5498TLJ5</t>
  </si>
  <si>
    <t>889775031040</t>
  </si>
  <si>
    <t>American Rag Juniors Hooded Pullover Sweat Biking RedBlue Combo XXL</t>
  </si>
  <si>
    <t>39307012256</t>
  </si>
  <si>
    <t>Levis 712 Slim-Fit Jeans Canopy 30 US 10 R</t>
  </si>
  <si>
    <t>719621218816</t>
  </si>
  <si>
    <t>American Rag Utility Vest Zinfandel S</t>
  </si>
  <si>
    <t>637865169308</t>
  </si>
  <si>
    <t>Calvin Klein Jeans Graphic-Logo Pleated Sweatshir White Wash L</t>
  </si>
  <si>
    <t>886680005609</t>
  </si>
  <si>
    <t>Material Girl Juniors Lace Keyhole Romper Black Combo XXS</t>
  </si>
  <si>
    <t>70092MG</t>
  </si>
  <si>
    <t>886680005647</t>
  </si>
  <si>
    <t>Material Girl Juniors Lace Keyhole Romper Black Combo L</t>
  </si>
  <si>
    <t>886680005623</t>
  </si>
  <si>
    <t>Material Girl Juniors Lace Keyhole Romper Black Combo S</t>
  </si>
  <si>
    <t>886680005630</t>
  </si>
  <si>
    <t>Material Girl Juniors Lace Keyhole Romper Black Combo M</t>
  </si>
  <si>
    <t>889775059952</t>
  </si>
  <si>
    <t>American Rag Juniors Printed Denim Shortal Denim Printed 9</t>
  </si>
  <si>
    <t>6MD75BTY</t>
  </si>
  <si>
    <t>889775070209</t>
  </si>
  <si>
    <t>American Rag Charlie Wash Ripped Skinny Jea Charlie Wash 0</t>
  </si>
  <si>
    <t>889775097169</t>
  </si>
  <si>
    <t>American Rag Trendy Plus Size Peplum Cardig Zinfindel 3X</t>
  </si>
  <si>
    <t>P6FQ33</t>
  </si>
  <si>
    <t>889775088457</t>
  </si>
  <si>
    <t>American Rag Slim-Fit Ishana Wash Bootcut J Puma Wash 5</t>
  </si>
  <si>
    <t>889775088495</t>
  </si>
  <si>
    <t>American Rag Slim-Fit Ishana Wash Bootcut J Puma Wash 13</t>
  </si>
  <si>
    <t>889775088471</t>
  </si>
  <si>
    <t>American Rag Slim-Fit Ishana Wash Bootcut J Puma Wash 9</t>
  </si>
  <si>
    <t>652874792620</t>
  </si>
  <si>
    <t>Speechless Juniors Cutout Lace Chiffon P GoldWhiteBlack S</t>
  </si>
  <si>
    <t>601350864573</t>
  </si>
  <si>
    <t>Speechless Juniors Lace-Bodice Cutout A- Black 13</t>
  </si>
  <si>
    <t>D64571HDJ</t>
  </si>
  <si>
    <t>889775078717</t>
  </si>
  <si>
    <t>American Rag Colored Wash Super-Skinny Jean Zinfandel 3</t>
  </si>
  <si>
    <t>889775067575</t>
  </si>
  <si>
    <t>American Rag Colored Wash Super-Skinny Jean Woodrose 11</t>
  </si>
  <si>
    <t>889775035000</t>
  </si>
  <si>
    <t>American Rag Colored Wash Super-Skinny Jean Woodrose 5</t>
  </si>
  <si>
    <t>889775069647</t>
  </si>
  <si>
    <t>American Rag Colored Wash Super-Skinny Jean Olive 13</t>
  </si>
  <si>
    <t>889775069609</t>
  </si>
  <si>
    <t>American Rag Colored Wash Super-Skinny Jean Olive 5</t>
  </si>
  <si>
    <t>889775069593</t>
  </si>
  <si>
    <t>American Rag Colored Wash Super-Skinny Jean Olive 3</t>
  </si>
  <si>
    <t>829092299211</t>
  </si>
  <si>
    <t>XOXO Juniors Wide-Leg Trousers Red 78</t>
  </si>
  <si>
    <t>829092235677</t>
  </si>
  <si>
    <t>XOXO Juniors Pull-On Skinny Ankle Black S</t>
  </si>
  <si>
    <t>8494KD3</t>
  </si>
  <si>
    <t>829092299198</t>
  </si>
  <si>
    <t>XOXO Juniors Wide-Leg Trousers Red 1314</t>
  </si>
  <si>
    <t>829092318196</t>
  </si>
  <si>
    <t>XOXO Juniors Printed Ankle-Length Red 1314</t>
  </si>
  <si>
    <t>8452HDM8</t>
  </si>
  <si>
    <t>829092231792</t>
  </si>
  <si>
    <t>XOXO Juniors Straight-Leg Plaid Pa Navy 12</t>
  </si>
  <si>
    <t>889775066103</t>
  </si>
  <si>
    <t>American Rag Black Wash Super-Skinny Jeans Black 7</t>
  </si>
  <si>
    <t>829092179971</t>
  </si>
  <si>
    <t>XOXO Juniors Bootcut Pants Silver 56</t>
  </si>
  <si>
    <t>713701110007</t>
  </si>
  <si>
    <t>American Rag Printed Cold-Shoulder Dress Blueprint S</t>
  </si>
  <si>
    <t>822982607523</t>
  </si>
  <si>
    <t>Jessica Simpson Adora Crocheted-Trim Top Italian Plum M</t>
  </si>
  <si>
    <t>888825935598</t>
  </si>
  <si>
    <t>Material Girl Juniors Mock-Neck Lace Dress Red L</t>
  </si>
  <si>
    <t>888825935581</t>
  </si>
  <si>
    <t>Material Girl Juniors Mock-Neck Lace Dress Red M</t>
  </si>
  <si>
    <t>888825935567</t>
  </si>
  <si>
    <t>Material Girl Juniors Mock-Neck Lace Dress Red XS</t>
  </si>
  <si>
    <t>886998513407</t>
  </si>
  <si>
    <t>American Rag Trendy Plus Size Lace-Trim Hen Zinfandel 2X</t>
  </si>
  <si>
    <t>829092284910</t>
  </si>
  <si>
    <t>XOXO Juniors Grommet-Trim Sweater Red L</t>
  </si>
  <si>
    <t>829092284927</t>
  </si>
  <si>
    <t>XOXO Juniors Grommet-Trim Sweater Black S</t>
  </si>
  <si>
    <t>829092281100</t>
  </si>
  <si>
    <t>XOXO Juniors Off-The-Shoulder Swea BlackIvory L</t>
  </si>
  <si>
    <t>887043707659</t>
  </si>
  <si>
    <t>Celebrity Pink Trendy Plus Size Coated Ponte Black 22W</t>
  </si>
  <si>
    <t>889901116863</t>
  </si>
  <si>
    <t>Its Our Time Trendy Plus Size Light-Up Holi Christmas Red 1X</t>
  </si>
  <si>
    <t>J62933W</t>
  </si>
  <si>
    <t>889775064574</t>
  </si>
  <si>
    <t>American Rag Plus Size Linen Ruffled Peplum Classic Black 0X</t>
  </si>
  <si>
    <t>P6BQ21CBK</t>
  </si>
  <si>
    <t>889775056029</t>
  </si>
  <si>
    <t>American Rag Ruched-Side Shorts Khaki 13</t>
  </si>
  <si>
    <t>6SN68OX</t>
  </si>
  <si>
    <t>889775097558</t>
  </si>
  <si>
    <t>American Rag Trendy Plus Size Handkerchief- Chili Pepper 2X</t>
  </si>
  <si>
    <t>829092289144</t>
  </si>
  <si>
    <t>XOXO Juniors Foil-Printed Cold-Sho Ivory S</t>
  </si>
  <si>
    <t>3518FTR5</t>
  </si>
  <si>
    <t>829092246055</t>
  </si>
  <si>
    <t>XOXO Juniors Zip-Front A-Line Skir Black XL</t>
  </si>
  <si>
    <t>4885XBS3</t>
  </si>
  <si>
    <t>829092301686</t>
  </si>
  <si>
    <t>XOXO Juniors Embellished High-Low Ivory M</t>
  </si>
  <si>
    <t>829092235004</t>
  </si>
  <si>
    <t>XOXO Juniors Button-Front Mini A-L Gold XS</t>
  </si>
  <si>
    <t>829092246048</t>
  </si>
  <si>
    <t>XOXO Juniors Zip-Front A-Line Skir Black M</t>
  </si>
  <si>
    <t>888056291951</t>
  </si>
  <si>
    <t>Soprano Trendy Plus Size Velvet Dress Black 3X</t>
  </si>
  <si>
    <t>XD15155CVT</t>
  </si>
  <si>
    <t>887043645401</t>
  </si>
  <si>
    <t>Celebrity Pink Trendy Plus Size Colored Wash Moroccan Blue 24W</t>
  </si>
  <si>
    <t>826409495762</t>
  </si>
  <si>
    <t>BCX Juniors High-Low Layered-Look Bordeaux XL</t>
  </si>
  <si>
    <t>826409496011</t>
  </si>
  <si>
    <t>BCX Juniors High-Low Layered-Look White XXS</t>
  </si>
  <si>
    <t>826409643675</t>
  </si>
  <si>
    <t>BCX Juniors Crocheted Fringe-Trim White XL</t>
  </si>
  <si>
    <t>887043618054</t>
  </si>
  <si>
    <t>Celebrity Pink Body Sculpt by Celebrity Pink Gypsy Rock 1</t>
  </si>
  <si>
    <t>826409495717</t>
  </si>
  <si>
    <t>BCX Juniors High-Low Layered-Look Bordeaux XXS</t>
  </si>
  <si>
    <t>708008358566</t>
  </si>
  <si>
    <t>City Studios Juniors Floral-Print Ruffle-S Black XL</t>
  </si>
  <si>
    <t>829092247052</t>
  </si>
  <si>
    <t>XOXO Juniors Mock-Neck Grommet Top Ivory S</t>
  </si>
  <si>
    <t>887043679819</t>
  </si>
  <si>
    <t>Celebrity Pink Juniors Slimming Technology C Black 3</t>
  </si>
  <si>
    <t>887043679918</t>
  </si>
  <si>
    <t>Celebrity Pink Juniors Slimming Technology C Burnt Red 0</t>
  </si>
  <si>
    <t>887043679826</t>
  </si>
  <si>
    <t>Celebrity Pink Juniors Slimming Technology C Black 5</t>
  </si>
  <si>
    <t>887043694140</t>
  </si>
  <si>
    <t>Celebrity Pink Juniors Paisley Metallic-Prin BlackMetallic Print 11</t>
  </si>
  <si>
    <t>888650119361</t>
  </si>
  <si>
    <t>Ariya Juniors Embellished Slim Boot Grenada 3</t>
  </si>
  <si>
    <t>32223M</t>
  </si>
  <si>
    <t>888650119576</t>
  </si>
  <si>
    <t>Ariya Juniors Curvy Embellished Med Delano 9</t>
  </si>
  <si>
    <t>841907130700</t>
  </si>
  <si>
    <t>Indigo Rein Juniors Embroidered Yuma Medi Yuma 1</t>
  </si>
  <si>
    <t>AN5428C1MZ</t>
  </si>
  <si>
    <t>887043693808</t>
  </si>
  <si>
    <t>Celebrity Pink Juniors Flocked Skinny Jeans Burnt Red 3</t>
  </si>
  <si>
    <t>889153808066</t>
  </si>
  <si>
    <t>Freestyle Juniors Violet Embellished Da Dark Wash 1</t>
  </si>
  <si>
    <t>FSR-7300</t>
  </si>
  <si>
    <t>826409810077</t>
  </si>
  <si>
    <t>BCX Juniors Faux-Leather-Pocket C White M</t>
  </si>
  <si>
    <t>826409702785</t>
  </si>
  <si>
    <t>BCX Juniors Cutout Plaid Peplum T Black Plaid XXS</t>
  </si>
  <si>
    <t>889812466217</t>
  </si>
  <si>
    <t>Levis Love Graphic Top Natural M</t>
  </si>
  <si>
    <t>614015973558</t>
  </si>
  <si>
    <t>Rewash Juniors Ripped High-Waist Lig Light Wash 5</t>
  </si>
  <si>
    <t>J8976A8K</t>
  </si>
  <si>
    <t>614015973855</t>
  </si>
  <si>
    <t>Rewash Juniors High-Waist Black Rins Dark Wash 9</t>
  </si>
  <si>
    <t>888825899128</t>
  </si>
  <si>
    <t>Tinseltown Juniors Ripped Black Wash Ski Black 1</t>
  </si>
  <si>
    <t>614015973862</t>
  </si>
  <si>
    <t>Rewash Juniors High-Waist Black Rins Dark Wash 11</t>
  </si>
  <si>
    <t>841413126471</t>
  </si>
  <si>
    <t>OhMG Juniors Southwest Asymmetrica BlackWhite XL</t>
  </si>
  <si>
    <t>841413126594</t>
  </si>
  <si>
    <t>OhMG Juniors Southwest Asymmetrica NavySlate S</t>
  </si>
  <si>
    <t>841413126556</t>
  </si>
  <si>
    <t>OhMG Juniors Southwest Asymmetrica Medium Grey M</t>
  </si>
  <si>
    <t>841413126617</t>
  </si>
  <si>
    <t>OhMG Juniors Southwest Asymmetrica NavySlate L</t>
  </si>
  <si>
    <t>841413126570</t>
  </si>
  <si>
    <t>OhMG Juniors Southwest Asymmetrica Medium Grey XL</t>
  </si>
  <si>
    <t>645545933927</t>
  </si>
  <si>
    <t>Material Girl Juniors Cold-Shoulder Graphic White L</t>
  </si>
  <si>
    <t>M61211</t>
  </si>
  <si>
    <t>888825991846</t>
  </si>
  <si>
    <t>Tinseltown Juniors Moto Burgundy Wash Sk Burgundy 13</t>
  </si>
  <si>
    <t>826409497162</t>
  </si>
  <si>
    <t>BCX Juniors Asymmetrical Grommet Black M</t>
  </si>
  <si>
    <t>0066R7H</t>
  </si>
  <si>
    <t>637677168803</t>
  </si>
  <si>
    <t>Self Esteem Juniors Draped Open-Front Car NavyChambray Combo L</t>
  </si>
  <si>
    <t>888825991686</t>
  </si>
  <si>
    <t>Tinseltown Juniors Black Wash Skinny Mot Black 0</t>
  </si>
  <si>
    <t>888825991853</t>
  </si>
  <si>
    <t>Tinseltown Juniors Moto Burgundy Wash Sk Burgundy 15</t>
  </si>
  <si>
    <t>768594160806</t>
  </si>
  <si>
    <t>American Rag Trendy Plus Size Cropped Top Classic Black Combo 1X</t>
  </si>
  <si>
    <t>P78310AR</t>
  </si>
  <si>
    <t>AMERICAN RAG-EDI/DISORDERLY KIDS</t>
  </si>
  <si>
    <t>768594160813</t>
  </si>
  <si>
    <t>American Rag Trendy Plus Size Cropped Top Classic Black Combo 2X</t>
  </si>
  <si>
    <t>768594160790</t>
  </si>
  <si>
    <t>American Rag Trendy Plus Size Cropped Top Classic Black Combo 0X</t>
  </si>
  <si>
    <t>889775072593</t>
  </si>
  <si>
    <t>American Rag Striped Lace-Trim Top Zinfandel XS</t>
  </si>
  <si>
    <t>6BL01</t>
  </si>
  <si>
    <t>619720911383</t>
  </si>
  <si>
    <t>Be Bop Juniors Tie-Waist Blouson Dre Navy L</t>
  </si>
  <si>
    <t>JFGZB774184</t>
  </si>
  <si>
    <t>841413124651</t>
  </si>
  <si>
    <t>OhMG Juniors Drape-Collar Aztec-Pa WhiteBlack M</t>
  </si>
  <si>
    <t>841413124668</t>
  </si>
  <si>
    <t>OhMG Juniors Drape-Collar Aztec-Pa WhiteBlack L</t>
  </si>
  <si>
    <t>841413124675</t>
  </si>
  <si>
    <t>OhMG Juniors Drape-Collar Aztec-Pa WhiteBlack XL</t>
  </si>
  <si>
    <t>889602128530</t>
  </si>
  <si>
    <t>Jessica Simpson Juniors Pullover Hoodie Italian Plum XS</t>
  </si>
  <si>
    <t>887043628343</t>
  </si>
  <si>
    <t>Celebrity Pink Juniors Skinny Ponte Pants Burnt Red 13</t>
  </si>
  <si>
    <t>841060123052</t>
  </si>
  <si>
    <t>Hippie Rose Juniors Striped Crisscross-Ba Black Combo XL</t>
  </si>
  <si>
    <t>887043628459</t>
  </si>
  <si>
    <t>Celebrity Pink Juniors Skinny Ponte Pants Olive Night 9</t>
  </si>
  <si>
    <t>841060123175</t>
  </si>
  <si>
    <t>Hippie Rose Juniors Striped Crisscross-Ba Navy Combo S</t>
  </si>
  <si>
    <t>841060123038</t>
  </si>
  <si>
    <t>Hippie Rose Juniors Striped Crisscross-Ba Black Combo M</t>
  </si>
  <si>
    <t>841060123090</t>
  </si>
  <si>
    <t>Hippie Rose Juniors Crisscross-Back High- Black L</t>
  </si>
  <si>
    <t>841060123212</t>
  </si>
  <si>
    <t>Hippie Rose Juniors Crisscross-Back High- Retro Marooon XS</t>
  </si>
  <si>
    <t>841060123250</t>
  </si>
  <si>
    <t>Hippie Rose Juniors Crisscross-Back High- Retro Marooon XL</t>
  </si>
  <si>
    <t>841060123144</t>
  </si>
  <si>
    <t>Hippie Rose Juniors Crisscross-Back High- Med Heather L</t>
  </si>
  <si>
    <t>841060123229</t>
  </si>
  <si>
    <t>Hippie Rose Juniors Crisscross-Back High- Retro Marooon S</t>
  </si>
  <si>
    <t>841060123298</t>
  </si>
  <si>
    <t>Hippie Rose Juniors Striped Crisscross-Ba Wicked Combo L</t>
  </si>
  <si>
    <t>746194687169</t>
  </si>
  <si>
    <t>Material Girl Juniors Cap-Sleeve Bodysuit Black XS</t>
  </si>
  <si>
    <t>889602128134</t>
  </si>
  <si>
    <t>Jessica Simpson Juniors Logo Jogger Pants Deep Carrbean M</t>
  </si>
  <si>
    <t>695532480828</t>
  </si>
  <si>
    <t>Ultra Flirt Juniors Sleeveless Mock-Neck Olive S</t>
  </si>
  <si>
    <t>889901060265</t>
  </si>
  <si>
    <t>Hooked Up by IOT Juniors Colorblock Zip-Pocket Dark Grey M</t>
  </si>
  <si>
    <t>695532480712</t>
  </si>
  <si>
    <t>Ultra Flirt Juniors Sleeveless Mock-Neck Black XS</t>
  </si>
  <si>
    <t>705143716930</t>
  </si>
  <si>
    <t>Energie Juniors Poppy Cropped Pull-On Heather Grey XS</t>
  </si>
  <si>
    <t>706256575988</t>
  </si>
  <si>
    <t>Material Girl Love Contrast Yoga Leggings BlackLeopard M</t>
  </si>
  <si>
    <t>706256694962</t>
  </si>
  <si>
    <t>Material Girl Active Juniors Graphic Leggin Heather Charcoal M</t>
  </si>
  <si>
    <t>706256695068</t>
  </si>
  <si>
    <t>Material Girl Active Juniors Colorblocked L Heather Charcoal M</t>
  </si>
  <si>
    <t>706256732480</t>
  </si>
  <si>
    <t>Material Girl Active Juniors Love Yoga Pant Black XXS</t>
  </si>
  <si>
    <t>706256694917</t>
  </si>
  <si>
    <t>Material Girl Juniors Graphic Jogger Pants Black M</t>
  </si>
  <si>
    <t>706256694924</t>
  </si>
  <si>
    <t>706256695044</t>
  </si>
  <si>
    <t>Material Girl Active Juniors Colorblocked L Heather Charcoal XS</t>
  </si>
  <si>
    <t>706255688788</t>
  </si>
  <si>
    <t>Material Girl Juniors Crisscross Cropped Ac Flashmode XL</t>
  </si>
  <si>
    <t>M6541FM212</t>
  </si>
  <si>
    <t>887069476188</t>
  </si>
  <si>
    <t>Pink Rose Juniors Rib-Knit Mock-Neck Pu Claret Red L</t>
  </si>
  <si>
    <t>887069474931</t>
  </si>
  <si>
    <t>Pink Rose Juniors Rib-Knit Fine-Gauge S Forest Olive L</t>
  </si>
  <si>
    <t>887069474948</t>
  </si>
  <si>
    <t>Pink Rose Juniors Rib-Knit Fine-Gauge S Forest Olive XL</t>
  </si>
  <si>
    <t>887069476218</t>
  </si>
  <si>
    <t>Pink Rose Juniors Rib-Knit Mock-Neck Pu Forest Olive S</t>
  </si>
  <si>
    <t>887069474986</t>
  </si>
  <si>
    <t>Pink Rose Juniors Rib-Knit Fine-Gauge S Medium Heather Grey L</t>
  </si>
  <si>
    <t>887069474795</t>
  </si>
  <si>
    <t>Pink Rose Juniors Cowl-Neck Marled Fine Mustard Seed XL</t>
  </si>
  <si>
    <t>887069476096</t>
  </si>
  <si>
    <t>Pink Rose Juniors Rib-Knit Mock-Neck Pu Black XL</t>
  </si>
  <si>
    <t>887069476065</t>
  </si>
  <si>
    <t>Pink Rose Juniors Rib-Knit Mock-Neck Pu Black S</t>
  </si>
  <si>
    <t>887069476249</t>
  </si>
  <si>
    <t>Pink Rose Juniors Rib-Knit Mock-Neck Pu Forest Olive XL</t>
  </si>
  <si>
    <t>660032592708</t>
  </si>
  <si>
    <t>One Clothing Juniors Sequin Ruffle-Hem Tan Gold L</t>
  </si>
  <si>
    <t>841060124349</t>
  </si>
  <si>
    <t>Hippie Rose Juniors Long-Sleeve Coccoon C Mountain Blue L</t>
  </si>
  <si>
    <t>705143698939</t>
  </si>
  <si>
    <t>Energie Juniors Molly V-Neck Textured Caviar S</t>
  </si>
  <si>
    <t>705143698892</t>
  </si>
  <si>
    <t>Energie Juniors Molly V-Neck Textured Boysenberry XS</t>
  </si>
  <si>
    <t>705143698854</t>
  </si>
  <si>
    <t>Energie Juniors Molly V-Neck Textured Boysenberry L</t>
  </si>
  <si>
    <t>889901064294</t>
  </si>
  <si>
    <t>Hooked Up by IOT Juniors Rib-Knit Zipper-Back Vino L</t>
  </si>
  <si>
    <t>889901063273</t>
  </si>
  <si>
    <t>Hooked Up by IOT Juniors Cowl-Neck Pullover Sw Black XXS</t>
  </si>
  <si>
    <t>J62196M</t>
  </si>
  <si>
    <t>889901064492</t>
  </si>
  <si>
    <t>Its Our Time Juniors Marled Rib-Knit Zip-B Thyme GreenGreen M</t>
  </si>
  <si>
    <t>J61412M</t>
  </si>
  <si>
    <t>889901063372</t>
  </si>
  <si>
    <t>Hooked Up by IOT Juniors Cowl-Neck Pullover Sw Faded Indigo M</t>
  </si>
  <si>
    <t>889901064508</t>
  </si>
  <si>
    <t>Its Our Time Juniors Marled Rib-Knit Zip-B Thyme GreenGreen L</t>
  </si>
  <si>
    <t>841060125124</t>
  </si>
  <si>
    <t>Hippie Rose Juniors Dolman-Sleeve Graphic Mountain Blue Combo S</t>
  </si>
  <si>
    <t>705143707136</t>
  </si>
  <si>
    <t>Energie Active Juniors Tapered Jogger Ink BlueCaviar XS</t>
  </si>
  <si>
    <t>841060125148</t>
  </si>
  <si>
    <t>Hippie Rose Juniors Dolman-Sleeve Graphic Mountain Blue Combo L</t>
  </si>
  <si>
    <t>841060125131</t>
  </si>
  <si>
    <t>Hippie Rose Juniors Dolman-Sleeve Graphic Mountain Blue Combo M</t>
  </si>
  <si>
    <t>841060125117</t>
  </si>
  <si>
    <t>Hippie Rose Juniors Dolman-Sleeve Graphic Mountain Blue Combo XS</t>
  </si>
  <si>
    <t>705143698649</t>
  </si>
  <si>
    <t>Energie Juniors Willow Textured-Strip Dark Heather XL</t>
  </si>
  <si>
    <t>705143698748</t>
  </si>
  <si>
    <t>Energie Juniors Willow Textured-Strip Inky Blue M</t>
  </si>
  <si>
    <t>705143698779</t>
  </si>
  <si>
    <t>Energie Juniors Willow Textured-Strip Inky Blue XS</t>
  </si>
  <si>
    <t>887854012492</t>
  </si>
  <si>
    <t>Miss Chievous Juniors Embellished Pleated C Candy Apple L</t>
  </si>
  <si>
    <t>JC3193W373</t>
  </si>
  <si>
    <t>190371272400</t>
  </si>
  <si>
    <t>Bioworld Juniors Harry Potter Hogwarts Heather Grey L</t>
  </si>
  <si>
    <t>OW3VHIHPT</t>
  </si>
  <si>
    <t>695532437600</t>
  </si>
  <si>
    <t>Ultra Flirt Juniors Marled High-Low Pullo Oatmeal M</t>
  </si>
  <si>
    <t>695532437617</t>
  </si>
  <si>
    <t>Ultra Flirt Juniors Marled High-Low Pullo Oatmeal L</t>
  </si>
  <si>
    <t>695532443427</t>
  </si>
  <si>
    <t>Ultra Flirt Juniors Cocoon-Hem Cardigan Black XL</t>
  </si>
  <si>
    <t>637677212759</t>
  </si>
  <si>
    <t>Belle Du Jour Juniors Lace-Trim Cage-Front Black S</t>
  </si>
  <si>
    <t>190040298939</t>
  </si>
  <si>
    <t>Almost Famous Juniors Ribbed-Panel Button-D Wine XS</t>
  </si>
  <si>
    <t>ZN8030-4348-1220-MC</t>
  </si>
  <si>
    <t>190040298977</t>
  </si>
  <si>
    <t>Almost Famous Juniors Ribbed-Panel Button-D Wine XL</t>
  </si>
  <si>
    <t>190040298946</t>
  </si>
  <si>
    <t>Almost Famous Juniors Ribbed-Panel Button-D Wine S</t>
  </si>
  <si>
    <t>190040298960</t>
  </si>
  <si>
    <t>Almost Famous Juniors Ribbed-Panel Button-D Wine L</t>
  </si>
  <si>
    <t>695532491725</t>
  </si>
  <si>
    <t>Ultra Flirt Juniors Mock-Neck Marled Shif MaroonGardenia S</t>
  </si>
  <si>
    <t>5N67MC</t>
  </si>
  <si>
    <t>190040298953</t>
  </si>
  <si>
    <t>Almost Famous Juniors Ribbed-Panel Button-D Wine M</t>
  </si>
  <si>
    <t>695532486936</t>
  </si>
  <si>
    <t>Ultra Flirt Juniors Waffle-Knit Stripe-Sl CharcoalBridal Rose L</t>
  </si>
  <si>
    <t>695532487186</t>
  </si>
  <si>
    <t>Ultra Flirt Juniors Scoop-Back Pullover T Chevron Black L</t>
  </si>
  <si>
    <t>695532481948</t>
  </si>
  <si>
    <t>Ultra Flirt Juniors Rugby T-Shirt Dress Olive XL</t>
  </si>
  <si>
    <t>190344542677</t>
  </si>
  <si>
    <t>Disney Juniors Disney Moana Images L Pearl M</t>
  </si>
  <si>
    <t>JS3847JDY4932</t>
  </si>
  <si>
    <t>190344267013</t>
  </si>
  <si>
    <t>Hybrid Juniors Graphic Raglan T-Shir WhiteNavy M</t>
  </si>
  <si>
    <t>746194690275</t>
  </si>
  <si>
    <t>Rampage Juniors Drop-Shoulder Cupcake Light Heather Grey S</t>
  </si>
  <si>
    <t>746194690251</t>
  </si>
  <si>
    <t>Rampage Juniors Drop-Shoulder Cupcake Light Heather Grey XS</t>
  </si>
  <si>
    <t>190371327209</t>
  </si>
  <si>
    <t>Harry Potter Juniors Hufflepuff Graphic Ri Charcoal Heather XS</t>
  </si>
  <si>
    <t>RI4S1AHPT</t>
  </si>
  <si>
    <t>190371313387</t>
  </si>
  <si>
    <t>Bioworld Fantastic Beasts Juniors Noma White L</t>
  </si>
  <si>
    <t>190371327216</t>
  </si>
  <si>
    <t>Harry Potter Juniors Hufflepuff Graphic Ri Charcoal Heather S</t>
  </si>
  <si>
    <t>705143602905</t>
  </si>
  <si>
    <t>Energie Juniors Scoop-Neck Top Caviar L</t>
  </si>
  <si>
    <t>705143667409</t>
  </si>
  <si>
    <t>Energie Juniors Scoop-Neck Top Caviar XXS</t>
  </si>
  <si>
    <t>705143602936</t>
  </si>
  <si>
    <t>Energie Juniors Scoop-Neck Top Caviar XL</t>
  </si>
  <si>
    <t>821942425160</t>
  </si>
  <si>
    <t>Planet Gold Juniors Rib-Knit Cold-Shoulde Egret XL</t>
  </si>
  <si>
    <t>889775097404</t>
  </si>
  <si>
    <t>American Rag Trendy Plus Size Ripped Cresce Crescent Wash 24W</t>
  </si>
  <si>
    <t>P6HD47</t>
  </si>
  <si>
    <t>661414513328</t>
  </si>
  <si>
    <t>Teeze Me Juniors Glitter Bodycon Scuba GoldBlack L</t>
  </si>
  <si>
    <t>H313844</t>
  </si>
  <si>
    <t>829092303833</t>
  </si>
  <si>
    <t>XOXO Juniors Velvet Illusion Dress Black XL</t>
  </si>
  <si>
    <t>9707VNV5</t>
  </si>
  <si>
    <t>708008367940</t>
  </si>
  <si>
    <t>City Studios Juniors Sequin Lace Party Dre Gold 11</t>
  </si>
  <si>
    <t>3748RY2AT3</t>
  </si>
  <si>
    <t>889775095912</t>
  </si>
  <si>
    <t>American Rag Lace-Bodice Printed Halter Dre Canyon Sun XXS</t>
  </si>
  <si>
    <t>6HW71B</t>
  </si>
  <si>
    <t>822982636721</t>
  </si>
  <si>
    <t>Jessica Simpson Hyne Bell-Sleeve Sweater Black L</t>
  </si>
  <si>
    <t>713701112421</t>
  </si>
  <si>
    <t>Material Girl Juniors 2-Pc. Lace-Trim Slip Zinfandel Combo L</t>
  </si>
  <si>
    <t>887840220221</t>
  </si>
  <si>
    <t>Emerald Sundae Juniors Shine Sweetheart Body Royal Blue L</t>
  </si>
  <si>
    <t>822982634239</t>
  </si>
  <si>
    <t>Jessica Simpson Avenia Cuffed Straight-Leg Pan Navy 30</t>
  </si>
  <si>
    <t>887840202678</t>
  </si>
  <si>
    <t>Emerald Sundae Juniors Contrast Lace Bodycon SilverBlack XXS</t>
  </si>
  <si>
    <t>BVM2752012</t>
  </si>
  <si>
    <t>889775097282</t>
  </si>
  <si>
    <t>American Rag Trendy Plus Size Ripped Denim Crescent 24W</t>
  </si>
  <si>
    <t>889775093673</t>
  </si>
  <si>
    <t>889775095530</t>
  </si>
  <si>
    <t>LS SMIX INHRT FLRL T</t>
  </si>
  <si>
    <t>6HW02B</t>
  </si>
  <si>
    <t>889631053568</t>
  </si>
  <si>
    <t>Crystal Doll Juniors Illusion V-Neck Bodyc Black 9</t>
  </si>
  <si>
    <t>MKU8269I</t>
  </si>
  <si>
    <t>822982620942</t>
  </si>
  <si>
    <t>Jessica Simpson Ciro Pointelle-Knit Cold-Shoul Black S</t>
  </si>
  <si>
    <t>886998513254</t>
  </si>
  <si>
    <t>American Rag Trendy Plus Size Off-The-Shoul Deep Teal 3X</t>
  </si>
  <si>
    <t>652874831145</t>
  </si>
  <si>
    <t>Speechless Juniors Ruffled Fit Flare D Royal Blue XS</t>
  </si>
  <si>
    <t>888825951383</t>
  </si>
  <si>
    <t>Material Girl Juniors Side-Slit Turtleneck Grey S</t>
  </si>
  <si>
    <t>80036MG</t>
  </si>
  <si>
    <t>826410535327</t>
  </si>
  <si>
    <t>BCX Juniors Off-The-Shoulder Fit Medium Blue XL</t>
  </si>
  <si>
    <t>847250080051</t>
  </si>
  <si>
    <t>Material Girl Juniors Striped One-Shoulder Black Combo XXS</t>
  </si>
  <si>
    <t>20218MG</t>
  </si>
  <si>
    <t>713701116634</t>
  </si>
  <si>
    <t>791093382318</t>
  </si>
  <si>
    <t>SHIFT Juniors Crushed Velvet Slip D Silver L</t>
  </si>
  <si>
    <t>791093382714</t>
  </si>
  <si>
    <t>SHIFT Juniors Sheer Metallic Pencil BlackSilver L</t>
  </si>
  <si>
    <t>887043734433</t>
  </si>
  <si>
    <t>WINT SKINNY BOYFRIEND 29"</t>
  </si>
  <si>
    <t>CX21342A93</t>
  </si>
  <si>
    <t>784645265337</t>
  </si>
  <si>
    <t>Sequin Hearts Juniors Printed Off-The-Shoul Peach L</t>
  </si>
  <si>
    <t>4197LD1D</t>
  </si>
  <si>
    <t>888825957170</t>
  </si>
  <si>
    <t>Material Girl Juniors Wrap-Front Rib-Knit S Charcoal L</t>
  </si>
  <si>
    <t>80035MG</t>
  </si>
  <si>
    <t>889775091037</t>
  </si>
  <si>
    <t>796396299257</t>
  </si>
  <si>
    <t>Jump Juniors Cold-Shoulder Party D Black XL</t>
  </si>
  <si>
    <t>884630083745</t>
  </si>
  <si>
    <t>Monteau Trendy Plus Size Scalloped Fit Black 1X</t>
  </si>
  <si>
    <t>889775065106</t>
  </si>
  <si>
    <t>DARK TWL HIRSE ROLL SHORT</t>
  </si>
  <si>
    <t>6BN92</t>
  </si>
  <si>
    <t>708008372111</t>
  </si>
  <si>
    <t>City Studios Juniors Printed Mock-Neck Shi Black M</t>
  </si>
  <si>
    <t>KME7305BD2</t>
  </si>
  <si>
    <t>829092300863</t>
  </si>
  <si>
    <t>RED RAW EDGE CHIFFON BAC</t>
  </si>
  <si>
    <t>826410387056</t>
  </si>
  <si>
    <t>BCX Juniors Trousers White 3</t>
  </si>
  <si>
    <t>706256918105</t>
  </si>
  <si>
    <t>706256918051</t>
  </si>
  <si>
    <t>SHINE WORKOUT JACKET</t>
  </si>
  <si>
    <t>M61151</t>
  </si>
  <si>
    <t>706256918044</t>
  </si>
  <si>
    <t>889775093376</t>
  </si>
  <si>
    <t>889775092997</t>
  </si>
  <si>
    <t>American Rag Lace-Inset High-Low Peasant To Classic Black XS</t>
  </si>
  <si>
    <t>889775094403</t>
  </si>
  <si>
    <t>CRCL CRH SLV SWT TNK</t>
  </si>
  <si>
    <t>6HT09</t>
  </si>
  <si>
    <t>768594176562</t>
  </si>
  <si>
    <t>STR KNT OF SHLDR DRS</t>
  </si>
  <si>
    <t>2583AR</t>
  </si>
  <si>
    <t>674153686369</t>
  </si>
  <si>
    <t>Say What Sleeveless Sweater Dress SilverBlack XS</t>
  </si>
  <si>
    <t>841413126372</t>
  </si>
  <si>
    <t>OhMG Juniors Yaasss Sequin Pullove BlackRed XL</t>
  </si>
  <si>
    <t>889631050260</t>
  </si>
  <si>
    <t>BERR OFF THE SHOULDER POP</t>
  </si>
  <si>
    <t>MAS11875I</t>
  </si>
  <si>
    <t>887043728807</t>
  </si>
  <si>
    <t>Celebrity Pink Juniors Skinny Ankle Jeans Optic White 11</t>
  </si>
  <si>
    <t>CJ22005H50</t>
  </si>
  <si>
    <t>826409526855</t>
  </si>
  <si>
    <t>WHT ZIP RLL SLV</t>
  </si>
  <si>
    <t>1027V0C</t>
  </si>
  <si>
    <t>826410928198</t>
  </si>
  <si>
    <t>BCX Juniors Tie-Front Blouse White S</t>
  </si>
  <si>
    <t>106949G</t>
  </si>
  <si>
    <t>887400720178</t>
  </si>
  <si>
    <t>Eyeshadow Trendy Plus Size Sheer Cold-Sh Victorian Grey 1X</t>
  </si>
  <si>
    <t>887400720147</t>
  </si>
  <si>
    <t>Eyeshadow Trendy Plus Size Sheer Cold-Sh Black 1X</t>
  </si>
  <si>
    <t>889901163713</t>
  </si>
  <si>
    <t>Hooked Up by IOT Juniors Sequin Owl Pullover S Oatmeal Heather L</t>
  </si>
  <si>
    <t>J63871M</t>
  </si>
  <si>
    <t>889901163683</t>
  </si>
  <si>
    <t>Hooked Up by IOT Juniors Sequin Owl Pullover S Oatmeal Heather XS</t>
  </si>
  <si>
    <t>190040312284</t>
  </si>
  <si>
    <t>Almost Famous Juniors Striped Fringe Waterf GreyBlack L</t>
  </si>
  <si>
    <t>190040312277</t>
  </si>
  <si>
    <t>Almost Famous Juniors Striped Fringe Waterf GreyBlack M</t>
  </si>
  <si>
    <t>190040312420</t>
  </si>
  <si>
    <t>Almost Famous Juniors Striped Fringe Waterf SagePink XL</t>
  </si>
  <si>
    <t>190040312406</t>
  </si>
  <si>
    <t>Almost Famous Juniors Striped Fringe Waterf SagePink M</t>
  </si>
  <si>
    <t>190040312239</t>
  </si>
  <si>
    <t>Almost Famous Juniors Striped Fringe Waterf BlackRed L</t>
  </si>
  <si>
    <t>768594155222</t>
  </si>
  <si>
    <t>RBD BTN FRNT LY TEE</t>
  </si>
  <si>
    <t>78310AR</t>
  </si>
  <si>
    <t>889775110233</t>
  </si>
  <si>
    <t>768594155253</t>
  </si>
  <si>
    <t>645545917309</t>
  </si>
  <si>
    <t>Material Girl Juniors Graphic Pullover Hood Heather Charcoal L</t>
  </si>
  <si>
    <t>841060126091</t>
  </si>
  <si>
    <t>Hippie Rose Juniors Lace-Trim Asymmetrica Western Sage L</t>
  </si>
  <si>
    <t>889901060227</t>
  </si>
  <si>
    <t>Hooked Up by IOT Juniors Colorblock Zip-Pocket BlackWhite Colorblock L</t>
  </si>
  <si>
    <t>637677233426</t>
  </si>
  <si>
    <t>Belle Du Jour Juniors Cardigan, T-Shirt and Deep Merlot L</t>
  </si>
  <si>
    <t>637677237127</t>
  </si>
  <si>
    <t>Belle Du Jour Juniors Cardigan, T-Shirt and Heather Oatmeal L</t>
  </si>
  <si>
    <t>637677242947</t>
  </si>
  <si>
    <t>Belle Du Jour Juniors Cardigan, T-Shirt and Everglade L</t>
  </si>
  <si>
    <t>1DFJELUJ</t>
  </si>
  <si>
    <t>637677233365</t>
  </si>
  <si>
    <t>Belle Du Jour Juniors Cardigan, T-Shirt and Patriot Blue M</t>
  </si>
  <si>
    <t>637677237134</t>
  </si>
  <si>
    <t>Belle Du Jour Juniors Cardigan, T-Shirt and Heather Oatmeal XL</t>
  </si>
  <si>
    <t>695532510563</t>
  </si>
  <si>
    <t>Ultra Flirt Juniors Twist Cold-Shoulder B Red M</t>
  </si>
  <si>
    <t>695532510419</t>
  </si>
  <si>
    <t>Ultra Flirt Juniors Twist Cold-Shoulder B Black S</t>
  </si>
  <si>
    <t>695532510396</t>
  </si>
  <si>
    <t>Ultra Flirt Juniors Twist Cold-Shoulder B Black XXS</t>
  </si>
  <si>
    <t>706256576428</t>
  </si>
  <si>
    <t>LOVE ELASTC CROP LEG</t>
  </si>
  <si>
    <t>M6O38NR212</t>
  </si>
  <si>
    <t>706256570914</t>
  </si>
  <si>
    <t>Material Girl Juniors Colorblock Yoga Leggi Classic Black S</t>
  </si>
  <si>
    <t>M6O47BK212</t>
  </si>
  <si>
    <t>706256895154</t>
  </si>
  <si>
    <t>706257141144</t>
  </si>
  <si>
    <t>706257020197</t>
  </si>
  <si>
    <t>889775093567</t>
  </si>
  <si>
    <t>190344450620</t>
  </si>
  <si>
    <t>Hybrid Juniors Despicable Me Bello G Pearl L</t>
  </si>
  <si>
    <t>JL3197JDME1954</t>
  </si>
  <si>
    <t>190344450613</t>
  </si>
  <si>
    <t>Hybrid Juniors Despicable Me Bello G Pearl M</t>
  </si>
  <si>
    <t>887409060701</t>
  </si>
  <si>
    <t>Polly Esther Juniors Plaid Button-Front Sh RedBlack S</t>
  </si>
  <si>
    <t>887409060404</t>
  </si>
  <si>
    <t>Polly Esther Juniors Plaid Button-Front Sh BlackBurgundy S</t>
  </si>
  <si>
    <t>889775092881</t>
  </si>
  <si>
    <t>889602143809</t>
  </si>
  <si>
    <t>Freshman Juniors Cloud Chaser Rib-Knit White Chocolate L</t>
  </si>
  <si>
    <t>889602143533</t>
  </si>
  <si>
    <t>Freshman Juniors Cloud Chaser Rib-Knit Crisp Merlot S</t>
  </si>
  <si>
    <t>889602143793</t>
  </si>
  <si>
    <t>Freshman Juniors Cloud Chaser Rib-Knit White Chocolate M</t>
  </si>
  <si>
    <t>889602143557</t>
  </si>
  <si>
    <t>Freshman Juniors Cloud Chaser Rib-Knit Crisp Merlot L</t>
  </si>
  <si>
    <t>889602143540</t>
  </si>
  <si>
    <t>Freshman Juniors Cloud Chaser Rib-Knit Crisp Merlot M</t>
  </si>
  <si>
    <t>889602143663</t>
  </si>
  <si>
    <t>Freshman Juniors Cloud Chaser Rib-Knit Light Heather Grey XL</t>
  </si>
  <si>
    <t>889602143656</t>
  </si>
  <si>
    <t>Freshman Juniors Cloud Chaser Rib-Knit Light Heather Grey L</t>
  </si>
  <si>
    <t>637677212407</t>
  </si>
  <si>
    <t>Belle Du Jour Juniors Celestial Metallic Gr Black L</t>
  </si>
  <si>
    <t>1BCVNSTK</t>
  </si>
  <si>
    <t>645545916715</t>
  </si>
  <si>
    <t>190371327438</t>
  </si>
  <si>
    <t>Bioworld Juniors Batman Graphic Baseba White L</t>
  </si>
  <si>
    <t>645545959934</t>
  </si>
  <si>
    <t>717960517065</t>
  </si>
  <si>
    <t>Extra Touch Trendy Plus Size Strappy-Back Blue Shadow 3X</t>
  </si>
  <si>
    <t>889387845165</t>
  </si>
  <si>
    <t>Trixxi Plus Size Sequin High-Low Maxi Blush 24W</t>
  </si>
  <si>
    <t>590726Y3KI</t>
  </si>
  <si>
    <t>796396923572</t>
  </si>
  <si>
    <t>Jump Juniors Illusion-Lace Halter Black 56</t>
  </si>
  <si>
    <t>796396923565</t>
  </si>
  <si>
    <t>Jump Juniors Illusion-Lace Halter Black 34</t>
  </si>
  <si>
    <t>889351709066</t>
  </si>
  <si>
    <t>Roxy Juniors Take Stock Lightweigh Blue XS</t>
  </si>
  <si>
    <t>889351709110</t>
  </si>
  <si>
    <t>Roxy Juniors Take Stock Lightweigh Dark Purple XS</t>
  </si>
  <si>
    <t>652874842066</t>
  </si>
  <si>
    <t>Speechless Juniors 2-Pc. Scalloped Scuba Royal Blue 7</t>
  </si>
  <si>
    <t>M94341DNE</t>
  </si>
  <si>
    <t>888825533381</t>
  </si>
  <si>
    <t>Material Girl Juniors Strapless Skinny-Leg Lipstick Red M</t>
  </si>
  <si>
    <t>GRA005SLR</t>
  </si>
  <si>
    <t>829092267302</t>
  </si>
  <si>
    <t>XOXO Juniors Studded Asymmetrical- Black XS</t>
  </si>
  <si>
    <t>9683HCK5</t>
  </si>
  <si>
    <t>708008366882</t>
  </si>
  <si>
    <t>City Studios Juniors Sequined Halter Bodyc GoldPeach 15</t>
  </si>
  <si>
    <t>829092291208</t>
  </si>
  <si>
    <t>XOXO Juniors Embellished Lace Shif Black S</t>
  </si>
  <si>
    <t>9715RL5</t>
  </si>
  <si>
    <t>708008366684</t>
  </si>
  <si>
    <t>City Studios Juniors Sequined Halter Bodyc GoldPeach 13</t>
  </si>
  <si>
    <t>829092278889</t>
  </si>
  <si>
    <t>XOXO Juniors Ombre Sequined Tunic Burgundy XL</t>
  </si>
  <si>
    <t>4296XFW</t>
  </si>
  <si>
    <t>889775069012</t>
  </si>
  <si>
    <t>American Rag Slim-Fit Ishana Wash Bootcut J Ishana Wash 9</t>
  </si>
  <si>
    <t>889775069104</t>
  </si>
  <si>
    <t>American Rag Slim-Fit Ishana Wash Bootcut J Ishana Wash 9S</t>
  </si>
  <si>
    <t>9 S</t>
  </si>
  <si>
    <t>889667350785</t>
  </si>
  <si>
    <t>ONeill Dominca Cold-Shoulder Shift Dr Nolita Wash M</t>
  </si>
  <si>
    <t>FA6416017</t>
  </si>
  <si>
    <t>829092280882</t>
  </si>
  <si>
    <t>XOXO Juniors Chiffon-Back Striped IvoryBlack L</t>
  </si>
  <si>
    <t>829092280912</t>
  </si>
  <si>
    <t>XOXO Juniors Chiffon-Back Striped IvoryBlack XL</t>
  </si>
  <si>
    <t>889775078694</t>
  </si>
  <si>
    <t>American Rag Colored Wash Super-Skinny Jean Zinfandel 0</t>
  </si>
  <si>
    <t>889775067513</t>
  </si>
  <si>
    <t>American Rag Colored Wash Super-Skinny Jean Woodrose 0</t>
  </si>
  <si>
    <t>829092299310</t>
  </si>
  <si>
    <t>XOXO Juniors Wide-Leg Trousers White 1314</t>
  </si>
  <si>
    <t>829092153452</t>
  </si>
  <si>
    <t>XOXO Juniors Printed Ankle-Length Cobalt 78</t>
  </si>
  <si>
    <t>829092153384</t>
  </si>
  <si>
    <t>XOXO Juniors Printed Ankle-Length Cobalt 1314</t>
  </si>
  <si>
    <t>713701110014</t>
  </si>
  <si>
    <t>American Rag Printed Cold-Shoulder Dress Blueprint M</t>
  </si>
  <si>
    <t>822982608087</t>
  </si>
  <si>
    <t>Jessica Simpson Adora Crocheted-Trim Top Medium Pink L</t>
  </si>
  <si>
    <t>889775067070</t>
  </si>
  <si>
    <t>American Rag Lace Handkerchief-Hem Peasant White XS</t>
  </si>
  <si>
    <t>6BK29EG</t>
  </si>
  <si>
    <t>829092200002</t>
  </si>
  <si>
    <t>XOXO Juniors Embellished V-Back To Cobalt XS</t>
  </si>
  <si>
    <t>52175941459</t>
  </si>
  <si>
    <t>Levis Lace-Trim T-Shirt White L</t>
  </si>
  <si>
    <t>887043604286</t>
  </si>
  <si>
    <t>Celebrity Pink Plus Size Burnt Red Wash Skinn Burnt Red 20W</t>
  </si>
  <si>
    <t>889901116733</t>
  </si>
  <si>
    <t>Its Our Time Trendy Plus Size Snowman Holid Blue Palace 3X</t>
  </si>
  <si>
    <t>J62538W</t>
  </si>
  <si>
    <t>713701106758</t>
  </si>
  <si>
    <t>Material Girl Juniors Lace Asymmetrical-Hem Black XXS</t>
  </si>
  <si>
    <t>20187MG</t>
  </si>
  <si>
    <t>713701095700</t>
  </si>
  <si>
    <t>American Rag Printed Waffle-Knit Lace-Trim Floral Print XXL</t>
  </si>
  <si>
    <t>884630082663</t>
  </si>
  <si>
    <t>Monteau Trendy Plus Size Lace Shift Dr Black 3X</t>
  </si>
  <si>
    <t>PL57619-A</t>
  </si>
  <si>
    <t>889351725059</t>
  </si>
  <si>
    <t>Roxy Juniors Weekend Escape Pullov Blue XS</t>
  </si>
  <si>
    <t>829092234991</t>
  </si>
  <si>
    <t>XOXO Juniors Button-Front Mini A-L Gold L</t>
  </si>
  <si>
    <t>826409524721</t>
  </si>
  <si>
    <t>BCX Juniors Lace-Up Cowl-Neck Swe White XL</t>
  </si>
  <si>
    <t>889775090764</t>
  </si>
  <si>
    <t>American Rag Ponte Zipper Leggings Charcoal M</t>
  </si>
  <si>
    <t>6FN37BCH</t>
  </si>
  <si>
    <t>887043645319</t>
  </si>
  <si>
    <t>Celebrity Pink Trendy Plus Size Colored Wash Potent Purple 18W</t>
  </si>
  <si>
    <t>826409643620</t>
  </si>
  <si>
    <t>BCX Juniors Crocheted Fringe-Trim White XXS</t>
  </si>
  <si>
    <t>826409694998</t>
  </si>
  <si>
    <t>BCX Juniors Lace-Sleeve Colorbloc Blush XS</t>
  </si>
  <si>
    <t>1090V8T</t>
  </si>
  <si>
    <t>746194692910</t>
  </si>
  <si>
    <t>Material Girl Juniors Off-The-Shoulder Body Black XS</t>
  </si>
  <si>
    <t>746194692859</t>
  </si>
  <si>
    <t>Material Girl Juniors Flocked Bodysuit Black XS</t>
  </si>
  <si>
    <t>746194692989</t>
  </si>
  <si>
    <t>Material Girl Juniors Off-The-Shoulder Body Black XXS</t>
  </si>
  <si>
    <t>884630070028</t>
  </si>
  <si>
    <t>Monteau Plus Size Sleeveless Striped F BlackOff White 2X</t>
  </si>
  <si>
    <t>PL57446</t>
  </si>
  <si>
    <t>632421485441</t>
  </si>
  <si>
    <t>Love Squared Plus Size Halter Cutout A-Line Black 1X</t>
  </si>
  <si>
    <t>INK239H3345</t>
  </si>
  <si>
    <t>887043679963</t>
  </si>
  <si>
    <t>Celebrity Pink Juniors Slimming Technology C Burnt Red 9</t>
  </si>
  <si>
    <t>617171306536</t>
  </si>
  <si>
    <t>ING Plus Size High-Low Top White 2X</t>
  </si>
  <si>
    <t>NTC193X-HDB</t>
  </si>
  <si>
    <t>746194687459</t>
  </si>
  <si>
    <t>Material Girl Juniors Flocked Mesh Bodysuit Black XS</t>
  </si>
  <si>
    <t>746194692071</t>
  </si>
  <si>
    <t>Material Girl Juniors Flocked Mesh Bodysuit Zinfandel L</t>
  </si>
  <si>
    <t>887043693952</t>
  </si>
  <si>
    <t>Celebrity Pink Juniors Paisley Metallic-Prin BlackPaisley Metallic Print 3</t>
  </si>
  <si>
    <t>632421333209</t>
  </si>
  <si>
    <t>Love Squared Plus Size Sleeveless Knotted M Berry 2X</t>
  </si>
  <si>
    <t>617171808870</t>
  </si>
  <si>
    <t>ING Plus Size Floral-Print Lace-He Navy Multi 1X</t>
  </si>
  <si>
    <t>826409830976</t>
  </si>
  <si>
    <t>BCX Juniors Lace-Back Zip-Front P White M</t>
  </si>
  <si>
    <t>1045T20</t>
  </si>
  <si>
    <t>791093319222</t>
  </si>
  <si>
    <t>In Awe of You by AwesomenessTV Juniors Sleeveless Lace-Yoke Black M</t>
  </si>
  <si>
    <t>SPJ349T1DMQM</t>
  </si>
  <si>
    <t>826409936036</t>
  </si>
  <si>
    <t>BCX Juniors Striped Mock-Neck Tun Black L</t>
  </si>
  <si>
    <t>1011T43</t>
  </si>
  <si>
    <t>826410123845</t>
  </si>
  <si>
    <t>BCX Juniors Lace-Trim Tie-Front B White S</t>
  </si>
  <si>
    <t>826409243776</t>
  </si>
  <si>
    <t>BCX Juniors Sleeveless Embellishe White XS</t>
  </si>
  <si>
    <t>1023N61</t>
  </si>
  <si>
    <t>841413126587</t>
  </si>
  <si>
    <t>OhMG Juniors Southwest Asymmetrica NavySlate XS</t>
  </si>
  <si>
    <t>887043601179</t>
  </si>
  <si>
    <t>Celebrity Pink Juniors Skinny Jeans Eiffel Tower 3</t>
  </si>
  <si>
    <t>888825992003</t>
  </si>
  <si>
    <t>Tinseltown Juniors Moto Burgundy Wash Sk RedBlack 9</t>
  </si>
  <si>
    <t>614015986152</t>
  </si>
  <si>
    <t>Rewash Juniors Printed Smocked-Waist Natrual Print XS</t>
  </si>
  <si>
    <t>J6465ACR721</t>
  </si>
  <si>
    <t>840523199160</t>
  </si>
  <si>
    <t>Indigo Rein Juniors Light Blue Wash Cropp Light Blue 13</t>
  </si>
  <si>
    <t>AN2206C1MZ</t>
  </si>
  <si>
    <t>888825870523</t>
  </si>
  <si>
    <t>Tinseltown Juniors High-Waist Skinny Jea Moss Camo Printed 0</t>
  </si>
  <si>
    <t>841060123243</t>
  </si>
  <si>
    <t>Hippie Rose Juniors Crisscross-Back High- Retro Marooon L</t>
  </si>
  <si>
    <t>841060123281</t>
  </si>
  <si>
    <t>Hippie Rose Juniors Striped Crisscross-Ba Wicked Combo M</t>
  </si>
  <si>
    <t>887043628435</t>
  </si>
  <si>
    <t>Celebrity Pink Juniors Skinny Ponte Pants Olive Night 5</t>
  </si>
  <si>
    <t>887043628411</t>
  </si>
  <si>
    <t>Celebrity Pink Juniors Skinny Ponte Pants Olive Night 1</t>
  </si>
  <si>
    <t>841060123267</t>
  </si>
  <si>
    <t>Hippie Rose Juniors Striped Crisscross-Ba Wicked Combo XS</t>
  </si>
  <si>
    <t>841060123014</t>
  </si>
  <si>
    <t>Hippie Rose Juniors Striped Crisscross-Ba Black Combo XS</t>
  </si>
  <si>
    <t>841060123045</t>
  </si>
  <si>
    <t>Hippie Rose Juniors Striped Crisscross-Ba Black Combo L</t>
  </si>
  <si>
    <t>841060123021</t>
  </si>
  <si>
    <t>Hippie Rose Juniors Striped Crisscross-Ba Black Combo S</t>
  </si>
  <si>
    <t>841060123236</t>
  </si>
  <si>
    <t>Hippie Rose Juniors Crisscross-Back High- Retro Marooon M</t>
  </si>
  <si>
    <t>695532480897</t>
  </si>
  <si>
    <t>Ultra Flirt Juniors Sleeveless Mock-Neck Wine Tasting L</t>
  </si>
  <si>
    <t>889901060111</t>
  </si>
  <si>
    <t>Hooked Up by IOT Juniors Zipper-Trim Pullover Fall KaleBlack Marl Combo M</t>
  </si>
  <si>
    <t>706256235370</t>
  </si>
  <si>
    <t>Material Girl Foil-Printed Fearless Yoga Leg Black M</t>
  </si>
  <si>
    <t>887648661349</t>
  </si>
  <si>
    <t>Freeze 24-7 Juniors Disney Minnie Mouse S Red XS</t>
  </si>
  <si>
    <t>IESJQ23-8J74</t>
  </si>
  <si>
    <t>887648645288</t>
  </si>
  <si>
    <t>Disney Juniors Lilo Stitch Patch G Navy S</t>
  </si>
  <si>
    <t>706256575964</t>
  </si>
  <si>
    <t>Material Girl Love Contrast Yoga Leggings BlackLeopard XS</t>
  </si>
  <si>
    <t>645545932166</t>
  </si>
  <si>
    <t>Material Girl Active Juniors Metallic Hoodi Heather Charcoal XL</t>
  </si>
  <si>
    <t>841060124318</t>
  </si>
  <si>
    <t>Hippie Rose Juniors Long-Sleeve Coccoon C Mountain Blue XS</t>
  </si>
  <si>
    <t>705143698878</t>
  </si>
  <si>
    <t>Energie Juniors Molly V-Neck Textured Boysenberry S</t>
  </si>
  <si>
    <t>705143712635</t>
  </si>
  <si>
    <t>Energie Juniors Lulu Layered-Look Las BlackPrinted XL</t>
  </si>
  <si>
    <t>889901063389</t>
  </si>
  <si>
    <t>Hooked Up by IOT Juniors Cowl-Neck Pullover Sw Faded Indigo L</t>
  </si>
  <si>
    <t>889901063761</t>
  </si>
  <si>
    <t>Hooked Up by IOT Juniors V-Neck Lace-Up Fine-G Black XXS</t>
  </si>
  <si>
    <t>841060125025</t>
  </si>
  <si>
    <t>Hippie Rose Juniors Dolman-Sleeve Graphic Olive Branch S</t>
  </si>
  <si>
    <t>887409049225</t>
  </si>
  <si>
    <t>Polly Esther Juniors Buffalo-Plaid Roll-Sl BlueBlack S</t>
  </si>
  <si>
    <t>PW12635MC</t>
  </si>
  <si>
    <t>705143698618</t>
  </si>
  <si>
    <t>Energie Juniors Willow Textured-Strip Dark Heather L</t>
  </si>
  <si>
    <t>887854013024</t>
  </si>
  <si>
    <t>Miss Chievous Juniors Embellished Pleated C Black XS</t>
  </si>
  <si>
    <t>843561080124</t>
  </si>
  <si>
    <t>Miss Chievous Juniors Crochet-Trim Tie-Fron Marshmallow S</t>
  </si>
  <si>
    <t>JF5686W362</t>
  </si>
  <si>
    <t>887409049676</t>
  </si>
  <si>
    <t>Polly Esther Juniors Plaid Roll-Sleeve Shi GreenOlive S</t>
  </si>
  <si>
    <t>PW14034MC</t>
  </si>
  <si>
    <t>637677212643</t>
  </si>
  <si>
    <t>Belle Du Jour Juniors Lace-Trim Hoodie Tuni Red Plum L</t>
  </si>
  <si>
    <t>889901106208</t>
  </si>
  <si>
    <t>Hooked Up by IOT Juniors Santa Claus Hat Sca Santa Midnight ONE SIZE</t>
  </si>
  <si>
    <t>J62407</t>
  </si>
  <si>
    <t>889901106154</t>
  </si>
  <si>
    <t>Hooked Up by IOT Juniors Elf Hat Scarf Set Candy Cane ONE SIZE</t>
  </si>
  <si>
    <t>J62410</t>
  </si>
  <si>
    <t>705143714028</t>
  </si>
  <si>
    <t>Energie Active Juniors Fleece Vest an Wine Spacedye XS</t>
  </si>
  <si>
    <t>843561096163</t>
  </si>
  <si>
    <t>Miss Chievous Juniors Striped Rib-Knit Kang BlackWhite XL</t>
  </si>
  <si>
    <t>JA9180R40</t>
  </si>
  <si>
    <t>841060121300</t>
  </si>
  <si>
    <t>Hippie Rose Juniors Pullover Hoodie BrandywineIvory XL</t>
  </si>
  <si>
    <t>705143715087</t>
  </si>
  <si>
    <t>Energie Juniors Fiona Tulip-Back Grap Heather Grey M</t>
  </si>
  <si>
    <t>705143667157</t>
  </si>
  <si>
    <t>Energie Juniors Striped Pullover Top Caviar L</t>
  </si>
  <si>
    <t>695532481122</t>
  </si>
  <si>
    <t>Ultra Flirt Juniors Cowl-Neck Waffle-Knit Olive S</t>
  </si>
  <si>
    <t>695532481184</t>
  </si>
  <si>
    <t>Ultra Flirt Juniors Cowl-Neck Waffle-Knit Pale Blue M</t>
  </si>
  <si>
    <t>695532480927</t>
  </si>
  <si>
    <t>Ultra Flirt Juniors Cowl-Neck Waffle-Knit Black S</t>
  </si>
  <si>
    <t>706254751971</t>
  </si>
  <si>
    <t>DRAFT - juniors dump page Black L</t>
  </si>
  <si>
    <t>M6248NR212</t>
  </si>
  <si>
    <t>645545934702</t>
  </si>
  <si>
    <t>Material Girl Juniors Strappy Graphic Tank Heather Charcoal S</t>
  </si>
  <si>
    <t>645545953710</t>
  </si>
  <si>
    <t>Material Girl Juniors Graphic Racerback Tan Bright White XS</t>
  </si>
  <si>
    <t>637677171599</t>
  </si>
  <si>
    <t>Belle Du Jour Juniors V-Neck Necklace T-Shi Patriot Blue M</t>
  </si>
  <si>
    <t>0XJUNSBC</t>
  </si>
  <si>
    <t>705143708898</t>
  </si>
  <si>
    <t>Energie Juniors Likey Cutout Top Dot Floral L</t>
  </si>
  <si>
    <t>695532481924</t>
  </si>
  <si>
    <t>Ultra Flirt Juniors Rugby T-Shirt Dress Olive M</t>
  </si>
  <si>
    <t>645545954120</t>
  </si>
  <si>
    <t>Rebellious One Rebellious One Juniors Patche BlackHeather Grey S</t>
  </si>
  <si>
    <t>A2700JV1211</t>
  </si>
  <si>
    <t>887648661714</t>
  </si>
  <si>
    <t>Disney Juniors Disney Mickey Minni WhiteRed S</t>
  </si>
  <si>
    <t>MYSJU24-8K75</t>
  </si>
  <si>
    <t>887648661707</t>
  </si>
  <si>
    <t>Disney Juniors Disney Mickey Minni WhiteRed XS</t>
  </si>
  <si>
    <t>645545953888</t>
  </si>
  <si>
    <t>Rebellious One Rebellious One Juniors Patche NavyBlush S</t>
  </si>
  <si>
    <t>A2700JV1277</t>
  </si>
  <si>
    <t>190344363258</t>
  </si>
  <si>
    <t>Trolls by DreamWorks Juniors Trolls High-Low Graph White L</t>
  </si>
  <si>
    <t>190344542554</t>
  </si>
  <si>
    <t>Disney Juniors Disney Moana Stars Gr Heather Grey XS</t>
  </si>
  <si>
    <t>JS3646JDY4930</t>
  </si>
  <si>
    <t>190344362985</t>
  </si>
  <si>
    <t>Trolls by DreamWorks Juniors Trolls Graphic Raglan Soft Pink S</t>
  </si>
  <si>
    <t>821942424491</t>
  </si>
  <si>
    <t>Planet Gold Juniors Cold-Shoulder Shift D Black Beauty XS</t>
  </si>
  <si>
    <t>746194690237</t>
  </si>
  <si>
    <t>Rampage Juniors Drop-Shoulder Graphic Charcoal Grey Heather L</t>
  </si>
  <si>
    <t>645545952348</t>
  </si>
  <si>
    <t>Rebellious One Juniors Colorblock Graphic Tu Heather Grey Denim XS</t>
  </si>
  <si>
    <t>746194690091</t>
  </si>
  <si>
    <t>Rampage Juniors Drop-Shoulder Coffee Cloud Dancer M</t>
  </si>
  <si>
    <t>746194690107</t>
  </si>
  <si>
    <t>Rampage Juniors Drop-Shoulder Coffee Cloud Dancer L</t>
  </si>
  <si>
    <t>645545952355</t>
  </si>
  <si>
    <t>Rebellious One Juniors Colorblock Graphic Tu Heather Grey Denim S</t>
  </si>
  <si>
    <t>746194690510</t>
  </si>
  <si>
    <t>Rampage Juniors Drop-Shoulder Metalli Light Heather Grey S</t>
  </si>
  <si>
    <t>645545933002</t>
  </si>
  <si>
    <t>Material Girl Active Juniors Racerback Spor Heather Platinum XXS</t>
  </si>
  <si>
    <t>190371313486</t>
  </si>
  <si>
    <t>Bioworld Fantastic Beasts Juniors Newt White L</t>
  </si>
  <si>
    <t>190371313301</t>
  </si>
  <si>
    <t>Bioworld Juniors Fantastic Beasts MACU Black XS</t>
  </si>
  <si>
    <t>190371313462</t>
  </si>
  <si>
    <t>Bioworld Fantastic Beasts Juniors Newt White S</t>
  </si>
  <si>
    <t>705143603247</t>
  </si>
  <si>
    <t>Energie Juniors Scoop-Neck Top Bright White XS</t>
  </si>
  <si>
    <t>705143709086</t>
  </si>
  <si>
    <t>Energie Juniors Mila Printed V-Neck T Aztec Pop M</t>
  </si>
  <si>
    <t>821942425153</t>
  </si>
  <si>
    <t>Planet Gold Juniors Rib-Knit Cold-Shoulde Egret S</t>
  </si>
  <si>
    <t>705143701530</t>
  </si>
  <si>
    <t>Energie Energie Juniors Mila V-Neck T Boysenberry M</t>
  </si>
  <si>
    <t>705143709024</t>
  </si>
  <si>
    <t>Energie Energie Juniors Mila V-Neck T Inky Blue M</t>
  </si>
  <si>
    <t>821942362298</t>
  </si>
  <si>
    <t>Planet Gold Juniors Spaghetti-Strap Tank Jalapeno Red L</t>
  </si>
  <si>
    <t>821942362236</t>
  </si>
  <si>
    <t>Planet Gold Juniors Spaghetti-Strap Tank Kalamata M</t>
  </si>
  <si>
    <t>821942362328</t>
  </si>
  <si>
    <t>Planet Gold Juniors Spaghetti-Strap Tank Jalapeno Red XL</t>
  </si>
  <si>
    <t>637865189979</t>
  </si>
  <si>
    <t>Calvin Klein Jeans Single-Button Denim Blazer Rinse XL</t>
  </si>
  <si>
    <t>39373788871</t>
  </si>
  <si>
    <t>L/S FRONT CARDIGAN</t>
  </si>
  <si>
    <t>637865184448</t>
  </si>
  <si>
    <t>Calvin Klein Jeans Printed High-Low Shirt Marshmellow XS</t>
  </si>
  <si>
    <t>889775097770</t>
  </si>
  <si>
    <t>American Rag Trendy Plus Size Lace-Sleeve J Chilli Red 0X</t>
  </si>
  <si>
    <t>889775097732</t>
  </si>
  <si>
    <t>American Rag Trendy Plus Size Lace-Sleeve J Classic Black 0X</t>
  </si>
  <si>
    <t>889351477354</t>
  </si>
  <si>
    <t>BENTOTA J WVDR BPZ6</t>
  </si>
  <si>
    <t>ERJWD03099</t>
  </si>
  <si>
    <t>708008367902</t>
  </si>
  <si>
    <t>City Studios Juniors Sequin Lace Party Dre Gold 3</t>
  </si>
  <si>
    <t>889631050635</t>
  </si>
  <si>
    <t>Crystal Doll Juniors 2-Pc. Sequined Bodyco GoldIvory L</t>
  </si>
  <si>
    <t>659337687776</t>
  </si>
  <si>
    <t>Jump Juniors Cap-Sleeve Lace Sheat Raisin 34</t>
  </si>
  <si>
    <t>46534I</t>
  </si>
  <si>
    <t>889667734097</t>
  </si>
  <si>
    <t>ONeill Junie Crochet Peasant Dress Nude M</t>
  </si>
  <si>
    <t>HO6416027M</t>
  </si>
  <si>
    <t>829092255019</t>
  </si>
  <si>
    <t>IVBK 35" COLD SHOULDER CO</t>
  </si>
  <si>
    <t>9697RCC3</t>
  </si>
  <si>
    <t>842127107763</t>
  </si>
  <si>
    <t>American Rag Embroidered Lace Fit Flare D Classic Black XS</t>
  </si>
  <si>
    <t>829092277363</t>
  </si>
  <si>
    <t>886680013673</t>
  </si>
  <si>
    <t>Material Girl Juniors Flocked Bodycon Dress Black M</t>
  </si>
  <si>
    <t>713701112391</t>
  </si>
  <si>
    <t>Material Girl Juniors 2-Pc. Lace-Trim Slip Zinfandel Combo XS</t>
  </si>
  <si>
    <t>889351485557</t>
  </si>
  <si>
    <t>Roxy Juniors Squary Plaid Snap-Fro NavyWhite XS</t>
  </si>
  <si>
    <t>889351485533</t>
  </si>
  <si>
    <t>Roxy Juniors Squary Plaid Snap-Fro NavyWhite S</t>
  </si>
  <si>
    <t>887840220191</t>
  </si>
  <si>
    <t>Emerald Sundae Juniors Shine Sweetheart Body Royal Blue XS</t>
  </si>
  <si>
    <t>829092313795</t>
  </si>
  <si>
    <t>XOXO Juniors Natalie Fit Printed A Multi 78</t>
  </si>
  <si>
    <t>886680025836</t>
  </si>
  <si>
    <t>889775093628</t>
  </si>
  <si>
    <t>889237819513</t>
  </si>
  <si>
    <t>GREY LS COLD SHOULDER DRE</t>
  </si>
  <si>
    <t>I443904A13</t>
  </si>
  <si>
    <t>826410762402</t>
  </si>
  <si>
    <t>BCX Juniors Lace Cold-Shoulder Sh Black XXS</t>
  </si>
  <si>
    <t>822982507601</t>
  </si>
  <si>
    <t>Jessica Simpson Sandra Ponte-Knit Ankle-Zipper Heather Grey XS</t>
  </si>
  <si>
    <t>887863087184</t>
  </si>
  <si>
    <t>RED COLD SHOULDER, LEAST</t>
  </si>
  <si>
    <t>826422004392</t>
  </si>
  <si>
    <t>BCX Juniors Lace Bomber Jacket Off White S</t>
  </si>
  <si>
    <t>847250080099</t>
  </si>
  <si>
    <t>Material Girl Juniors Striped One-Shoulder Black Combo L</t>
  </si>
  <si>
    <t>713701116603</t>
  </si>
  <si>
    <t>713701116696</t>
  </si>
  <si>
    <t>791093382400</t>
  </si>
  <si>
    <t>SHIFT Juniors Plisse Cropped Wide- Black M</t>
  </si>
  <si>
    <t>791093382288</t>
  </si>
  <si>
    <t>SHIFT Juniors Crushed Velvet Slip D Silver XS</t>
  </si>
  <si>
    <t>791093382417</t>
  </si>
  <si>
    <t>SHIFT Juniors Plisse Cropped Wide- Black L</t>
  </si>
  <si>
    <t>784645265344</t>
  </si>
  <si>
    <t>Sequin Hearts Juniors Printed Off-The-Shoul Peach M</t>
  </si>
  <si>
    <t>784645265368</t>
  </si>
  <si>
    <t>Sequin Hearts Juniors Printed Off-The-Shoul Peach S</t>
  </si>
  <si>
    <t>889237846892</t>
  </si>
  <si>
    <t>As U Wish Juniors V-Neck Cold-Shoulder Bright Coral S</t>
  </si>
  <si>
    <t>889775079059</t>
  </si>
  <si>
    <t>CLAS BND OF FLWRS TNC</t>
  </si>
  <si>
    <t>P5HQ01CCKC</t>
  </si>
  <si>
    <t>886680013741</t>
  </si>
  <si>
    <t>Material Girl Juniors Metallic Lace Bodysui Misty Rose Combo M</t>
  </si>
  <si>
    <t>886680006170</t>
  </si>
  <si>
    <t>Material Girl Juniors Striped Velvet Pencil Black Combo XS</t>
  </si>
  <si>
    <t>889775072654</t>
  </si>
  <si>
    <t>ZINF TWL HIRSE ROLL SHORT</t>
  </si>
  <si>
    <t>889351230195</t>
  </si>
  <si>
    <t>829092317564</t>
  </si>
  <si>
    <t>XOXO Juniors Printed Off-the-Shoul Multi XS</t>
  </si>
  <si>
    <t>3554PGS8</t>
  </si>
  <si>
    <t>829092300849</t>
  </si>
  <si>
    <t>829092301129</t>
  </si>
  <si>
    <t>XOXO Juniors Velvet Chiffon-Contra Black L</t>
  </si>
  <si>
    <t>889775044552</t>
  </si>
  <si>
    <t>706256917900</t>
  </si>
  <si>
    <t>HUSTLE JACKET</t>
  </si>
  <si>
    <t>M61148</t>
  </si>
  <si>
    <t>886680007054</t>
  </si>
  <si>
    <t>Material Girl Juniors Rib-Knit Mock-Neck Bo Caviar Black XXS</t>
  </si>
  <si>
    <t>886680006033</t>
  </si>
  <si>
    <t>Material Girl Juniors Metallic Rib-Knit Lat Silver Combo XS</t>
  </si>
  <si>
    <t>768594155734</t>
  </si>
  <si>
    <t>889775093352</t>
  </si>
  <si>
    <t>889775093420</t>
  </si>
  <si>
    <t>889775093307</t>
  </si>
  <si>
    <t>889775090719</t>
  </si>
  <si>
    <t>889775109527</t>
  </si>
  <si>
    <t>American Rag Crocheted Tie-Front Peasant To Canyon Rose L</t>
  </si>
  <si>
    <t>6HK16CYR</t>
  </si>
  <si>
    <t>889775074382</t>
  </si>
  <si>
    <t>826409521225</t>
  </si>
  <si>
    <t>BLSH STRP CRW LCE SLV</t>
  </si>
  <si>
    <t>1095V22</t>
  </si>
  <si>
    <t>826409581625</t>
  </si>
  <si>
    <t>784645325857</t>
  </si>
  <si>
    <t>BK B GUT BUSTER LEGGING</t>
  </si>
  <si>
    <t>R1344VXRW</t>
  </si>
  <si>
    <t>889602138249</t>
  </si>
  <si>
    <t>Jessica Simpson Juniors Tie-Dyed Jogger Pants Jet Black Tie Dye XS</t>
  </si>
  <si>
    <t>826410944655</t>
  </si>
  <si>
    <t>826410944662</t>
  </si>
  <si>
    <t>888056306525</t>
  </si>
  <si>
    <t>Soprano Trendy Plus Size Cold-Shoulder Charcoal 1X</t>
  </si>
  <si>
    <t>XD15579LRA</t>
  </si>
  <si>
    <t>887043733764</t>
  </si>
  <si>
    <t>Celebrity Pink Juniors Skinny Jeans Spectra Yellow 0</t>
  </si>
  <si>
    <t>826410998924</t>
  </si>
  <si>
    <t>BCX Juniors Off-The-Shoulder Cris BlackBluePink XL</t>
  </si>
  <si>
    <t>106341A</t>
  </si>
  <si>
    <t>791093382165</t>
  </si>
  <si>
    <t>SHIFT Juniors Velvet Camisole Muave S</t>
  </si>
  <si>
    <t>791093382189</t>
  </si>
  <si>
    <t>SHIFT Juniors Velvet Camisole Muave L</t>
  </si>
  <si>
    <t>889901163652</t>
  </si>
  <si>
    <t>Hooked Up by IOT Juniors Shine Donuts Pullover Light Grey Heather M</t>
  </si>
  <si>
    <t>826410811155</t>
  </si>
  <si>
    <t>BCX Juniors Smocked Bell-Sleeve T Black S</t>
  </si>
  <si>
    <t>826410387278</t>
  </si>
  <si>
    <t>BCX Juniors Lace Midi Pencil Skir Black XS</t>
  </si>
  <si>
    <t>0044W39</t>
  </si>
  <si>
    <t>614015985452</t>
  </si>
  <si>
    <t>Rewash Juniors Printed Ruched Croppe Natural M</t>
  </si>
  <si>
    <t>J1354A71837</t>
  </si>
  <si>
    <t>889237819025</t>
  </si>
  <si>
    <t>NVY DRESS W/NECKLACE</t>
  </si>
  <si>
    <t>I465401A20</t>
  </si>
  <si>
    <t>190040349716</t>
  </si>
  <si>
    <t>Almost Famous Juniors Patch-Trim Tunic Bomb Black XS</t>
  </si>
  <si>
    <t>889602128721</t>
  </si>
  <si>
    <t>Freshman Juniors Sleeveless Cowl-Neck Honeysuckle Sun S</t>
  </si>
  <si>
    <t>190040349730</t>
  </si>
  <si>
    <t>Almost Famous Juniors Patch-Trim Tunic Bomb Black M</t>
  </si>
  <si>
    <t>190040349808</t>
  </si>
  <si>
    <t>Almost Famous Juniors Patch-Trim Tunic Bomb Light Heather Grey XL</t>
  </si>
  <si>
    <t>190040349778</t>
  </si>
  <si>
    <t>Almost Famous Juniors Patch-Trim Tunic Bomb Light Heather Grey S</t>
  </si>
  <si>
    <t>637677233396</t>
  </si>
  <si>
    <t>Belle Du Jour Juniors Cardigan, T-Shirt and Deep Merlot XS</t>
  </si>
  <si>
    <t>637677242657</t>
  </si>
  <si>
    <t>Belle Du Jour Juniors Cardigan, T-Shirt and Clover S</t>
  </si>
  <si>
    <t>637677233358</t>
  </si>
  <si>
    <t>Belle Du Jour Juniors Cardigan, T-Shirt and Patriot Blue S</t>
  </si>
  <si>
    <t>887863084725</t>
  </si>
  <si>
    <t>BCX Juniors Ruffle-Sleeve Cold-Sh Red S</t>
  </si>
  <si>
    <t>1046C63</t>
  </si>
  <si>
    <t>645545932418</t>
  </si>
  <si>
    <t>706257141168</t>
  </si>
  <si>
    <t>889775093512</t>
  </si>
  <si>
    <t>889775093505</t>
  </si>
  <si>
    <t>645545947238</t>
  </si>
  <si>
    <t>Rebellious One Juniors Sarcasm Coach Graphic Heather GreyNavy M</t>
  </si>
  <si>
    <t>887854091619</t>
  </si>
  <si>
    <t>Miss Chievous Juniors No Way Applique Pullo Wet Asphalt L</t>
  </si>
  <si>
    <t>JA9975F120</t>
  </si>
  <si>
    <t>645545947214</t>
  </si>
  <si>
    <t>Rebellious One Juniors Sarcasm Coach Graphic Heather GreyNavy XS</t>
  </si>
  <si>
    <t>887409061562</t>
  </si>
  <si>
    <t>887409061579</t>
  </si>
  <si>
    <t>887854079051</t>
  </si>
  <si>
    <t>Miss Chievous Juniors Crochet-Trim Cold-Sho Opal Grey S</t>
  </si>
  <si>
    <t>JM7015S317</t>
  </si>
  <si>
    <t>841060127821</t>
  </si>
  <si>
    <t>Hippie Rose Juniors Striped-Sleeve Pullov Grey Combo L</t>
  </si>
  <si>
    <t>H7S0113M</t>
  </si>
  <si>
    <t>887409060718</t>
  </si>
  <si>
    <t>Polly Esther Juniors Plaid Button-Front Sh RedBlack M</t>
  </si>
  <si>
    <t>826410409475</t>
  </si>
  <si>
    <t>889602143632</t>
  </si>
  <si>
    <t>Freshman Juniors Cloud Chaser Rib-Knit Light Heather Grey S</t>
  </si>
  <si>
    <t>637677212322</t>
  </si>
  <si>
    <t>Belle Du Jour Juniors Explore Metallic Grap Heather Grey XS</t>
  </si>
  <si>
    <t>1BCVNSTJ</t>
  </si>
  <si>
    <t>645545917132</t>
  </si>
  <si>
    <t>645545932807</t>
  </si>
  <si>
    <t>Material Girl Juniors Graphic Tank Top Bright White XL</t>
  </si>
  <si>
    <t>M61236</t>
  </si>
  <si>
    <t>695532512369</t>
  </si>
  <si>
    <t>Ultra Flirt Juniors Varsity Top BlackWhite M</t>
  </si>
  <si>
    <t>706256917771</t>
  </si>
  <si>
    <t>887409062095</t>
  </si>
  <si>
    <t>Polly Esther Juniors Plaid Roll-Tab Shirt OliveBlack S</t>
  </si>
  <si>
    <t>887409062118</t>
  </si>
  <si>
    <t>Polly Esther Juniors Plaid Roll-Tab Shirt OliveBlack L</t>
  </si>
  <si>
    <t>716068580803</t>
  </si>
  <si>
    <t>716068580810</t>
  </si>
  <si>
    <t>716068580865</t>
  </si>
  <si>
    <t>887648705463</t>
  </si>
  <si>
    <t>Freeze 24-7 Juniors Graphic T-Shirt True Black S</t>
  </si>
  <si>
    <t>JQSJC90-9K91</t>
  </si>
  <si>
    <t>887648705418</t>
  </si>
  <si>
    <t>Freeze 24-7 Juniors Where Da Wifi At Grap Light Blue M</t>
  </si>
  <si>
    <t>JTSJQ21-9K91</t>
  </si>
  <si>
    <t>645545959828</t>
  </si>
  <si>
    <t>645545959897</t>
  </si>
  <si>
    <t>887648705470</t>
  </si>
  <si>
    <t>Freeze 24-7 Juniors Graphic T-Shirt True Black M</t>
  </si>
  <si>
    <t>889775070216</t>
  </si>
  <si>
    <t>American Rag Charlie Wash Ripped Skinny Jea Charlie Wash 1</t>
  </si>
  <si>
    <t>886680005425</t>
  </si>
  <si>
    <t>Material Girl Juniors Printed Bodycon Dress Black Combo M</t>
  </si>
  <si>
    <t>889775069159</t>
  </si>
  <si>
    <t>American Rag Slim-Fit Ishana Wash Bootcut J Kremi Wash 1</t>
  </si>
  <si>
    <t>889775088433</t>
  </si>
  <si>
    <t>American Rag Slim-Fit Ishana Wash Bootcut J Puma Wash 1</t>
  </si>
  <si>
    <t>829092299266</t>
  </si>
  <si>
    <t>XOXO Juniors Wide-Leg Trousers White 34</t>
  </si>
  <si>
    <t>637348547685</t>
  </si>
  <si>
    <t>BCX Juniors Wide-Leg Pants Gray 3</t>
  </si>
  <si>
    <t>826409495755</t>
  </si>
  <si>
    <t>BCX Juniors High-Low Layered-Look Bordeaux L</t>
  </si>
  <si>
    <t>886680024358</t>
  </si>
  <si>
    <t>American Rag Floral-Print Peasant Top Classic Black XS</t>
  </si>
  <si>
    <t>FTW7252AR</t>
  </si>
  <si>
    <t>708008358528</t>
  </si>
  <si>
    <t>City Studios Juniors Floral-Print Ruffle-S Black XS</t>
  </si>
  <si>
    <t>746194692064</t>
  </si>
  <si>
    <t>Material Girl Juniors Flocked Mesh Bodysuit Zinfandel M</t>
  </si>
  <si>
    <t>841413126600</t>
  </si>
  <si>
    <t>OhMG Juniors Southwest Asymmetrica NavySlate M</t>
  </si>
  <si>
    <t>841413126457</t>
  </si>
  <si>
    <t>OhMG Juniors Southwest Asymmetrica BlackWhite M</t>
  </si>
  <si>
    <t>J6465AVB863</t>
  </si>
  <si>
    <t>6AA84MC</t>
  </si>
  <si>
    <t>887043628404</t>
  </si>
  <si>
    <t>Celebrity Pink Juniors Skinny Ponte Pants Olive Night 0</t>
  </si>
  <si>
    <t>746194687206</t>
  </si>
  <si>
    <t>Material Girl Juniors Cap-Sleeve Bodysuit Black XL</t>
  </si>
  <si>
    <t>695532480873</t>
  </si>
  <si>
    <t>Ultra Flirt Juniors Sleeveless Mock-Neck Wine Tasting S</t>
  </si>
  <si>
    <t>695532480880</t>
  </si>
  <si>
    <t>Ultra Flirt Juniors Sleeveless Mock-Neck Wine Tasting M</t>
  </si>
  <si>
    <t>887069474870</t>
  </si>
  <si>
    <t>Pink Rose Juniors Striped Rib-Knit Fine Bandana BlueBrandy WineMusta M</t>
  </si>
  <si>
    <t>K632H3501M</t>
  </si>
  <si>
    <t>705143717050</t>
  </si>
  <si>
    <t>Energie Juniors Laser-Cut Sporty Tank Black XS</t>
  </si>
  <si>
    <t>887854011136</t>
  </si>
  <si>
    <t>Miss Chievous Juniors Lace-Trim V-Neck Tuni Faded Fatigue L</t>
  </si>
  <si>
    <t>705143713823</t>
  </si>
  <si>
    <t>Energie Active Juniors Fleece Vest an Grey Space DyeCaviar S</t>
  </si>
  <si>
    <t>190040298922</t>
  </si>
  <si>
    <t>Almost Famous Juniors Ribbed-Panel Button-D Navy XL</t>
  </si>
  <si>
    <t>3C197MC</t>
  </si>
  <si>
    <t>190371275784</t>
  </si>
  <si>
    <t>Bioworld Juniors Graphic V-Neck T-Shir Navy S</t>
  </si>
  <si>
    <t>693401667783</t>
  </si>
  <si>
    <t>2-Kuhl Juniors Cuffed Graphic T-Shir White M</t>
  </si>
  <si>
    <t>QE1048YK1758</t>
  </si>
  <si>
    <t>705143603230</t>
  </si>
  <si>
    <t>Energie Juniors Scoop-Neck Top Bright White XL</t>
  </si>
  <si>
    <t>PB2156AR</t>
  </si>
  <si>
    <t>RUBY 3/4 SLV BODY CONFORM</t>
  </si>
  <si>
    <t>MDP12843I</t>
  </si>
  <si>
    <t>SLV HGH NKC STRP SWT</t>
  </si>
  <si>
    <t>7TS41</t>
  </si>
  <si>
    <t>746194693511</t>
  </si>
  <si>
    <t>Material Girl Juniors Illusion Dot Bodysuit Egret L</t>
  </si>
  <si>
    <t>826410998887</t>
  </si>
  <si>
    <t>BCX Juniors Off-The-Shoulder Cris BlackBluePink XS</t>
  </si>
  <si>
    <t>889901163690</t>
  </si>
  <si>
    <t>Hooked Up by IOT Juniors Sequin Owl Pullover S Oatmeal Heather S</t>
  </si>
  <si>
    <t>841060128422</t>
  </si>
  <si>
    <t>Hippie Rose Juniors Open-Front Duster Car Olive L</t>
  </si>
  <si>
    <t>H7S0153</t>
  </si>
  <si>
    <t>768594155321</t>
  </si>
  <si>
    <t>SLD RB TIE FRONT</t>
  </si>
  <si>
    <t>70550AR</t>
  </si>
  <si>
    <t>889602128738</t>
  </si>
  <si>
    <t>Freshman Juniors Sleeveless Cowl-Neck Honeysuckle Sun M</t>
  </si>
  <si>
    <t>841060128187</t>
  </si>
  <si>
    <t>Hippie Rose Juniors Striped Sweater Dry Olive XL</t>
  </si>
  <si>
    <t>H7S0152</t>
  </si>
  <si>
    <t>889602128677</t>
  </si>
  <si>
    <t>Freshman Juniors Sleeveless Cowl-Neck Fleur De Lis S</t>
  </si>
  <si>
    <t>TROLLS PATCHES</t>
  </si>
  <si>
    <t>TJSJ098-8K78</t>
  </si>
  <si>
    <t>841060127197</t>
  </si>
  <si>
    <t>Hippie Rose Juniors Velour Jogger Pants Medium Heather Grey XS</t>
  </si>
  <si>
    <t>887648561045</t>
  </si>
  <si>
    <t>706256576367</t>
  </si>
  <si>
    <t>33R12MC</t>
  </si>
  <si>
    <t>758315038002</t>
  </si>
  <si>
    <t>Freeze 24-7 Juniors Selfie Graphic Sweats Black M</t>
  </si>
  <si>
    <t>JTSJN97-8J74</t>
  </si>
  <si>
    <t>758315038040</t>
  </si>
  <si>
    <t>Freeze 24-7 Juniors Selfie Graphic Sweats Black XL</t>
  </si>
  <si>
    <t>887648678446</t>
  </si>
  <si>
    <t>Freeze 24-7 Juniors Marilyn Monroe Graphi Grey Heather S</t>
  </si>
  <si>
    <t>PESJ713-8J74</t>
  </si>
  <si>
    <t>841060127456</t>
  </si>
  <si>
    <t>Hippie Rose Juniors Striped-Sleeve Top Black Combo S</t>
  </si>
  <si>
    <t>H7S0151</t>
  </si>
  <si>
    <t>645545964624</t>
  </si>
  <si>
    <t>Rebellious One Juniors Nap Team Graphic Hood Navy XL</t>
  </si>
  <si>
    <t>IA4455FX7039</t>
  </si>
  <si>
    <t>841060127524</t>
  </si>
  <si>
    <t>Hippie Rose Juniors Striped-Sleeve Top Ivory Combo L</t>
  </si>
  <si>
    <t>645545964587</t>
  </si>
  <si>
    <t>Rebellious One Juniors Nap Team Graphic Hood Navy XS</t>
  </si>
  <si>
    <t>645545964594</t>
  </si>
  <si>
    <t>Rebellious One Juniors Nap Team Graphic Hood Navy S</t>
  </si>
  <si>
    <t>645545964662</t>
  </si>
  <si>
    <t>Rebellious One Juniors Seriously Cannot Grap Burgundy M</t>
  </si>
  <si>
    <t>IA4455FX6739</t>
  </si>
  <si>
    <t>645545964778</t>
  </si>
  <si>
    <t>Rebellious One Juniors Rainbow Emoji Hoodie Grey S</t>
  </si>
  <si>
    <t>IA4563FV1281</t>
  </si>
  <si>
    <t>645545964600</t>
  </si>
  <si>
    <t>Rebellious One Juniors Nap Team Graphic Hood Navy M</t>
  </si>
  <si>
    <t>841060127609</t>
  </si>
  <si>
    <t>Hippie Rose Juniors Striped-Sleeve Top Santa Fe Red Combo S</t>
  </si>
  <si>
    <t>GJ1282JR</t>
  </si>
  <si>
    <t>NQSJV81-8J74</t>
  </si>
  <si>
    <t>NQSJM75-8J74</t>
  </si>
  <si>
    <t>ZM7008-5484-0023-MC</t>
  </si>
  <si>
    <t>190121212441</t>
  </si>
  <si>
    <t>Mighty Fine Juniors Pokemon Pikachu Grap Black S</t>
  </si>
  <si>
    <t>F2701AWU1-MACY</t>
  </si>
  <si>
    <t>695532512277</t>
  </si>
  <si>
    <t>Ultra Flirt Juniors Cold-Shoulder Top Garnet L</t>
  </si>
  <si>
    <t>3D318MC</t>
  </si>
  <si>
    <t>695532512338</t>
  </si>
  <si>
    <t>Ultra Flirt Juniors Cold-Shoulder Top Olive XL</t>
  </si>
  <si>
    <t>695532512314</t>
  </si>
  <si>
    <t>Ultra Flirt Juniors Cold-Shoulder Top Olive M</t>
  </si>
  <si>
    <t>F2714IFK1-MACY</t>
  </si>
  <si>
    <t>190121216388</t>
  </si>
  <si>
    <t>Mighty Fine Juniors Pokemon Graphic Baseb Heather Grey L</t>
  </si>
  <si>
    <t>F2703ICD1-MACY</t>
  </si>
  <si>
    <t>190121222655</t>
  </si>
  <si>
    <t>Mighty Fine Juniors Graphic T-Shirt Navyoff White S</t>
  </si>
  <si>
    <t>645545917064</t>
  </si>
  <si>
    <t>LOVE SLASH SS SHIRT</t>
  </si>
  <si>
    <t>M6O02FM212</t>
  </si>
  <si>
    <t>F2713ICB1-MACY</t>
  </si>
  <si>
    <t>190121216289</t>
  </si>
  <si>
    <t>Mighty Fine Juniors Graphic T-Shirt Charcoal L</t>
  </si>
  <si>
    <t>F2706ICB1-MACY</t>
  </si>
  <si>
    <t>887648705425</t>
  </si>
  <si>
    <t>Freeze 24-7 Juniors Where Da Wifi At Grap Light Blue L</t>
  </si>
  <si>
    <t>A3JD305</t>
  </si>
  <si>
    <t>F2697ICW1-MACY</t>
  </si>
  <si>
    <t>42YS351</t>
  </si>
  <si>
    <t>4120SX1C</t>
  </si>
  <si>
    <t>822982511622</t>
  </si>
  <si>
    <t>Jessica Simpson Lace-Up Off-The-Shoulder Sweat Biking Red M</t>
  </si>
  <si>
    <t>10336MG</t>
  </si>
  <si>
    <t>889775090382</t>
  </si>
  <si>
    <t>American Rag Embellished Cold-Shoulder Peas Teal XXS</t>
  </si>
  <si>
    <t>713701112537</t>
  </si>
  <si>
    <t>Material Girl Juniors Lace-Detail Pencil Sk Black Combo XS</t>
  </si>
  <si>
    <t>746194687473</t>
  </si>
  <si>
    <t>Material Girl Juniors Flocked Mesh Bodysuit Black M</t>
  </si>
  <si>
    <t>826410017175</t>
  </si>
  <si>
    <t>BCX BCX Juniors Asymmetrical Butt Black 11</t>
  </si>
  <si>
    <t>4058R9C</t>
  </si>
  <si>
    <t>5T52283MC</t>
  </si>
  <si>
    <t>887069551427</t>
  </si>
  <si>
    <t>Material Girl Juniors Pull-On Faux-Leather Caviar Black XL</t>
  </si>
  <si>
    <t>JA9867R30</t>
  </si>
  <si>
    <t>843561096149</t>
  </si>
  <si>
    <t>Miss Chievous Juniors Striped Rib-Knit Kang BlackWhite M</t>
  </si>
  <si>
    <t>190040298892</t>
  </si>
  <si>
    <t>Almost Famous Juniors Ribbed-Panel Button-D Navy S</t>
  </si>
  <si>
    <t>3C762MC</t>
  </si>
  <si>
    <t>190344361926</t>
  </si>
  <si>
    <t>Trolls by DreamWorks Juniors Trolls Heart Graphic Purple S</t>
  </si>
  <si>
    <t>190344361933</t>
  </si>
  <si>
    <t>Trolls by DreamWorks Juniors Trolls Heart Graphic Purple M</t>
  </si>
  <si>
    <t>0XWJNSNU</t>
  </si>
  <si>
    <t>M6913BW212</t>
  </si>
  <si>
    <t>190344362879</t>
  </si>
  <si>
    <t>Trolls by DreamWorks Juniors Trolls Graphic Raglan WhiteMint XS</t>
  </si>
  <si>
    <t>JL2853JTRL0092</t>
  </si>
  <si>
    <t>645545952485</t>
  </si>
  <si>
    <t>Rebellious One Juniors Colorblock Graphic Tu White Dust M</t>
  </si>
  <si>
    <t>645545952492</t>
  </si>
  <si>
    <t>Rebellious One Juniors Colorblock Graphic Tu White Dust L</t>
  </si>
  <si>
    <t>190371313349</t>
  </si>
  <si>
    <t>Bioworld Juniors Fantastic Beasts MACU Black XL</t>
  </si>
  <si>
    <t>821942425139</t>
  </si>
  <si>
    <t>Planet Gold Juniors Rib-Knit Cold-Shoulde Egret L</t>
  </si>
  <si>
    <t>821942425061</t>
  </si>
  <si>
    <t>Planet Gold Juniors Rib-Knit Cold-Shoulde Black XL</t>
  </si>
  <si>
    <t>695532441225</t>
  </si>
  <si>
    <t>Ultra Flirt Juniors Printed Leggings Instanbul Tile M</t>
  </si>
  <si>
    <t>695532441010</t>
  </si>
  <si>
    <t>Ultra Flirt Juniors Printed Leggings Demascus Diamond S</t>
  </si>
  <si>
    <t>D66591DNE</t>
  </si>
  <si>
    <t>6HW84</t>
  </si>
  <si>
    <t>842127107855</t>
  </si>
  <si>
    <t>American Rag Embroidered Lace Fit Flare D Chilli Pepper S</t>
  </si>
  <si>
    <t>886680025799</t>
  </si>
  <si>
    <t>887863087191</t>
  </si>
  <si>
    <t>826422004415</t>
  </si>
  <si>
    <t>BCX Juniors Lace Bomber Jacket Off White L</t>
  </si>
  <si>
    <t>889237815959</t>
  </si>
  <si>
    <t>As U Wish Juniors Bodycon Dress with Ne Black S</t>
  </si>
  <si>
    <t>889775093437</t>
  </si>
  <si>
    <t>889775093284</t>
  </si>
  <si>
    <t>104426J</t>
  </si>
  <si>
    <t>841060128279</t>
  </si>
  <si>
    <t>Hippie Rose Juniors Open-Front Duster Car Black L</t>
  </si>
  <si>
    <t>190040312383</t>
  </si>
  <si>
    <t>Almost Famous Juniors Striped Fringe Waterf SagePink XS</t>
  </si>
  <si>
    <t>637677236977</t>
  </si>
  <si>
    <t>Belle Du Jour Juniors Cardigan, T-Shirt and Heather Oatmeal XS</t>
  </si>
  <si>
    <t>JTSJW34-8J74</t>
  </si>
  <si>
    <t>706256894959</t>
  </si>
  <si>
    <t>INC International Concepts Pique Dress with Bow Ballet Pink 4</t>
  </si>
  <si>
    <t>190344631098</t>
  </si>
  <si>
    <t>Disney Juniors Disney Mickey Mouse G Heather Grey M</t>
  </si>
  <si>
    <t>18000JDY5100</t>
  </si>
  <si>
    <t>SP20084MAC</t>
  </si>
  <si>
    <t>695532488039</t>
  </si>
  <si>
    <t>Ultra Flirt Juniors Cowl-Neck Tunic Top Oatmeal Heather Marl S</t>
  </si>
  <si>
    <t>645545947245</t>
  </si>
  <si>
    <t>Rebellious One Juniors Sarcasm Coach Graphic Heather GreyNavy L</t>
  </si>
  <si>
    <t>887648678477</t>
  </si>
  <si>
    <t>Freeze 24-7 Juniors Marilyn Monroe Graphi Grey Heather XL</t>
  </si>
  <si>
    <t>758315037968</t>
  </si>
  <si>
    <t>Freeze 24-7 Juniors Selfie Graphic Sweats Black S</t>
  </si>
  <si>
    <t>887648678439</t>
  </si>
  <si>
    <t>Freeze 24-7 Juniors Marilyn Monroe Graphi Grey Heather XS</t>
  </si>
  <si>
    <t>841060127777</t>
  </si>
  <si>
    <t>Hippie Rose Juniors Striped-Sleeve Pullov Dixie Combo L</t>
  </si>
  <si>
    <t>IA4563FV1211</t>
  </si>
  <si>
    <t>645545964655</t>
  </si>
  <si>
    <t>Rebellious One Juniors Seriously Cannot Grap Burgundy S</t>
  </si>
  <si>
    <t>190371321849</t>
  </si>
  <si>
    <t>Bioworld Juniors Harry Potter Hogwarts Charcoal Heather M</t>
  </si>
  <si>
    <t>UT8522-Z997</t>
  </si>
  <si>
    <t>695532512260</t>
  </si>
  <si>
    <t>Ultra Flirt Juniors Cold-Shoulder Top Garnet M</t>
  </si>
  <si>
    <t>695532512222</t>
  </si>
  <si>
    <t>Ultra Flirt Juniors Cold-Shoulder Top BlackWhite Stripe L</t>
  </si>
  <si>
    <t>F2717IFL1-MACY</t>
  </si>
  <si>
    <t>190121216258</t>
  </si>
  <si>
    <t>Mighty Fine Juniors Graphic T-Shirt Charcoal XS</t>
  </si>
  <si>
    <t>190121216272</t>
  </si>
  <si>
    <t>Mighty Fine Juniors Graphic T-Shirt Charcoal M</t>
  </si>
  <si>
    <t>M1858/REGENCY BRANDS LLC</t>
  </si>
  <si>
    <t>H373927</t>
  </si>
  <si>
    <t>3186QJ9AT3</t>
  </si>
  <si>
    <t>889775030982</t>
  </si>
  <si>
    <t>American Rag Juniors Hooded Pullover Sweat Biking RedBlue Combo XXS</t>
  </si>
  <si>
    <t>6BD98RSL</t>
  </si>
  <si>
    <t>6BD88ODD</t>
  </si>
  <si>
    <t>829092281070</t>
  </si>
  <si>
    <t>XOXO Juniors Off-The-Shoulder Swea BlackIvory S</t>
  </si>
  <si>
    <t>CX22103SG</t>
  </si>
  <si>
    <t>713701112551</t>
  </si>
  <si>
    <t>Material Girl Juniors Lace-Detail Pencil Sk Black Combo M</t>
  </si>
  <si>
    <t>826409611940</t>
  </si>
  <si>
    <t>BCX Juniors Sheer Belted A-Line D Multi M</t>
  </si>
  <si>
    <t>42WK905</t>
  </si>
  <si>
    <t>826409524714</t>
  </si>
  <si>
    <t>BCX Juniors Lace-Up Cowl-Neck Swe White L</t>
  </si>
  <si>
    <t>637865195451</t>
  </si>
  <si>
    <t>Calvin Klein Jeans Metallic CK-Graphic T-Shirt Bright Blush L</t>
  </si>
  <si>
    <t>888825754700</t>
  </si>
  <si>
    <t>Material Girl Juniors Printed Cutout Peplum Egret Combo XS</t>
  </si>
  <si>
    <t>20162EC204</t>
  </si>
  <si>
    <t>885779665205</t>
  </si>
  <si>
    <t>Vanilla Star Juniors Ripped Light Wash DIY Smith 11</t>
  </si>
  <si>
    <t>JFL1MV64446</t>
  </si>
  <si>
    <t>841413126624</t>
  </si>
  <si>
    <t>OhMG Juniors Southwest Asymmetrica NavySlate XL</t>
  </si>
  <si>
    <t>H6F0127</t>
  </si>
  <si>
    <t>1K11214MC</t>
  </si>
  <si>
    <t>JFSER004304</t>
  </si>
  <si>
    <t>695532440266</t>
  </si>
  <si>
    <t>Ultra Flirt Juniors Striped Mitered-Hem T TawnyBlack S</t>
  </si>
  <si>
    <t>695532440211</t>
  </si>
  <si>
    <t>Ultra Flirt Juniors Striped Mitered-Hem T BlackWhite S</t>
  </si>
  <si>
    <t>695532440365</t>
  </si>
  <si>
    <t>Ultra Flirt Juniors Striped Mitered-Hem T GingerOlive S</t>
  </si>
  <si>
    <t>695532440372</t>
  </si>
  <si>
    <t>Ultra Flirt Juniors Striped Mitered-Hem T GingerOlive M</t>
  </si>
  <si>
    <t>695532440310</t>
  </si>
  <si>
    <t>Ultra Flirt Juniors Striped Mitered-Hem T BurgundyGold S</t>
  </si>
  <si>
    <t>889901118010</t>
  </si>
  <si>
    <t>Hooked Up by IOT Juniors Fringed Mixed-Pattern BlackLight Grey HeatherSpiri S</t>
  </si>
  <si>
    <t>889602111723</t>
  </si>
  <si>
    <t>Jessica Simpson Logo Foil Graphic Jogger Pants Black Combo M</t>
  </si>
  <si>
    <t>SPJ333T1G8CM</t>
  </si>
  <si>
    <t>887648645301</t>
  </si>
  <si>
    <t>Disney Juniors Lilo Stitch Patch G Navy L</t>
  </si>
  <si>
    <t>887069476232</t>
  </si>
  <si>
    <t>Pink Rose Juniors Rib-Knit Mock-Neck Pu Forest Olive L</t>
  </si>
  <si>
    <t>887069475167</t>
  </si>
  <si>
    <t>Pink Rose Juniors Ruched-Side Fine-Gaug Blue Topaz S</t>
  </si>
  <si>
    <t>PINKOVERPL</t>
  </si>
  <si>
    <t>190344429206</t>
  </si>
  <si>
    <t>Hybrid Juniors Fast Food Squad Cropp Pearl S</t>
  </si>
  <si>
    <t>695532437648</t>
  </si>
  <si>
    <t>Ultra Flirt Juniors Marled High-Low Pullo Olive S</t>
  </si>
  <si>
    <t>695532437464</t>
  </si>
  <si>
    <t>Ultra Flirt Juniors Marled High-Low Pullo BlackWhite L</t>
  </si>
  <si>
    <t>695532437693</t>
  </si>
  <si>
    <t>Ultra Flirt Juniors Marled High-Low Pullo Tawny Port S</t>
  </si>
  <si>
    <t>190344362084</t>
  </si>
  <si>
    <t>Trolls by DreamWorks Juniors Trolls Super-Soft Gra White M</t>
  </si>
  <si>
    <t>FEA MERCHANDISE INC</t>
  </si>
  <si>
    <t>695532486974</t>
  </si>
  <si>
    <t>Ultra Flirt Juniors Waffle-Knit Stripe-Sl GardeniaHeather Peacoat M</t>
  </si>
  <si>
    <t>887648613904</t>
  </si>
  <si>
    <t>Freeze 24-7 Juniors High-Low Graphic T-Sh White S</t>
  </si>
  <si>
    <t>JTSJE25-2L89</t>
  </si>
  <si>
    <t>746194690206</t>
  </si>
  <si>
    <t>Rampage Juniors Drop-Shoulder Graphic Charcoal Grey Heather S</t>
  </si>
  <si>
    <t>M6232FM212</t>
  </si>
  <si>
    <t>TJSJ096-3L48</t>
  </si>
  <si>
    <t>637865189955</t>
  </si>
  <si>
    <t>Calvin Klein Jeans Single-Button Denim Blazer Rinse M</t>
  </si>
  <si>
    <t>889775134260</t>
  </si>
  <si>
    <t>American Rag Trendy Plus Size Babydoll Peas Eclipse 3X</t>
  </si>
  <si>
    <t>P7TQ52</t>
  </si>
  <si>
    <t>886680025973</t>
  </si>
  <si>
    <t>Material Girl Juniors Halter Jumpsuit Black XL</t>
  </si>
  <si>
    <t>889775095967</t>
  </si>
  <si>
    <t>American Rag Lace-Bodice Printed Halter Dre Canyon Sun XL</t>
  </si>
  <si>
    <t>829092270364</t>
  </si>
  <si>
    <t>847250080105</t>
  </si>
  <si>
    <t>Material Girl Juniors Striped One-Shoulder Black Combo XL</t>
  </si>
  <si>
    <t>884630083813</t>
  </si>
  <si>
    <t>Monteau Trendy Plus Size Scalloped Fit Red 2X</t>
  </si>
  <si>
    <t>889775090504</t>
  </si>
  <si>
    <t>768594155710</t>
  </si>
  <si>
    <t>614015986572</t>
  </si>
  <si>
    <t>Rewash Juniors Embroidered Colored S Coral 9</t>
  </si>
  <si>
    <t>RP2077Q4QV</t>
  </si>
  <si>
    <t>841907136801</t>
  </si>
  <si>
    <t>Indigo Rein Juniors Ripped Yandle Wash Sk Yandle Wash 9</t>
  </si>
  <si>
    <t>AN5462C1MZ</t>
  </si>
  <si>
    <t>889602138003</t>
  </si>
  <si>
    <t>Jessica Simpson Juniors Tie-Dyed Half-Zip Jac Blue Tie Dye S</t>
  </si>
  <si>
    <t>3K31556MC</t>
  </si>
  <si>
    <t>AS-3235ME</t>
  </si>
  <si>
    <t>826410944631</t>
  </si>
  <si>
    <t>J6465AVB815</t>
  </si>
  <si>
    <t>190040312321</t>
  </si>
  <si>
    <t>Almost Famous Juniors Striped Fringe Waterf NavyRust M</t>
  </si>
  <si>
    <t>841060128040</t>
  </si>
  <si>
    <t>Hippie Rose Juniors Striped Sweater BlackIvory XS</t>
  </si>
  <si>
    <t>841060128057</t>
  </si>
  <si>
    <t>Hippie Rose Juniors Striped Sweater BlackIvory S</t>
  </si>
  <si>
    <t>887648561014</t>
  </si>
  <si>
    <t>841060126817</t>
  </si>
  <si>
    <t>Hippie Rose Juniors Velour Flare-Leg Pant Spicy Sangria M</t>
  </si>
  <si>
    <t>SP1286MAC</t>
  </si>
  <si>
    <t>190344631081</t>
  </si>
  <si>
    <t>Disney Juniors Disney Mickey Mouse G Heather Grey S</t>
  </si>
  <si>
    <t>JM7014S299</t>
  </si>
  <si>
    <t>JA9612B306</t>
  </si>
  <si>
    <t>JL3197JPNT1256</t>
  </si>
  <si>
    <t>645545964617</t>
  </si>
  <si>
    <t>Rebellious One Juniors Nap Team Graphic Hood Navy L</t>
  </si>
  <si>
    <t>645545964648</t>
  </si>
  <si>
    <t>Rebellious One Juniors Seriously Cannot Grap Burgundy XS</t>
  </si>
  <si>
    <t>645545964792</t>
  </si>
  <si>
    <t>Rebellious One Juniors Rainbow Emoji Hoodie Grey L</t>
  </si>
  <si>
    <t>645545964785</t>
  </si>
  <si>
    <t>Rebellious One Juniors Rainbow Emoji Hoodie Grey M</t>
  </si>
  <si>
    <t>841060127753</t>
  </si>
  <si>
    <t>Hippie Rose Juniors Striped-Sleeve Pullov Dixie Combo S</t>
  </si>
  <si>
    <t>843561072358</t>
  </si>
  <si>
    <t>Miss Chievous Juniors Weathered Sweatshirt Dark Cilantro L</t>
  </si>
  <si>
    <t>619720936737</t>
  </si>
  <si>
    <t>Be Bop Juniors Lace-Trim Lattice Top Slate Blue XL</t>
  </si>
  <si>
    <t>758315063363</t>
  </si>
  <si>
    <t>Freeze 24-7 Juniors Graphic T-Shirt Light Grey L</t>
  </si>
  <si>
    <t>190121212267</t>
  </si>
  <si>
    <t>Mighty Fine Juniors Pokemon Pikachu Grap Heather Grey L</t>
  </si>
  <si>
    <t>F2702AWU1-MACY</t>
  </si>
  <si>
    <t>190121212434</t>
  </si>
  <si>
    <t>Mighty Fine Juniors Pokemon Pikachu Grap Black XS</t>
  </si>
  <si>
    <t>F2691AWU1-MACY</t>
  </si>
  <si>
    <t>705143719627</t>
  </si>
  <si>
    <t>Energie Juniors Santi Printed Strappy Legion Blue XS</t>
  </si>
  <si>
    <t>695532512307</t>
  </si>
  <si>
    <t>Ultra Flirt Juniors Cold-Shoulder Top Olive S</t>
  </si>
  <si>
    <t>695532512246</t>
  </si>
  <si>
    <t>Ultra Flirt Juniors Cold-Shoulder Top Garnet XS</t>
  </si>
  <si>
    <t>695532512253</t>
  </si>
  <si>
    <t>Ultra Flirt Juniors Cold-Shoulder Top Garnet S</t>
  </si>
  <si>
    <t>645545973763</t>
  </si>
  <si>
    <t>OLIV I WOKE UP LIKE THISOL</t>
  </si>
  <si>
    <t>IA2756JX4358</t>
  </si>
  <si>
    <t>F2693ICD1A-MACY</t>
  </si>
  <si>
    <t>190121212229</t>
  </si>
  <si>
    <t>Mighty Fine Juniors Peace Graphic Raglan Creamred XL</t>
  </si>
  <si>
    <t>190121216371</t>
  </si>
  <si>
    <t>Mighty Fine Juniors Pokemon Graphic Baseb Heather Grey M</t>
  </si>
  <si>
    <t>190121216364</t>
  </si>
  <si>
    <t>Mighty Fine Juniors Pokemon Graphic Baseb Heather Grey S</t>
  </si>
  <si>
    <t>706256723617</t>
  </si>
  <si>
    <t>DRAFT - juniors dump page Space Dye XXS</t>
  </si>
  <si>
    <t>04FAAJPR</t>
  </si>
  <si>
    <t>637677263584</t>
  </si>
  <si>
    <t>Belle Du Jour Juniors Crisscross V-Neck Hig Beet Red M</t>
  </si>
  <si>
    <t>IA2858J963</t>
  </si>
  <si>
    <t>1DCLNTCE</t>
  </si>
  <si>
    <t>DHSJQ98-8K23</t>
  </si>
  <si>
    <t>791093328040</t>
  </si>
  <si>
    <t>In Awe of You by AwesomenessTV Juniors High-Waisted Flare-Le Black S</t>
  </si>
  <si>
    <t>889775070261</t>
  </si>
  <si>
    <t>American Rag Charlie Wash Ripped Skinny Jea Charlie Wash 11</t>
  </si>
  <si>
    <t>601350864559</t>
  </si>
  <si>
    <t>Speechless Juniors Lace-Bodice Cutout A- Black 9</t>
  </si>
  <si>
    <t>5887S301</t>
  </si>
  <si>
    <t>829092299174</t>
  </si>
  <si>
    <t>XOXO Juniors Wide-Leg Trousers Red 12</t>
  </si>
  <si>
    <t>889775077048</t>
  </si>
  <si>
    <t>American Rag Striped Button-Down Fit Flar Multi Stripe XL</t>
  </si>
  <si>
    <t>713701112087</t>
  </si>
  <si>
    <t>American Rag Emnbroidered Off-the-Shoulder Deep Teal XXS</t>
  </si>
  <si>
    <t>637348547746</t>
  </si>
  <si>
    <t>BCX Juniors Wide-Leg Pants Gray 15</t>
  </si>
  <si>
    <t>77646APMV</t>
  </si>
  <si>
    <t>RJ11255</t>
  </si>
  <si>
    <t>RJ031043</t>
  </si>
  <si>
    <t>887043694089</t>
  </si>
  <si>
    <t>Celebrity Pink Juniors Paisley Metallic-Prin BlackMetallic Print 0</t>
  </si>
  <si>
    <t>887043683656</t>
  </si>
  <si>
    <t>Celebrity Pink Juniors High-Waist Black Wash Black 0</t>
  </si>
  <si>
    <t>MYB018893</t>
  </si>
  <si>
    <t>888825991785</t>
  </si>
  <si>
    <t>Tinseltown Juniors Moto Burgundy Wash Sk Burgundy 1</t>
  </si>
  <si>
    <t>695532475695</t>
  </si>
  <si>
    <t>Ultra Flirt Juniors Extra Fries Fine-Gaug Black S</t>
  </si>
  <si>
    <t>889387970515</t>
  </si>
  <si>
    <t>Trixxi Juniors Striped Mock-Neck Shi CharcoalIvory S</t>
  </si>
  <si>
    <t>25M118BZ6I</t>
  </si>
  <si>
    <t>791093319642</t>
  </si>
  <si>
    <t>In Awe of You by AwesomenessTV Juniors Pinstriped Strapless Multi XS</t>
  </si>
  <si>
    <t>SPJ275T1W1ZM</t>
  </si>
  <si>
    <t>791093319666</t>
  </si>
  <si>
    <t>In Awe of You by AwesomenessTV Juniors Pinstriped Strapless Multi M</t>
  </si>
  <si>
    <t>695532460172</t>
  </si>
  <si>
    <t>Ultra Flirt Juniors Plaid Raglan-Sleeve L BlackWine L</t>
  </si>
  <si>
    <t>887648645004</t>
  </si>
  <si>
    <t>Trolls by DreamWorks Juniors Trolls Poppy Sweatshi Light Pink L</t>
  </si>
  <si>
    <t>M6815NR212</t>
  </si>
  <si>
    <t>887854000475</t>
  </si>
  <si>
    <t>Miss Chievous Juniors Printed Raglan-Sleeve Soft Breeze M</t>
  </si>
  <si>
    <t>M6525NR212</t>
  </si>
  <si>
    <t>887069171663</t>
  </si>
  <si>
    <t>Material Girl Juniors High-Waist Faux-Leath Caviar Black XXL</t>
  </si>
  <si>
    <t>705143716954</t>
  </si>
  <si>
    <t>Energie Juniors Laser-Cut Sporty Tank June Bug L</t>
  </si>
  <si>
    <t>190040298908</t>
  </si>
  <si>
    <t>Almost Famous Juniors Ribbed-Panel Button-D Navy M</t>
  </si>
  <si>
    <t>190371272332</t>
  </si>
  <si>
    <t>Bioworld Juniors DC Comics Batman Fren BlackHeather Grey S</t>
  </si>
  <si>
    <t>637677215842</t>
  </si>
  <si>
    <t>Belle Du Jour Juniors Raglan-Sleeve Friday Alloy Grey L</t>
  </si>
  <si>
    <t>FRI0097-194WBK</t>
  </si>
  <si>
    <t>190344240085</t>
  </si>
  <si>
    <t>Hybrid Juniors Clueless Graphic T-Sh Heather Grey M</t>
  </si>
  <si>
    <t>QE1048YK1753</t>
  </si>
  <si>
    <t>705143667393</t>
  </si>
  <si>
    <t>Energie Juniors Scoop-Neck Top Light Heather Grey XXS</t>
  </si>
  <si>
    <t>42ZK221</t>
  </si>
  <si>
    <t>829092312828</t>
  </si>
  <si>
    <t>XOXO Juniors Zipper-Trim Jacket Ivory L</t>
  </si>
  <si>
    <t>889775095943</t>
  </si>
  <si>
    <t>American Rag Lace-Bodice Printed Halter Dre Canyon Sun M</t>
  </si>
  <si>
    <t>STRP LS TULIP ROMPER</t>
  </si>
  <si>
    <t>70104MG</t>
  </si>
  <si>
    <t>MKI8269I</t>
  </si>
  <si>
    <t>25N086LT5I</t>
  </si>
  <si>
    <t>826410484724</t>
  </si>
  <si>
    <t>BCX Juniors Lace-Trim Off-The-Sho Black M</t>
  </si>
  <si>
    <t>1110T83</t>
  </si>
  <si>
    <t>847250080075</t>
  </si>
  <si>
    <t>Material Girl Juniors Striped One-Shoulder Black Combo S</t>
  </si>
  <si>
    <t>791093382448</t>
  </si>
  <si>
    <t>SHIFT Juniors Metallic Lace-Trim Dr BlackSilver S</t>
  </si>
  <si>
    <t>706256917986</t>
  </si>
  <si>
    <t>METALLIC LOVE JACKET</t>
  </si>
  <si>
    <t>M61147</t>
  </si>
  <si>
    <t>STRIPE TERRY SHORT</t>
  </si>
  <si>
    <t>7TN25</t>
  </si>
  <si>
    <t>I462795A7</t>
  </si>
  <si>
    <t>RJ11126</t>
  </si>
  <si>
    <t>784645228837</t>
  </si>
  <si>
    <t>REWIND Juniors Techno Tuck Blue Wash Indigo 3</t>
  </si>
  <si>
    <t>887400720123</t>
  </si>
  <si>
    <t>Eyeshadow Trendy Plus Size Lace Bodysuit Burgundy Passion 2X</t>
  </si>
  <si>
    <t>B6417CBMX</t>
  </si>
  <si>
    <t>CJ21378SS</t>
  </si>
  <si>
    <t>887043730305</t>
  </si>
  <si>
    <t>Celebrity Pink Juniors Body Sculpt The Lifte Good Vibes 0</t>
  </si>
  <si>
    <t>887400717871</t>
  </si>
  <si>
    <t>Eyeshadow Trendy Plus Size Keyhole Peasa Burgundy Passion 2X</t>
  </si>
  <si>
    <t>841060128408</t>
  </si>
  <si>
    <t>Hippie Rose Juniors Open-Front Duster Car Olive S</t>
  </si>
  <si>
    <t>190040312222</t>
  </si>
  <si>
    <t>Almost Famous Juniors Striped Fringe Waterf BlackRed M</t>
  </si>
  <si>
    <t>841060128415</t>
  </si>
  <si>
    <t>Hippie Rose Juniors Open-Front Duster Car Olive M</t>
  </si>
  <si>
    <t>841060128071</t>
  </si>
  <si>
    <t>Hippie Rose Juniors Striped Sweater BlackIvory L</t>
  </si>
  <si>
    <t>841060128125</t>
  </si>
  <si>
    <t>Hippie Rose Juniors Striped Sweater Bandana BlueIvory L</t>
  </si>
  <si>
    <t>637677242800</t>
  </si>
  <si>
    <t>Belle Du Jour Juniors Cardigan, T-Shirt and Black L</t>
  </si>
  <si>
    <t>1DDYNSXV</t>
  </si>
  <si>
    <t>841060126824</t>
  </si>
  <si>
    <t>Hippie Rose Juniors Velour Flare-Leg Pant Spicy Sangria L</t>
  </si>
  <si>
    <t>841060127128</t>
  </si>
  <si>
    <t>Hippie Rose Juniors Velour Flare-Leg Pant Black L</t>
  </si>
  <si>
    <t>706256923581</t>
  </si>
  <si>
    <t>Material Girl Juniors Workout Graphic Yoga Black S</t>
  </si>
  <si>
    <t>M61129</t>
  </si>
  <si>
    <t>887648678460</t>
  </si>
  <si>
    <t>Freeze 24-7 Juniors Marilyn Monroe Graphi Grey Heather L</t>
  </si>
  <si>
    <t>695532487896</t>
  </si>
  <si>
    <t>Ultra Flirt Juniors Cowl-Neck Tunic Top CharcoalNatural Marl M</t>
  </si>
  <si>
    <t>695532488121</t>
  </si>
  <si>
    <t>Ultra Flirt Juniors Cowl-Neck Tunic Top Tawny PortNatural Marl XS</t>
  </si>
  <si>
    <t>695532487872</t>
  </si>
  <si>
    <t>Ultra Flirt Juniors Cowl-Neck Tunic Top CharcoalNatural Marl XS</t>
  </si>
  <si>
    <t>695532488138</t>
  </si>
  <si>
    <t>Ultra Flirt Juniors Cowl-Neck Tunic Top Tawny PortNatural Marl S</t>
  </si>
  <si>
    <t>887648678453</t>
  </si>
  <si>
    <t>Freeze 24-7 Juniors Marilyn Monroe Graphi Grey Heather M</t>
  </si>
  <si>
    <t>887854079358</t>
  </si>
  <si>
    <t>Miss Chievous Juniors Crochet-Trim Cold-Sho Port Royal L</t>
  </si>
  <si>
    <t>885779658955</t>
  </si>
  <si>
    <t>Vanilla Star Juniors Pull-On Mars Wash Ski Mars 5</t>
  </si>
  <si>
    <t>705143717340</t>
  </si>
  <si>
    <t>Energie Juniors Claire Striped Colorb Heather Grey XL</t>
  </si>
  <si>
    <t>705143717357</t>
  </si>
  <si>
    <t>Energie Juniors Claire Striped Colorb Heather Grey XS</t>
  </si>
  <si>
    <t>887854078061</t>
  </si>
  <si>
    <t>Miss Chievous Juniors Weathered Sweatshirt Charcoal Grey XS</t>
  </si>
  <si>
    <t>190121212458</t>
  </si>
  <si>
    <t>Mighty Fine Juniors Pokemon Pikachu Grap Black M</t>
  </si>
  <si>
    <t>695532512154</t>
  </si>
  <si>
    <t>Ultra Flirt Juniors Cold-Shoulder Top Black S</t>
  </si>
  <si>
    <t>695532512161</t>
  </si>
  <si>
    <t>Ultra Flirt Juniors Cold-Shoulder Top Black M</t>
  </si>
  <si>
    <t>190344637762</t>
  </si>
  <si>
    <t>Disney Juniors Stitch Graphic Bodysu Heather GreyBlack M</t>
  </si>
  <si>
    <t>JO5072JDY5282</t>
  </si>
  <si>
    <t>645545915206</t>
  </si>
  <si>
    <t>190121222242</t>
  </si>
  <si>
    <t>Mighty Fine Juniors Star Wars Graphic T-S Burgundy L</t>
  </si>
  <si>
    <t>4Q05MC</t>
  </si>
  <si>
    <t>H7S0149M</t>
  </si>
  <si>
    <t>887648705289</t>
  </si>
  <si>
    <t>Disney Juniors Under The Sea Graphic Mint Green S</t>
  </si>
  <si>
    <t>887648705456</t>
  </si>
  <si>
    <t>Freeze 24-7 Juniors Graphic T-Shirt True Black XS</t>
  </si>
  <si>
    <t>WVSJ064-8K23</t>
  </si>
  <si>
    <t>889775069616</t>
  </si>
  <si>
    <t>American Rag Colored Wash Super-Skinny Jean Olive 7</t>
  </si>
  <si>
    <t>888825381838</t>
  </si>
  <si>
    <t>Material Girl Juniors Lace-Panel Skater Dre Zinfandel L</t>
  </si>
  <si>
    <t>GDA031SZN</t>
  </si>
  <si>
    <t>713701108646</t>
  </si>
  <si>
    <t>American Rag Juniors Lace Contrast Henley Egret XXL</t>
  </si>
  <si>
    <t>706256894805</t>
  </si>
  <si>
    <t>Material Girl Active Juniors Metallic Zip H Gold Metallic XXS</t>
  </si>
  <si>
    <t>841413126563</t>
  </si>
  <si>
    <t>OhMG Juniors Southwest Asymmetrica Medium Grey L</t>
  </si>
  <si>
    <t>889602111464</t>
  </si>
  <si>
    <t>Jessica Simpson Foil-Printed Half-Zip Hoodie Jet Black XS</t>
  </si>
  <si>
    <t>645545931954</t>
  </si>
  <si>
    <t>Material Girl Active Juniors Metallic-Detai Black XS</t>
  </si>
  <si>
    <t>887854010856</t>
  </si>
  <si>
    <t>Miss Chievous Juniors Lace-Trim V-Neck Tuni Merlot L</t>
  </si>
  <si>
    <t>190040298885</t>
  </si>
  <si>
    <t>Almost Famous Juniors Ribbed-Panel Button-D Navy XS</t>
  </si>
  <si>
    <t>0XJUNSBA</t>
  </si>
  <si>
    <t>645545933033</t>
  </si>
  <si>
    <t>Material Girl Active Juniors Racerback Spor Heather Platinum M</t>
  </si>
  <si>
    <t>886998520719</t>
  </si>
  <si>
    <t>American Rag Trendy Plus Size Off-The-Shoul Eclipse 0X</t>
  </si>
  <si>
    <t>886998520733</t>
  </si>
  <si>
    <t>American Rag Trendy Plus Size Off-The-Shoul Eclipse 2X</t>
  </si>
  <si>
    <t>708008376805</t>
  </si>
  <si>
    <t>City Studios Juniors Off-The-Shoulder Stri BlackWhite 3</t>
  </si>
  <si>
    <t>708008369111</t>
  </si>
  <si>
    <t>City Studios Juniors Lace Two-Piece Dress Blue 13</t>
  </si>
  <si>
    <t>JWM13426I</t>
  </si>
  <si>
    <t>8648XX1C</t>
  </si>
  <si>
    <t>3K31972MC</t>
  </si>
  <si>
    <t>J12182AG2</t>
  </si>
  <si>
    <t>889775093079</t>
  </si>
  <si>
    <t>American Rag Lace-Inset High-Low Peasant To Chilli Pepper S</t>
  </si>
  <si>
    <t>887400720208</t>
  </si>
  <si>
    <t>Eyeshadow Trendy Plus Size Embroidered T Burgundy Passion 1X</t>
  </si>
  <si>
    <t>744199495130</t>
  </si>
  <si>
    <t>Dollhouse Juniors Ripped Colored Wash C Sage 11</t>
  </si>
  <si>
    <t>841060128255</t>
  </si>
  <si>
    <t>Hippie Rose Juniors Open-Front Duster Car Black S</t>
  </si>
  <si>
    <t>706256917269</t>
  </si>
  <si>
    <t>Material Girl Printed Yoga Leggings Black M</t>
  </si>
  <si>
    <t>887648661400</t>
  </si>
  <si>
    <t>Freeze 24-7 Juniors Cute And Hungry Graph True Black XS</t>
  </si>
  <si>
    <t>706256923604</t>
  </si>
  <si>
    <t>Material Girl Juniors Workout Graphic Yoga Black L</t>
  </si>
  <si>
    <t>706256923598</t>
  </si>
  <si>
    <t>Material Girl Juniors Workout Graphic Yoga Black M</t>
  </si>
  <si>
    <t>H6F0129</t>
  </si>
  <si>
    <t>695532512215</t>
  </si>
  <si>
    <t>Ultra Flirt Juniors Cold-Shoulder Top BlackWhite Stripe M</t>
  </si>
  <si>
    <t>695532512208</t>
  </si>
  <si>
    <t>Ultra Flirt Juniors Cold-Shoulder Top BlackWhite Stripe S</t>
  </si>
  <si>
    <t>645545917125</t>
  </si>
  <si>
    <t>695532512376</t>
  </si>
  <si>
    <t>Ultra Flirt Juniors Varsity Top BlackWhite L</t>
  </si>
  <si>
    <t>637677252441</t>
  </si>
  <si>
    <t>Belle Du Jour Juniors Lace-Trim Cold-Should Black L</t>
  </si>
  <si>
    <t>888825380817</t>
  </si>
  <si>
    <t>Material Girl Juniors Illusion Diamond-Embo Caviar Black XS</t>
  </si>
  <si>
    <t>888825470204</t>
  </si>
  <si>
    <t>Material Girl Juniors Striped Convertible B Caviar Black M</t>
  </si>
  <si>
    <t>10187BC204</t>
  </si>
  <si>
    <t>190121132114</t>
  </si>
  <si>
    <t>Lisa Frank Juniors Patch Graphic Denim V Light Blue S</t>
  </si>
  <si>
    <t>1126D17</t>
  </si>
  <si>
    <t>889631043767</t>
  </si>
  <si>
    <t>Crystal Doll Juniors Lace Bell-Sleeve A-Li Navy S</t>
  </si>
  <si>
    <t>889775052762</t>
  </si>
  <si>
    <t>American Rag Suede Fringe Crossbody Ginger Gla ONE SIZE</t>
  </si>
  <si>
    <t>6AB06GZG</t>
  </si>
  <si>
    <t>759880883660</t>
  </si>
  <si>
    <t>REWIND Juniors Skinny Cargo Pants Medium Gray 7</t>
  </si>
  <si>
    <t>R1494UTES</t>
  </si>
  <si>
    <t>JK1175T1GA6SM</t>
  </si>
  <si>
    <t>CJ20117D52</t>
  </si>
  <si>
    <t>887043033543</t>
  </si>
  <si>
    <t>Celebrity Pink Juniors Pants, Skinny Black 11</t>
  </si>
  <si>
    <t>889602111488</t>
  </si>
  <si>
    <t>Jessica Simpson Foil-Printed Half-Zip Hoodie Jet Black M</t>
  </si>
  <si>
    <t>841060123199</t>
  </si>
  <si>
    <t>Hippie Rose Juniors Striped Crisscross-Ba Navy Combo L</t>
  </si>
  <si>
    <t>887043628336</t>
  </si>
  <si>
    <t>Celebrity Pink Juniors Skinny Ponte Pants Burnt Red 11</t>
  </si>
  <si>
    <t>619720898332</t>
  </si>
  <si>
    <t>FISHBOWL Juniors Printed Tie-Neck Shif RustBurgundy Combo M</t>
  </si>
  <si>
    <t>746194687220</t>
  </si>
  <si>
    <t>Material Girl Juniors Cap-Sleeve Bodysuit Black XXL</t>
  </si>
  <si>
    <t>889602111716</t>
  </si>
  <si>
    <t>Jessica Simpson Logo Foil Graphic Jogger Pants Black Combo S</t>
  </si>
  <si>
    <t>889901063396</t>
  </si>
  <si>
    <t>Hooked Up by IOT Juniors Cowl-Neck Pullover Sw Faded Indigo XL</t>
  </si>
  <si>
    <t>829826311677</t>
  </si>
  <si>
    <t>Planet Gold Juniors Holiday-Print Fit F Black Combo S</t>
  </si>
  <si>
    <t>619720917033</t>
  </si>
  <si>
    <t>Be Bop Juniors Lace-Trim Velvet Top Black L</t>
  </si>
  <si>
    <t>705143713816</t>
  </si>
  <si>
    <t>Energie Active Juniors Fleece Vest an Grey Space DyeCaviar M</t>
  </si>
  <si>
    <t>887069551410</t>
  </si>
  <si>
    <t>Material Girl Juniors Pull-On Faux-Leather Caviar Black L</t>
  </si>
  <si>
    <t>887648613843</t>
  </si>
  <si>
    <t>Freeze 24-7 Juniors High-Low Graphic T-Sh Black M</t>
  </si>
  <si>
    <t>JTSJU11-2L89</t>
  </si>
  <si>
    <t>190371313400</t>
  </si>
  <si>
    <t>Bioworld Fantastic Beasts Juniors Acci Maroon XS</t>
  </si>
  <si>
    <t>713701110250</t>
  </si>
  <si>
    <t>American Rag Lace Bell-Sleeve Romper Classic Black XL</t>
  </si>
  <si>
    <t>889775097787</t>
  </si>
  <si>
    <t>American Rag Trendy Plus Size Lace-Sleeve J Chilli Red 1X</t>
  </si>
  <si>
    <t>889775093666</t>
  </si>
  <si>
    <t>3539NDA5</t>
  </si>
  <si>
    <t>826422089429</t>
  </si>
  <si>
    <t>BCX Juniors Lace-Inset Wrap-Front Black S</t>
  </si>
  <si>
    <t>W23627AR</t>
  </si>
  <si>
    <t>617171310816</t>
  </si>
  <si>
    <t>ING Trendy Plus Size Patch T-Shirt Ruby 2Tone 2X</t>
  </si>
  <si>
    <t>NTC200X-FPI</t>
  </si>
  <si>
    <t>CJ22005H18</t>
  </si>
  <si>
    <t>DARK ANKLE SKINNY 27"INS</t>
  </si>
  <si>
    <t>CJ22032E17</t>
  </si>
  <si>
    <t>887043675316</t>
  </si>
  <si>
    <t>841060128262</t>
  </si>
  <si>
    <t>Hippie Rose Juniors Open-Front Duster Car Black M</t>
  </si>
  <si>
    <t>841060128569</t>
  </si>
  <si>
    <t>Hippie Rose Juniors Striped Cardigan NavyClay M</t>
  </si>
  <si>
    <t>H7S0154</t>
  </si>
  <si>
    <t>J1354A71660</t>
  </si>
  <si>
    <t>889602134029</t>
  </si>
  <si>
    <t>Jessica Simpson Juniors Crisscross High-Impac Floral Herringbone XS</t>
  </si>
  <si>
    <t>3K31615MC</t>
  </si>
  <si>
    <t>PL27682</t>
  </si>
  <si>
    <t>841060128132</t>
  </si>
  <si>
    <t>Hippie Rose Juniors Striped Sweater Bandana BlueIvory XL</t>
  </si>
  <si>
    <t>H6F0139</t>
  </si>
  <si>
    <t>841060127104</t>
  </si>
  <si>
    <t>Hippie Rose Juniors Velour Flare-Leg Pant Black S</t>
  </si>
  <si>
    <t>841060123595</t>
  </si>
  <si>
    <t>Hippie Rose Juniors Cable-Front High-Low Dark Heather Grey L</t>
  </si>
  <si>
    <t>841060123571</t>
  </si>
  <si>
    <t>Hippie Rose Juniors Cable-Front High-Low Dark Heather Grey S</t>
  </si>
  <si>
    <t>190040374237</t>
  </si>
  <si>
    <t>Almost Famous Juniors Zip-Up Emoji Patch To Black S</t>
  </si>
  <si>
    <t>645545964679</t>
  </si>
  <si>
    <t>Rebellious One Juniors Seriously Cannot Grap Burgundy L</t>
  </si>
  <si>
    <t>889602138164</t>
  </si>
  <si>
    <t>Jessica Simpson Juniors Graphic Tank Top Glowing White M</t>
  </si>
  <si>
    <t>190121212465</t>
  </si>
  <si>
    <t>Mighty Fine Juniors Pokemon Pikachu Grap Black L</t>
  </si>
  <si>
    <t>695532512239</t>
  </si>
  <si>
    <t>Ultra Flirt Juniors Cold-Shoulder Top BlackWhite Stripe XL</t>
  </si>
  <si>
    <t>FRI0171-542WHT</t>
  </si>
  <si>
    <t>716068580933</t>
  </si>
  <si>
    <t>2-Kuhl Juniors High-Low Friends Grap White L</t>
  </si>
  <si>
    <t>716068580919</t>
  </si>
  <si>
    <t>2-Kuhl Juniors High-Low Friends Grap White S</t>
  </si>
  <si>
    <t>708008348109</t>
  </si>
  <si>
    <t>City Studios Juniors Embellished Lace A-Li Red 3</t>
  </si>
  <si>
    <t>3191YU8FTP</t>
  </si>
  <si>
    <t>708008261989</t>
  </si>
  <si>
    <t>City Studios Juniors Illusion Embellished Silver 1</t>
  </si>
  <si>
    <t>3155YG2CT1</t>
  </si>
  <si>
    <t>747941976789</t>
  </si>
  <si>
    <t>Speechless Juniors Embellished Lace Crop Black 3</t>
  </si>
  <si>
    <t>X90264HVA</t>
  </si>
  <si>
    <t>708008325957</t>
  </si>
  <si>
    <t>City Studios Juniors Embellished-Waist Str Blue 9</t>
  </si>
  <si>
    <t>9560YL5BT3</t>
  </si>
  <si>
    <t>886542627482</t>
  </si>
  <si>
    <t>B Darlin Juniors 2-Pc. Sequin-Lace Bod Black 78</t>
  </si>
  <si>
    <t>708008322154</t>
  </si>
  <si>
    <t>City Studios Juniors Embellished Pleated B Navy 5</t>
  </si>
  <si>
    <t>3801AM6BT3</t>
  </si>
  <si>
    <t>886542631700</t>
  </si>
  <si>
    <t>B Darlin Juniors Open-Back Rhinestone- GoldBlack 1112</t>
  </si>
  <si>
    <t>889775082950</t>
  </si>
  <si>
    <t>American Rag Denim Skirtalls Sorrento Wash M</t>
  </si>
  <si>
    <t>6FD07</t>
  </si>
  <si>
    <t>815224022192</t>
  </si>
  <si>
    <t>M1858 Kate Cuffed Ripped Glow Wash S Glow 27</t>
  </si>
  <si>
    <t>822980568659</t>
  </si>
  <si>
    <t>Jessica Simpson Davina Strapless Flounced Jump Black XXS</t>
  </si>
  <si>
    <t>637865169315</t>
  </si>
  <si>
    <t>Calvin Klein Jeans Graphic-Logo Pleated Sweatshir White Wash XL</t>
  </si>
  <si>
    <t>661414502995</t>
  </si>
  <si>
    <t>Teeze Me Juniors Illusion Lace Bodycon Teal 1</t>
  </si>
  <si>
    <t>H383744</t>
  </si>
  <si>
    <t>806256972364</t>
  </si>
  <si>
    <t>American Rag Lace-Panel Belted Dress Classic Black XS</t>
  </si>
  <si>
    <t>W33149CBK</t>
  </si>
  <si>
    <t>713701075245</t>
  </si>
  <si>
    <t>American Rag Juniors Embroidered Chambray Chambray XXL</t>
  </si>
  <si>
    <t>W31243OLTW</t>
  </si>
  <si>
    <t>889775098050</t>
  </si>
  <si>
    <t>American Rag Trendy Plus Size Floral-Print Oatmeal Combo 0X</t>
  </si>
  <si>
    <t>713701111820</t>
  </si>
  <si>
    <t>Material Girl Juniors Lace Bell-Sleeve Shif Cloud Dancer L</t>
  </si>
  <si>
    <t>886542618046</t>
  </si>
  <si>
    <t>B Darlin Juniors Colorblocked Fit Fl CobaltBlack 910</t>
  </si>
  <si>
    <t>601350882485</t>
  </si>
  <si>
    <t>Speechless Juniors Sleeveless Embellishe Black 11</t>
  </si>
  <si>
    <t>D64531DB8</t>
  </si>
  <si>
    <t>889775004440</t>
  </si>
  <si>
    <t>American Rag Pintucked Chambray Blouse Indigo M</t>
  </si>
  <si>
    <t>5FW14BIND</t>
  </si>
  <si>
    <t>822240246341</t>
  </si>
  <si>
    <t>BCX Juniors Belted Colorblocked S Beige 0</t>
  </si>
  <si>
    <t>0060J2A</t>
  </si>
  <si>
    <t>713701109988</t>
  </si>
  <si>
    <t>American Rag Printed Cold-Shoulder Dress Blueprint XXS</t>
  </si>
  <si>
    <t>713701109797</t>
  </si>
  <si>
    <t>American Rag Printed Crochet Halter Dress Cream Combo S</t>
  </si>
  <si>
    <t>768594155505</t>
  </si>
  <si>
    <t>American Rag Juniors Striped Cowl-Neck top Egret XXL</t>
  </si>
  <si>
    <t>78377BAR</t>
  </si>
  <si>
    <t>889623377337</t>
  </si>
  <si>
    <t>Volcom Juniors Road Trip Printed Shi Brick Red XS</t>
  </si>
  <si>
    <t>B1341607</t>
  </si>
  <si>
    <t>822982437571</t>
  </si>
  <si>
    <t>Jessica Simpson Missa High-Low Crocheted Peasa Black XS</t>
  </si>
  <si>
    <t>822982602696</t>
  </si>
  <si>
    <t>Jessica Simpson Fifi Printed Cutout Peasant To Tapestry XS</t>
  </si>
  <si>
    <t>886998513476</t>
  </si>
  <si>
    <t>American Rag Trendy Plus Size Lace-Trim Hen Egret 1X</t>
  </si>
  <si>
    <t>889775098159</t>
  </si>
  <si>
    <t>American Rag Trendy Plus Size Handkerchief- Egret 2X</t>
  </si>
  <si>
    <t>617171305966</t>
  </si>
  <si>
    <t>ING Plus Size Lace Fringe-Trim Dre Wine 2X</t>
  </si>
  <si>
    <t>NDA354X-EML</t>
  </si>
  <si>
    <t>889775059860</t>
  </si>
  <si>
    <t>American Rag Star-Print Denim Mini Skirt Multi XL</t>
  </si>
  <si>
    <t>6MD13SAREA</t>
  </si>
  <si>
    <t>826410384857</t>
  </si>
  <si>
    <t>BCX Juniors Lace-Contrast Shift D Black S</t>
  </si>
  <si>
    <t>1137Y21</t>
  </si>
  <si>
    <t>829092191232</t>
  </si>
  <si>
    <t>XOXO Juniors Button-Trim Wide-Leg Red 910</t>
  </si>
  <si>
    <t>8489TPR3</t>
  </si>
  <si>
    <t>713701105652</t>
  </si>
  <si>
    <t>Material Girl Juniors Zipper-Trim Faux-Leat Caviar Black XL</t>
  </si>
  <si>
    <t>888825937714</t>
  </si>
  <si>
    <t>Material Girl Juniors Asymmetrical Pinstrip Black M</t>
  </si>
  <si>
    <t>889775089720</t>
  </si>
  <si>
    <t>American Rag Ripped Ojai Wash Denim Shorts Ojai Wash 15</t>
  </si>
  <si>
    <t>844817077394</t>
  </si>
  <si>
    <t>American Rag Eyelet Crop Top Egret L</t>
  </si>
  <si>
    <t>4MW73EG</t>
  </si>
  <si>
    <t>826409268526</t>
  </si>
  <si>
    <t>BCX Juniors Belted Front-Zip A-Li Turquoise XS</t>
  </si>
  <si>
    <t>1125A60</t>
  </si>
  <si>
    <t>617171309070</t>
  </si>
  <si>
    <t>ING Trendy Plus Size Cutout-Should Charcoal 2X</t>
  </si>
  <si>
    <t>768594098550</t>
  </si>
  <si>
    <t>American Rag Lace Handkerchief-Hem Cami Top Light Pink M</t>
  </si>
  <si>
    <t>829092246338</t>
  </si>
  <si>
    <t>XOXO Juniors Mock-Neck Grommet Top Hunter L</t>
  </si>
  <si>
    <t>759880883370</t>
  </si>
  <si>
    <t>REWIND Juniors Skinny Cargo Pants Camo 9</t>
  </si>
  <si>
    <t>759880883356</t>
  </si>
  <si>
    <t>REWIND Juniors Skinny Cargo Pants Camo 5</t>
  </si>
  <si>
    <t>885779641292</t>
  </si>
  <si>
    <t>Vanilla Star Juniors Ripped Skinny Jeans White Wash 1</t>
  </si>
  <si>
    <t>V20653-1</t>
  </si>
  <si>
    <t>840523144160</t>
  </si>
  <si>
    <t>Indigo Rein Juniors Button-Front Super-So Dark 15</t>
  </si>
  <si>
    <t>RR5170C8MZ</t>
  </si>
  <si>
    <t>826409973871</t>
  </si>
  <si>
    <t>BCX Juniors Marled Layered-Look T Black Tweed L</t>
  </si>
  <si>
    <t>1076T36</t>
  </si>
  <si>
    <t>674153662318</t>
  </si>
  <si>
    <t>Say What Juniors Bomber Jacket Black S</t>
  </si>
  <si>
    <t>826409857782</t>
  </si>
  <si>
    <t>BCX Juniors Striped Roll-Sleeve B Black Sand Geo M</t>
  </si>
  <si>
    <t>1069V8T</t>
  </si>
  <si>
    <t>645545933576</t>
  </si>
  <si>
    <t>Material Girl Juniors Mesh Zip-Up Hoodie Black XS</t>
  </si>
  <si>
    <t>840523199146</t>
  </si>
  <si>
    <t>Indigo Rein Juniors Light Blue Wash Cropp Light Blue 9</t>
  </si>
  <si>
    <t>887043160904</t>
  </si>
  <si>
    <t>Celebrity Pink Juniors Skinny-Leg Jeans, Dark Indigo Rinse 0S</t>
  </si>
  <si>
    <t>CJ5820F55 S</t>
  </si>
  <si>
    <t>0 S</t>
  </si>
  <si>
    <t>887043014191</t>
  </si>
  <si>
    <t>Celebrity Pink Jeans, Skinny Low Rise Pinot Noir 7</t>
  </si>
  <si>
    <t>CJ5820F57</t>
  </si>
  <si>
    <t>841413124699</t>
  </si>
  <si>
    <t>OhMG Juniors Drape-Collar Aztec-Pa OatmealToasted Heather S</t>
  </si>
  <si>
    <t>889602128615</t>
  </si>
  <si>
    <t>Jessica Simpson Juniors Pullover Hoodie Jet Black S</t>
  </si>
  <si>
    <t>889602128554</t>
  </si>
  <si>
    <t>Jessica Simpson Juniors Pullover Hoodie Italian Plum M</t>
  </si>
  <si>
    <t>889602111495</t>
  </si>
  <si>
    <t>Jessica Simpson Foil-Printed Half-Zip Hoodie Jet Black L</t>
  </si>
  <si>
    <t>889602128608</t>
  </si>
  <si>
    <t>Jessica Simpson Juniors Pullover Hoodie Jet Black XS</t>
  </si>
  <si>
    <t>695532440303</t>
  </si>
  <si>
    <t>Ultra Flirt Juniors Striped Mitered-Hem T BurgundyGold XS</t>
  </si>
  <si>
    <t>889901118058</t>
  </si>
  <si>
    <t>Hooked Up by IOT Juniors Fringed Mixed-Pattern Mood IndigoRuby Wine XS</t>
  </si>
  <si>
    <t>695532440181</t>
  </si>
  <si>
    <t>Ultra Flirt Juniors Striped Mitered-Hem T WineBlue L</t>
  </si>
  <si>
    <t>746194691449</t>
  </si>
  <si>
    <t>Material Girl Juniors Cap-Sleeve Bodysuit Zinfandel S</t>
  </si>
  <si>
    <t>746194691463</t>
  </si>
  <si>
    <t>Material Girl Juniors Cap-Sleeve Bodysuit Zinfandel L</t>
  </si>
  <si>
    <t>889602111730</t>
  </si>
  <si>
    <t>Jessica Simpson Logo Foil Graphic Jogger Pants Black Combo L</t>
  </si>
  <si>
    <t>826409511332</t>
  </si>
  <si>
    <t>BCX Juniors Faux-Leather-Trim Pen Black 7</t>
  </si>
  <si>
    <t>4058R9F</t>
  </si>
  <si>
    <t>887409057572</t>
  </si>
  <si>
    <t>Polly Esther Juniors Hooded Plaid Shirt BrickNavy L</t>
  </si>
  <si>
    <t>887409057701</t>
  </si>
  <si>
    <t>Polly Esther Juniors Hooded Plaid Shirt NavyIvory XL</t>
  </si>
  <si>
    <t>889602097997</t>
  </si>
  <si>
    <t>Jessica Simpson Juniors Short-Sleeve Mesh Top Glowing Ember XL</t>
  </si>
  <si>
    <t>3K31058MC</t>
  </si>
  <si>
    <t>841060119154</t>
  </si>
  <si>
    <t>Hippie Rose Juniors Handkerchief-Hem Card Coyote Blue Combo XL</t>
  </si>
  <si>
    <t>705143716916</t>
  </si>
  <si>
    <t>Energie Juniors Poppy Cropped Pull-On Heather Grey S</t>
  </si>
  <si>
    <t>706256235288</t>
  </si>
  <si>
    <t>Material Girl Contrast-Waist Yoga Pants Black XS</t>
  </si>
  <si>
    <t>M6917BK212</t>
  </si>
  <si>
    <t>706256504841</t>
  </si>
  <si>
    <t>Material Girl Love Contrast Cropped Yoga Leg Black XS</t>
  </si>
  <si>
    <t>M6952NR212</t>
  </si>
  <si>
    <t>706256570624</t>
  </si>
  <si>
    <t>Material Girl Love Mixed-Waist Yoga Leggings Black XS</t>
  </si>
  <si>
    <t>706256235325</t>
  </si>
  <si>
    <t>Material Girl Contrast-Waist Yoga Pants Black XL</t>
  </si>
  <si>
    <t>706256026800</t>
  </si>
  <si>
    <t>Material Girl Juniors Printed Foldover-Wais Limearita M</t>
  </si>
  <si>
    <t>M6824LI212</t>
  </si>
  <si>
    <t>706256026404</t>
  </si>
  <si>
    <t>Material Girl Juniors Ombre-Print Cropped L Sunset XXS</t>
  </si>
  <si>
    <t>695532443243</t>
  </si>
  <si>
    <t>Ultra Flirt Juniors Off-The-Shoulder Peas Prairie Paisley S</t>
  </si>
  <si>
    <t>705143717036</t>
  </si>
  <si>
    <t>Energie Juniors Laser-Cut Sporty Tank Black S</t>
  </si>
  <si>
    <t>619720917101</t>
  </si>
  <si>
    <t>Be Bop Juniors Lace-Trim Velvet Pepl Black S</t>
  </si>
  <si>
    <t>705143716978</t>
  </si>
  <si>
    <t>Energie Juniors Laser-Cut Sporty Tank June Bug S</t>
  </si>
  <si>
    <t>887854009140</t>
  </si>
  <si>
    <t>Miss Chievous Juniors Embellished High-Low Raspberry XS</t>
  </si>
  <si>
    <t>JC3191X154</t>
  </si>
  <si>
    <t>705143713847</t>
  </si>
  <si>
    <t>Energie Active Juniors Fleece Vest an Grey Space DyeCaviar XS</t>
  </si>
  <si>
    <t>887069098595</t>
  </si>
  <si>
    <t>Material Girl Juniors Faux-Leather-Panel Le Black ML</t>
  </si>
  <si>
    <t>PC15704BLK</t>
  </si>
  <si>
    <t>821942396132</t>
  </si>
  <si>
    <t>Planet Gold Juniors Scoop-Neck Fit Flar Black XS</t>
  </si>
  <si>
    <t>888823880982</t>
  </si>
  <si>
    <t>Hybrid Juniors Printed Pullover Swea White M</t>
  </si>
  <si>
    <t>JL3189MAJRSM611</t>
  </si>
  <si>
    <t>190371272370</t>
  </si>
  <si>
    <t>Bioworld Juniors Harry Potter Hogwarts Heather Grey XS</t>
  </si>
  <si>
    <t>887069475334</t>
  </si>
  <si>
    <t>Pink Rose Juniors Ruched-Side Fine-Gaug Heather Beetroot L</t>
  </si>
  <si>
    <t>695532486387</t>
  </si>
  <si>
    <t>Ultra Flirt Juniors Space-Dyed Tie-Neck T Faded DenimBlack Spacedye L</t>
  </si>
  <si>
    <t>695532437457</t>
  </si>
  <si>
    <t>Ultra Flirt Juniors Marled High-Low Pullo BlackWhite M</t>
  </si>
  <si>
    <t>695532453891</t>
  </si>
  <si>
    <t>Ultra Flirt Juniors Striped Lace-Up Shirt WineWhite XL</t>
  </si>
  <si>
    <t>5T50MC</t>
  </si>
  <si>
    <t>190040251149</t>
  </si>
  <si>
    <t>Almost Famous Juniors Lace-Back Button-Down White XL</t>
  </si>
  <si>
    <t>190040251309</t>
  </si>
  <si>
    <t>Almost Famous Juniors Printed High-Low Tank BlackWhiteGrey XS</t>
  </si>
  <si>
    <t>ZT8935-8547-MC</t>
  </si>
  <si>
    <t>887648644694</t>
  </si>
  <si>
    <t>Trolls by DreamWorks Juniors Trolls Printed Leggin Multi L</t>
  </si>
  <si>
    <t>TJSJ057-9J53</t>
  </si>
  <si>
    <t>887648644670</t>
  </si>
  <si>
    <t>Trolls by DreamWorks Juniors Trolls Printed Leggin Multi S</t>
  </si>
  <si>
    <t>190344361995</t>
  </si>
  <si>
    <t>Trolls by DreamWorks Juniors Trolls High-Low Poppy Vintage Black L</t>
  </si>
  <si>
    <t>887409040727</t>
  </si>
  <si>
    <t>Polly Esther Juniors Sleeveless Plaid Lace Ivorynavyred M</t>
  </si>
  <si>
    <t>PK01411MC</t>
  </si>
  <si>
    <t>887411799095</t>
  </si>
  <si>
    <t>Almost Famous Juniors Slub-Knit Sleeveless Denim Blue M</t>
  </si>
  <si>
    <t>ZP8362-6342-MC</t>
  </si>
  <si>
    <t>695532464552</t>
  </si>
  <si>
    <t>Ultra Flirt Juniors Cold-Shoulder Waffle- Burgundy M</t>
  </si>
  <si>
    <t>3C519MC</t>
  </si>
  <si>
    <t>841060118089</t>
  </si>
  <si>
    <t>Hippie Rose Juniors Sleeveless Lace-Up To IvoryBlack Border Combo M</t>
  </si>
  <si>
    <t>841060117570</t>
  </si>
  <si>
    <t>Hippie Rose Juniors Printed Split-Neck Ta Burgundy Combo S</t>
  </si>
  <si>
    <t>H6S0099</t>
  </si>
  <si>
    <t>645545892545</t>
  </si>
  <si>
    <t>M6703BW212</t>
  </si>
  <si>
    <t>716068571122</t>
  </si>
  <si>
    <t>NTD Juniors Graphic T-Shirt BlackWhite L</t>
  </si>
  <si>
    <t>LARGE S/S</t>
  </si>
  <si>
    <t>661414499660</t>
  </si>
  <si>
    <t>Teeze Me Juniors Short-Sleeve Striped BlackOff White L</t>
  </si>
  <si>
    <t>S244149W</t>
  </si>
  <si>
    <t>843561089196</t>
  </si>
  <si>
    <t>Miss Chievous Juniors Embellished Dolman-Sl Lapis L</t>
  </si>
  <si>
    <t>JF9791J185</t>
  </si>
  <si>
    <t>645545909083</t>
  </si>
  <si>
    <t>Rebellious One Juniors Mineral-Wash Football Bedrock Black XL</t>
  </si>
  <si>
    <t>705143715223</t>
  </si>
  <si>
    <t>Energie Juniors Cara Racerback Compre Electric Strawberry XL</t>
  </si>
  <si>
    <t>190344361773</t>
  </si>
  <si>
    <t>Trolls by DreamWorks Juniors Trolls Printed Leggin Blue Multi S</t>
  </si>
  <si>
    <t>JB2538JTRL0081</t>
  </si>
  <si>
    <t>190344361797</t>
  </si>
  <si>
    <t>Trolls by DreamWorks Juniors Trolls Printed Leggin Blue Multi L</t>
  </si>
  <si>
    <t>693401667714</t>
  </si>
  <si>
    <t>2-Kuhl Juniors Cuffed Graphic T-Shir Black XS</t>
  </si>
  <si>
    <t>693401668131</t>
  </si>
  <si>
    <t>2-Kuhl Juniors Cuffed-Sleeve Sunset Light Grey M</t>
  </si>
  <si>
    <t>QE1048YK1765</t>
  </si>
  <si>
    <t>887648567474</t>
  </si>
  <si>
    <t>Freeze 24-7 Juniors Peanuts Graphic Ragla IvoryBurgundy XL</t>
  </si>
  <si>
    <t>645545882775</t>
  </si>
  <si>
    <t>Material Girl Juniors Low-Impact Racerback Heather Platinum S</t>
  </si>
  <si>
    <t>M6504HP212</t>
  </si>
  <si>
    <t>645545883086</t>
  </si>
  <si>
    <t>Material Girl Juniors Low-Impact Racerback Black XS</t>
  </si>
  <si>
    <t>M6501BK212</t>
  </si>
  <si>
    <t>190344312843</t>
  </si>
  <si>
    <t>Hybrid Juniors Pokemon Pikachu Grap White L</t>
  </si>
  <si>
    <t>821942386775</t>
  </si>
  <si>
    <t>Planet Gold Juniors Ruched Dolman-Sleeve Black M</t>
  </si>
  <si>
    <t>821942334363</t>
  </si>
  <si>
    <t>Planet Gold Juniors Spaghetti-Strap Tank Red Wave M</t>
  </si>
  <si>
    <t>39373796357</t>
  </si>
  <si>
    <t>INV PLT SKT W. PKTS</t>
  </si>
  <si>
    <t>12</t>
  </si>
  <si>
    <t>637865168691</t>
  </si>
  <si>
    <t>Calvin Klein Jeans High-Waist Rinse Wash Flare-Le Rinse 27</t>
  </si>
  <si>
    <t>42ZA712</t>
  </si>
  <si>
    <t>661414513311</t>
  </si>
  <si>
    <t>Teeze Me Juniors Glitter Bodycon Scuba GoldBlack M</t>
  </si>
  <si>
    <t>829092395821</t>
  </si>
  <si>
    <t>XOXO Juniors Maxi-Overlay Romper Multi M</t>
  </si>
  <si>
    <t>9815PMA3</t>
  </si>
  <si>
    <t>889775133157</t>
  </si>
  <si>
    <t>American Rag Trendy Plus Size Striped Chamb Eclipse Combo 2X</t>
  </si>
  <si>
    <t>P6BNQ2</t>
  </si>
  <si>
    <t>889775133164</t>
  </si>
  <si>
    <t>American Rag Trendy Plus Size Striped Chamb Eclipse Combo 3X</t>
  </si>
  <si>
    <t>889775134253</t>
  </si>
  <si>
    <t>American Rag Trendy Plus Size Babydoll Peas Eclipse 2X</t>
  </si>
  <si>
    <t>822982621109</t>
  </si>
  <si>
    <t>Jessica Simpson Arielle Embroidered Peasant Sh BlackWhite XS</t>
  </si>
  <si>
    <t>708008367957</t>
  </si>
  <si>
    <t>City Studios Juniors Sequin Lace Party Dre Gold 13</t>
  </si>
  <si>
    <t>708008371572</t>
  </si>
  <si>
    <t>City Studios Juniors Lace-Bodice Contrast BlushBlack 9</t>
  </si>
  <si>
    <t>3255SW3AT3</t>
  </si>
  <si>
    <t>637865188828</t>
  </si>
  <si>
    <t>659337933668</t>
  </si>
  <si>
    <t>Jump Juniors Cap-Sleeve Lace Sheat Royal 78</t>
  </si>
  <si>
    <t>39373646546</t>
  </si>
  <si>
    <t>FLUTTER SLV KEYHOLE TOP</t>
  </si>
  <si>
    <t>39373818592</t>
  </si>
  <si>
    <t>CeCe Cold-Shoulder Peplum Top Poppy L</t>
  </si>
  <si>
    <t>889775096070</t>
  </si>
  <si>
    <t>American Rag Eyelet-Trim Ruffle-Hem Sundres Egret S</t>
  </si>
  <si>
    <t>886998520795</t>
  </si>
  <si>
    <t>American Rag Trendy Plus Size Off-The-Shoul Bleached Denim 0X</t>
  </si>
  <si>
    <t>191170000324</t>
  </si>
  <si>
    <t>Trixxi Juniors Lace Off-The-Shoulder Black M</t>
  </si>
  <si>
    <t>708008369074</t>
  </si>
  <si>
    <t>City Studios Juniors Lace Two-Piece Dress Blue 5</t>
  </si>
  <si>
    <t>191170000294</t>
  </si>
  <si>
    <t>Trixxi Juniors Lace Off-The-Shoulder Black XXS</t>
  </si>
  <si>
    <t>601350859227</t>
  </si>
  <si>
    <t>Speechless Juniors Glittered Lace Dress Blush 5</t>
  </si>
  <si>
    <t>D51063H66</t>
  </si>
  <si>
    <t>822982634550</t>
  </si>
  <si>
    <t>Jessica Simpson Avenia Cuffed Straight-Leg Pan Light Pastel Green 32</t>
  </si>
  <si>
    <t>784645237044</t>
  </si>
  <si>
    <t>Sequin Hearts Juniors Sequin Split-Sleeve S Black S</t>
  </si>
  <si>
    <t>889237626678</t>
  </si>
  <si>
    <t>OLD STRP DRESS W/NECK CR</t>
  </si>
  <si>
    <t>I319279A1</t>
  </si>
  <si>
    <t>829092300740</t>
  </si>
  <si>
    <t>XOXO Juniors Embellished Peplum To Black XXL</t>
  </si>
  <si>
    <t>826422586836</t>
  </si>
  <si>
    <t>889237845307</t>
  </si>
  <si>
    <t>As U Wish Juniors Metallic Dress Silver S</t>
  </si>
  <si>
    <t>I583509G9</t>
  </si>
  <si>
    <t>889602138874</t>
  </si>
  <si>
    <t>Jessica Simpson Juniors Mesh-Inset Track Jack TracerySnow Crystal L</t>
  </si>
  <si>
    <t>889602138850</t>
  </si>
  <si>
    <t>Jessica Simpson Juniors Mesh-Inset Track Jack TracerySnow Crystal S</t>
  </si>
  <si>
    <t>614015985940</t>
  </si>
  <si>
    <t>Rewash Juniors Ripped Dark Blue Wash Dark Blue 0</t>
  </si>
  <si>
    <t>889775090702</t>
  </si>
  <si>
    <t>713701116023</t>
  </si>
  <si>
    <t>American Rag Off-The-Shoulder Crop Top Classic Black XS</t>
  </si>
  <si>
    <t>889775096339</t>
  </si>
  <si>
    <t>614015985889</t>
  </si>
  <si>
    <t>Rewash Juniors Embroidered Colored S NavyTeal 13</t>
  </si>
  <si>
    <t>614015985841</t>
  </si>
  <si>
    <t>Rewash Juniors Embroidered Colored S NavyTeal 5</t>
  </si>
  <si>
    <t>614015986541</t>
  </si>
  <si>
    <t>Rewash Juniors Embroidered Colored S Coral 3</t>
  </si>
  <si>
    <t>889456082194</t>
  </si>
  <si>
    <t>STON SOPHIE MR LNG</t>
  </si>
  <si>
    <t>RJ11132</t>
  </si>
  <si>
    <t>784645228813</t>
  </si>
  <si>
    <t>REWIND Juniors Techno Tuck Blue Wash Indigo 11</t>
  </si>
  <si>
    <t>784645228646</t>
  </si>
  <si>
    <t>REWIND Juniors Techno Tuck Cuffed Sk Blue 0</t>
  </si>
  <si>
    <t>RP2025STFH</t>
  </si>
  <si>
    <t>841907136757</t>
  </si>
  <si>
    <t>Indigo Rein Juniors Ripped Yandle Wash Sk Yandle Wash 0</t>
  </si>
  <si>
    <t>889602138065</t>
  </si>
  <si>
    <t>Jessica Simpson Juniors Tie-Dyed Half-Zip Jac Jet Black Tie Dye M</t>
  </si>
  <si>
    <t>889602138089</t>
  </si>
  <si>
    <t>Jessica Simpson Juniors Tie-Dyed Half-Zip Jac Jet Black Tie Dye XL</t>
  </si>
  <si>
    <t>887043730381</t>
  </si>
  <si>
    <t>Celebrity Pink Juniors Body Sculpt The Lifte Good Vibes 15</t>
  </si>
  <si>
    <t>889602137990</t>
  </si>
  <si>
    <t>Jessica Simpson Juniors Tie-Dyed Half-Zip Jac Blue Tie Dye XS</t>
  </si>
  <si>
    <t>889602138058</t>
  </si>
  <si>
    <t>Jessica Simpson Juniors Tie-Dyed Half-Zip Jac Jet Black Tie Dye S</t>
  </si>
  <si>
    <t>889602138027</t>
  </si>
  <si>
    <t>Jessica Simpson Juniors Tie-Dyed Half-Zip Jac Blue Tie Dye L</t>
  </si>
  <si>
    <t>889602138072</t>
  </si>
  <si>
    <t>Jessica Simpson Juniors Tie-Dyed Half-Zip Jac Jet Black Tie Dye L</t>
  </si>
  <si>
    <t>889602138041</t>
  </si>
  <si>
    <t>Jessica Simpson Juniors Tie-Dyed Half-Zip Jac Jet Black Tie Dye XS</t>
  </si>
  <si>
    <t>889602138034</t>
  </si>
  <si>
    <t>Jessica Simpson Juniors Tie-Dyed Half-Zip Jac Blue Tie Dye XL</t>
  </si>
  <si>
    <t>887400720222</t>
  </si>
  <si>
    <t>Eyeshadow Trendy Plus Size Embroidered T Burgundy Passion 3X</t>
  </si>
  <si>
    <t>614015986336</t>
  </si>
  <si>
    <t>Rewash Juniors Printed Smocked-Waist Navy Stripe XS</t>
  </si>
  <si>
    <t>744199495147</t>
  </si>
  <si>
    <t>Dollhouse Juniors Ripped Colored Wash C Sage 13</t>
  </si>
  <si>
    <t>841060128248</t>
  </si>
  <si>
    <t>Hippie Rose Juniors Open-Front Duster Car Black XS</t>
  </si>
  <si>
    <t>841060128620</t>
  </si>
  <si>
    <t>Hippie Rose Juniors Striped Cardigan Outlaw Turquoise Combo L</t>
  </si>
  <si>
    <t>841060128514</t>
  </si>
  <si>
    <t>Hippie Rose Juniors Striped Cardigan Moonshadow M</t>
  </si>
  <si>
    <t>841060128439</t>
  </si>
  <si>
    <t>Hippie Rose Juniors Open-Front Duster Car Olive XL</t>
  </si>
  <si>
    <t>660032592999</t>
  </si>
  <si>
    <t>One Clothing Juniors Lace Colorblocked Rom IvoryBlack M</t>
  </si>
  <si>
    <t>UR3940-Z394QQ16</t>
  </si>
  <si>
    <t>826410610277</t>
  </si>
  <si>
    <t>WHT SPLT FRT CRCHT YK</t>
  </si>
  <si>
    <t>101727H</t>
  </si>
  <si>
    <t>841060128392</t>
  </si>
  <si>
    <t>Hippie Rose Juniors Open-Front Duster Car Olive XS</t>
  </si>
  <si>
    <t>614015986442</t>
  </si>
  <si>
    <t>Rewash Juniors Printed Ruched Croppe Navy S</t>
  </si>
  <si>
    <t>889602133930</t>
  </si>
  <si>
    <t>Jessica Simpson Juniors Open-Back Compression Jet Black S</t>
  </si>
  <si>
    <t>889602133800</t>
  </si>
  <si>
    <t>Jessica Simpson Juniors Open-Back Compression Tracery L</t>
  </si>
  <si>
    <t>674153663193</t>
  </si>
  <si>
    <t>Say What Juniors Bomber Jacket Black M</t>
  </si>
  <si>
    <t>619720921320</t>
  </si>
  <si>
    <t>Be Bop Juniors Lace Shorts BlackSilver XS</t>
  </si>
  <si>
    <t>841060126800</t>
  </si>
  <si>
    <t>Hippie Rose Juniors Velour Flare-Leg Pant Spicy Sangria S</t>
  </si>
  <si>
    <t>706256570785</t>
  </si>
  <si>
    <t>706256923802</t>
  </si>
  <si>
    <t>Material Girl Juniors Shine-Waistband Yoga Classic Black M</t>
  </si>
  <si>
    <t>706256917610</t>
  </si>
  <si>
    <t>706257020210</t>
  </si>
  <si>
    <t>190040374251</t>
  </si>
  <si>
    <t>Almost Famous Juniors Zip-Up Emoji Patch To Black L</t>
  </si>
  <si>
    <t>190040373711</t>
  </si>
  <si>
    <t>Almost Famous Juniors Emoji Patch Hoodie Grey L</t>
  </si>
  <si>
    <t>190040374640</t>
  </si>
  <si>
    <t>Almost Famous Juniors Zip-Up Emoji Patch To Red L</t>
  </si>
  <si>
    <t>190040374572</t>
  </si>
  <si>
    <t>Almost Famous Juniors Zip-Up Emoji Patch To Navy S</t>
  </si>
  <si>
    <t>695532488022</t>
  </si>
  <si>
    <t>Ultra Flirt Juniors Cowl-Neck Tunic Top Oatmeal Heather Marl XS</t>
  </si>
  <si>
    <t>190040373780</t>
  </si>
  <si>
    <t>Almost Famous Juniors Emoji Patch Hoodie Red S</t>
  </si>
  <si>
    <t>695532488060</t>
  </si>
  <si>
    <t>Ultra Flirt Juniors Cowl-Neck Tunic Top Oatmeal Heather Marl XL</t>
  </si>
  <si>
    <t>190040374589</t>
  </si>
  <si>
    <t>Almost Famous Juniors Zip-Up Emoji Patch To Navy M</t>
  </si>
  <si>
    <t>190040373698</t>
  </si>
  <si>
    <t>Almost Famous Juniors Emoji Patch Hoodie Grey S</t>
  </si>
  <si>
    <t>758315038033</t>
  </si>
  <si>
    <t>Freeze 24-7 Juniors Selfie Graphic Sweats Black L</t>
  </si>
  <si>
    <t>190344631111</t>
  </si>
  <si>
    <t>Disney Juniors Disney Mickey Mouse G Heather Grey XL</t>
  </si>
  <si>
    <t>887854080873</t>
  </si>
  <si>
    <t>Miss Chievous Juniors Crochet-Trim Cold-Sho Deep Blush M</t>
  </si>
  <si>
    <t>705143717326</t>
  </si>
  <si>
    <t>Energie Juniors Claire Striped Colorb Heather Grey M</t>
  </si>
  <si>
    <t>705143717395</t>
  </si>
  <si>
    <t>Energie Juniors Claire Striped Colorb CaviarGold S</t>
  </si>
  <si>
    <t>841060127715</t>
  </si>
  <si>
    <t>Hippie Rose Juniors Striped-Sleeve Pullov Blue Combo M</t>
  </si>
  <si>
    <t>841060127685</t>
  </si>
  <si>
    <t>Hippie Rose Juniors Striped-Sleeve Pullov Black Combo XL</t>
  </si>
  <si>
    <t>645545964686</t>
  </si>
  <si>
    <t>Rebellious One Juniors Seriously Cannot Grap Burgundy XL</t>
  </si>
  <si>
    <t>645545964747</t>
  </si>
  <si>
    <t>Rebellious One Juniors Peace Emoji Graphic H Black XL</t>
  </si>
  <si>
    <t>645545964808</t>
  </si>
  <si>
    <t>Rebellious One Juniors Rainbow Emoji Hoodie Grey XL</t>
  </si>
  <si>
    <t>887648707030</t>
  </si>
  <si>
    <t>Freeze 24-7 Juniors YAAASSS Emoji Graphic Charcoal Heather L</t>
  </si>
  <si>
    <t>190040385073</t>
  </si>
  <si>
    <t>Almost Famous Juniors Lace-Trim Henley Tuni Basil M</t>
  </si>
  <si>
    <t>190040385059</t>
  </si>
  <si>
    <t>Almost Famous Juniors Lace-Trim Henley Tuni Basil XS</t>
  </si>
  <si>
    <t>190040385196</t>
  </si>
  <si>
    <t>Almost Famous Juniors Lace-Trim Henley Tuni Red S</t>
  </si>
  <si>
    <t>190121212625</t>
  </si>
  <si>
    <t>Mighty Fine Juniors Pokemon Pikachu Graph Heather Charcoal XL</t>
  </si>
  <si>
    <t>190121212250</t>
  </si>
  <si>
    <t>Mighty Fine Juniors Pokemon Pikachu Grap Heather Grey M</t>
  </si>
  <si>
    <t>705143716459</t>
  </si>
  <si>
    <t>Energie Juniors Bella Racerback Sport CaviarJune Bug XS</t>
  </si>
  <si>
    <t>705143716534</t>
  </si>
  <si>
    <t>Energie Juniors Brooklyn Printed Comp Polished Storm Cloud L</t>
  </si>
  <si>
    <t>705143719580</t>
  </si>
  <si>
    <t>Energie Juniors Santi Printed Strappy Legion Blue L</t>
  </si>
  <si>
    <t>645545917149</t>
  </si>
  <si>
    <t>645545915350</t>
  </si>
  <si>
    <t>716068583279</t>
  </si>
  <si>
    <t>NTD Juniors Gilmore Girls Stars H WhiteRoyal Blue S</t>
  </si>
  <si>
    <t>GZJB2013</t>
  </si>
  <si>
    <t>706256917757</t>
  </si>
  <si>
    <t>190121222211</t>
  </si>
  <si>
    <t>Mighty Fine Juniors Star Wars Graphic T-S Burgundy XS</t>
  </si>
  <si>
    <t>190371327414</t>
  </si>
  <si>
    <t>Bioworld Juniors Batman Graphic Baseba White S</t>
  </si>
  <si>
    <t>841060127869</t>
  </si>
  <si>
    <t>Hippie Rose Juniors Henley Football T-Shi BlackWhite Combo M</t>
  </si>
  <si>
    <t>637677220112</t>
  </si>
  <si>
    <t>Belle Du Jour Juniors Crisscross V-Neck Hig Black M</t>
  </si>
  <si>
    <t>637677263256</t>
  </si>
  <si>
    <t>Belle Du Jour Juniors Crisscross V-Neck Hig Peachskin L</t>
  </si>
  <si>
    <t>645545964860</t>
  </si>
  <si>
    <t>Rebellious One Juniors Knotted High-Low T-Sh Heather GreyBlush Pinstripes XL</t>
  </si>
  <si>
    <t>705143716305</t>
  </si>
  <si>
    <t>Energie Juniors Abby Crisscross Low-I Caviar M</t>
  </si>
  <si>
    <t>887648705180</t>
  </si>
  <si>
    <t>Disney Juniors Stitch Graphic Ringer Grey Heather L</t>
  </si>
  <si>
    <t>190121212021</t>
  </si>
  <si>
    <t>Mighty Fine Juniors Pikachu Burst Graphic Heather GreyBlack XL</t>
  </si>
  <si>
    <t>190121211987</t>
  </si>
  <si>
    <t>Mighty Fine Juniors Pikachu Burst Graphic Heather GreyBlack XS</t>
  </si>
  <si>
    <t>822980864188</t>
  </si>
  <si>
    <t>Jessica Simpson Darlanne Mixed-Knit Illusion S Wine L</t>
  </si>
  <si>
    <t>889775032726</t>
  </si>
  <si>
    <t>American Rag Ripped Cropped Rory Light Wash Rory Wash 9</t>
  </si>
  <si>
    <t>6TD28ROR</t>
  </si>
  <si>
    <t>888825872923</t>
  </si>
  <si>
    <t>Material Girl Juniors Embellished Faux-Sued Dream Blue XS</t>
  </si>
  <si>
    <t>10319MG</t>
  </si>
  <si>
    <t>889775069579</t>
  </si>
  <si>
    <t>American Rag Colored Wash Super-Skinny Jean Olive 0</t>
  </si>
  <si>
    <t>887043645579</t>
  </si>
  <si>
    <t>Celebrity Pink Trendy Plus Size Skinny Jeans Dusky Green 22W</t>
  </si>
  <si>
    <t>2011SLW5</t>
  </si>
  <si>
    <t>888825945191</t>
  </si>
  <si>
    <t>Material Girl Lace-Up Rib-Knit Bodysuit Zinfandel XXS</t>
  </si>
  <si>
    <t>887043681621</t>
  </si>
  <si>
    <t>Celebrity Pink Juniors Slimming Technology C Iron Gate 15</t>
  </si>
  <si>
    <t>V20649-1</t>
  </si>
  <si>
    <t>7 S</t>
  </si>
  <si>
    <t>619720907416</t>
  </si>
  <si>
    <t>Be Bop Juniors High-Waist Bootcut Tr Stone 5</t>
  </si>
  <si>
    <t>887043632852</t>
  </si>
  <si>
    <t>Celebrity Pink Juniors Super-Soft Skinny Jea Bystander 9</t>
  </si>
  <si>
    <t>840523199115</t>
  </si>
  <si>
    <t>Indigo Rein Juniors Light Blue Wash Cropp Light Blue 3</t>
  </si>
  <si>
    <t>637677168773</t>
  </si>
  <si>
    <t>Self Esteem Juniors Draped Open-Front Car NavyChambray Combo XS</t>
  </si>
  <si>
    <t>695532440532</t>
  </si>
  <si>
    <t>Ultra Flirt Juniors Space-Dyed Mitered-He TawnyBerry L</t>
  </si>
  <si>
    <t>889602094644</t>
  </si>
  <si>
    <t>Freshman Juniors Marled Colorblock Pul Blank CanvasWoodland Hike XL</t>
  </si>
  <si>
    <t>889602094194</t>
  </si>
  <si>
    <t>Freshman Juniors Marled Mixed-Knit Swe Berry Wine M</t>
  </si>
  <si>
    <t>H6F0121M</t>
  </si>
  <si>
    <t>705143698946</t>
  </si>
  <si>
    <t>Energie Juniors Molly V-Neck Textured Caviar XL</t>
  </si>
  <si>
    <t>841060124981</t>
  </si>
  <si>
    <t>Hippie Rose Juniors Long-Sleeve Asymmetri Olive Branch M</t>
  </si>
  <si>
    <t>H6F0111M</t>
  </si>
  <si>
    <t>841060125162</t>
  </si>
  <si>
    <t>Hippie Rose Juniors Dolman-Sleeve Graphic MoonstoneLight GreyBlack Sno XS</t>
  </si>
  <si>
    <t>645545938823</t>
  </si>
  <si>
    <t>Rebellious One Juniors Military Patches Reve Olive Fatigue S</t>
  </si>
  <si>
    <t>705143716985</t>
  </si>
  <si>
    <t>Energie Juniors Laser-Cut Sporty Tank June Bug XL</t>
  </si>
  <si>
    <t>HOT GAL/HOT SHOT HK LLC</t>
  </si>
  <si>
    <t>695532486370</t>
  </si>
  <si>
    <t>Ultra Flirt Juniors Space-Dyed Tie-Neck T Faded DenimBlack Spacedye M</t>
  </si>
  <si>
    <t>887069475310</t>
  </si>
  <si>
    <t>Pink Rose Juniors Ruched-Side Fine-Gaug Heather Beetroot S</t>
  </si>
  <si>
    <t>190371272462</t>
  </si>
  <si>
    <t>Bioworld Juniors DC Comics Superman Fr Heather Grey XL</t>
  </si>
  <si>
    <t>190371272424</t>
  </si>
  <si>
    <t>Bioworld Juniors DC Comics Superman Fr Heather Grey XS</t>
  </si>
  <si>
    <t>695532478160</t>
  </si>
  <si>
    <t>Ultra Flirt Juniors Rib-Knit Turtleneck T Olive S</t>
  </si>
  <si>
    <t>887866237913</t>
  </si>
  <si>
    <t>BCX Straight-Leg Trousers Navy 9</t>
  </si>
  <si>
    <t>190040251323</t>
  </si>
  <si>
    <t>Almost Famous Juniors Printed High-Low Tank BlackWhiteGrey M</t>
  </si>
  <si>
    <t>190371272325</t>
  </si>
  <si>
    <t>Bioworld Juniors DC Comics Batman Fren BlackHeather Grey XS</t>
  </si>
  <si>
    <t>841060118584</t>
  </si>
  <si>
    <t>Hippie Rose Juniors Striped Cowl-Neck Tun Light Heather GreyBlack Combo M</t>
  </si>
  <si>
    <t>190344361919</t>
  </si>
  <si>
    <t>Trolls by DreamWorks Juniors Trolls Heart Graphic Purple XS</t>
  </si>
  <si>
    <t>FMJB2111</t>
  </si>
  <si>
    <t>190121167819</t>
  </si>
  <si>
    <t>Mighty Fine Juniors Graphic Raglan T-Shir Grey M</t>
  </si>
  <si>
    <t>F2649IAV1-MACY</t>
  </si>
  <si>
    <t>887648644311</t>
  </si>
  <si>
    <t>Trolls by DreamWorks Juniors Trolls Graphic High-L WhiteCharcoal S</t>
  </si>
  <si>
    <t>TJSJ101-8K66</t>
  </si>
  <si>
    <t>M61106</t>
  </si>
  <si>
    <t>190344363036</t>
  </si>
  <si>
    <t>Trolls by DreamWorks Juniors Trolls Graphic Raglan WhiteBlue S</t>
  </si>
  <si>
    <t>190344411485</t>
  </si>
  <si>
    <t>Trolls by DreamWorks Juniors Trolls Lace-Up Graphi Black S</t>
  </si>
  <si>
    <t>RVSJL18-9J49</t>
  </si>
  <si>
    <t>645545929821</t>
  </si>
  <si>
    <t>Rebellious One Juniors Graphic Raglan T-Shir Heather Oatmeal L</t>
  </si>
  <si>
    <t>IA2056JX6314</t>
  </si>
  <si>
    <t>746194690343</t>
  </si>
  <si>
    <t>Rampage Juniors Drop-Shoulder Owl Gra Blue Tint Heather XS</t>
  </si>
  <si>
    <t>655998351704</t>
  </si>
  <si>
    <t>Material Girl Printed Lace Bandeau Bra Sugar Almond S</t>
  </si>
  <si>
    <t>645545882768</t>
  </si>
  <si>
    <t>Material Girl Juniors Low-Impact Racerback Heather Platinum XS</t>
  </si>
  <si>
    <t>887648690356</t>
  </si>
  <si>
    <t>Freeze 24-7 Juniors Pokemon Pikachu Grap Light Blue L</t>
  </si>
  <si>
    <t>MUSJ554-5562</t>
  </si>
  <si>
    <t>708008371060</t>
  </si>
  <si>
    <t>City Studios Juniors Crop Top Striped Sk BlackWhite 3</t>
  </si>
  <si>
    <t>889775097756</t>
  </si>
  <si>
    <t>American Rag Trendy Plus Size Lace-Sleeve J Classic Black 2X</t>
  </si>
  <si>
    <t>889775094083</t>
  </si>
  <si>
    <t>American Rag Off-The-Shoulder Pointelle Swe Chili Pepper XXL</t>
  </si>
  <si>
    <t>889775094090</t>
  </si>
  <si>
    <t>American Rag Off-The-Shoulder Pointelle Swe Egret XXS</t>
  </si>
  <si>
    <t>713701112414</t>
  </si>
  <si>
    <t>Material Girl Juniors 2-Pc. Lace-Trim Slip Zinfandel Combo M</t>
  </si>
  <si>
    <t>713701112339</t>
  </si>
  <si>
    <t>Material Girl Juniors 2-Pc. Lace-Trim Slip Black Combo S</t>
  </si>
  <si>
    <t>10372MG</t>
  </si>
  <si>
    <t>637865192269</t>
  </si>
  <si>
    <t>Calvin Klein Jeans Lace-Up Split-Neck T-Shirt Shell Pink M</t>
  </si>
  <si>
    <t>614015985971</t>
  </si>
  <si>
    <t>Rewash Juniors Ripped Dark Blue Wash Dark Blue 5</t>
  </si>
  <si>
    <t>889775090672</t>
  </si>
  <si>
    <t>889775093215</t>
  </si>
  <si>
    <t>American Rag Lace-Inset High-Low Peasant To Peach Whip S</t>
  </si>
  <si>
    <t>BLAC LACE TO KNIT SWEETHE</t>
  </si>
  <si>
    <t>JA26803FFF</t>
  </si>
  <si>
    <t>Say What Juniors Bomber Jacket Zinfandel M</t>
  </si>
  <si>
    <t>RUSTCOPPER</t>
  </si>
  <si>
    <t>645545915381</t>
  </si>
  <si>
    <t>645545931565</t>
  </si>
  <si>
    <t>GLITTER LOVE TANK</t>
  </si>
  <si>
    <t>M61108</t>
  </si>
  <si>
    <t>889775084114</t>
  </si>
  <si>
    <t>American Rag Printed Crochet-Trim Smocked-W Black Combo XL</t>
  </si>
  <si>
    <t>6FW01B</t>
  </si>
  <si>
    <t>BCX Juniors Ruched-Sleeve Open-Fr Black S</t>
  </si>
  <si>
    <t>889775085395</t>
  </si>
  <si>
    <t>American Rag Crocheted Peasant Top Off White S</t>
  </si>
  <si>
    <t>826409611933</t>
  </si>
  <si>
    <t>BCX Juniors Sheer Belted A-Line D Multi S</t>
  </si>
  <si>
    <t>1008V17</t>
  </si>
  <si>
    <t>674153662288</t>
  </si>
  <si>
    <t>645545933972</t>
  </si>
  <si>
    <t>Material Girl Juniors Graphic Mesh-Inset Sw Heather Charcoal XS</t>
  </si>
  <si>
    <t>645545934016</t>
  </si>
  <si>
    <t>Material Girl Juniors Graphic Mesh-Inset Sw Heather Charcoal XL</t>
  </si>
  <si>
    <t>J8722DE4</t>
  </si>
  <si>
    <t>695532475763</t>
  </si>
  <si>
    <t>Ultra Flirt Juniors Nope Patches Fine-Gau Black L</t>
  </si>
  <si>
    <t>6AC84MC</t>
  </si>
  <si>
    <t>841060124332</t>
  </si>
  <si>
    <t>Hippie Rose Juniors Long-Sleeve Coccoon C Mountain Blue M</t>
  </si>
  <si>
    <t>695532480910</t>
  </si>
  <si>
    <t>Ultra Flirt Juniors Cowl-Neck Waffle-Knit Black XS</t>
  </si>
  <si>
    <t>637677215828</t>
  </si>
  <si>
    <t>Belle Du Jour Juniors Raglan-Sleeve Friday Alloy Grey S</t>
  </si>
  <si>
    <t>637677210946</t>
  </si>
  <si>
    <t>Belle Du Jour Juniors Raglan-Sleeve Southwe Rose Wine S</t>
  </si>
  <si>
    <t>0XWJNSNT</t>
  </si>
  <si>
    <t>190344542684</t>
  </si>
  <si>
    <t>Disney Juniors Disney Moana Images L Pearl L</t>
  </si>
  <si>
    <t>190344542653</t>
  </si>
  <si>
    <t>Disney Juniors Disney Moana Images L Pearl XS</t>
  </si>
  <si>
    <t>645545929968</t>
  </si>
  <si>
    <t>Rebellious One Juniors Long-Sleeve High-Low Olive Fatigue M</t>
  </si>
  <si>
    <t>705143664484</t>
  </si>
  <si>
    <t>Energie Juniors Scoop-Neck Top Medieval Blue L</t>
  </si>
  <si>
    <t>MUSJ562-5562</t>
  </si>
  <si>
    <t>821942362359</t>
  </si>
  <si>
    <t>Planet Gold Juniors Spaghetti-Strap Tank Jalapeno Red XXS</t>
  </si>
  <si>
    <t>889775090726</t>
  </si>
  <si>
    <t>826410811148</t>
  </si>
  <si>
    <t>BCX Juniors Smocked Bell-Sleeve T Black XS</t>
  </si>
  <si>
    <t>768594155338</t>
  </si>
  <si>
    <t>884630086142</t>
  </si>
  <si>
    <t>Monteau Trendy Plus Size Cutout-Back T Black 2X</t>
  </si>
  <si>
    <t>889602128844</t>
  </si>
  <si>
    <t>Freshman Juniors Sleeveless Cowl-Neck Mittens L</t>
  </si>
  <si>
    <t>841060128101</t>
  </si>
  <si>
    <t>Hippie Rose Juniors Striped Sweater Bandana BlueIvory S</t>
  </si>
  <si>
    <t>706256576343</t>
  </si>
  <si>
    <t>695532487889</t>
  </si>
  <si>
    <t>Ultra Flirt Juniors Cowl-Neck Tunic Top CharcoalNatural Marl S</t>
  </si>
  <si>
    <t>887409061081</t>
  </si>
  <si>
    <t>LS LACEUP FRONT PLAID</t>
  </si>
  <si>
    <t>PK13708MC</t>
  </si>
  <si>
    <t>695532494870</t>
  </si>
  <si>
    <t>Ultra Flirt Juniors Contrast Asymmetrical Black S</t>
  </si>
  <si>
    <t>190371344435</t>
  </si>
  <si>
    <t>Bioworld Juniors Fantastic Beasts Grap Ivory S</t>
  </si>
  <si>
    <t>708008212165</t>
  </si>
  <si>
    <t>City Studios Juniors Embroidered Mermaid G WhiteNude 7</t>
  </si>
  <si>
    <t>3458QM3BTP</t>
  </si>
  <si>
    <t>637865015032</t>
  </si>
  <si>
    <t>Calvin Klein Jeans Skinny Patchwork Indigo Wash J Patchwork Indigo 31</t>
  </si>
  <si>
    <t>42YA780</t>
  </si>
  <si>
    <t>889775077840</t>
  </si>
  <si>
    <t>American Rag Plus Size Starling Wash Bootcu Starling Wash 18W</t>
  </si>
  <si>
    <t>791093320617</t>
  </si>
  <si>
    <t>In Awe of You by AwesomenessTV Juniors Tie-Neck Long-Sleeve Black XS</t>
  </si>
  <si>
    <t>SPJ346D1GIBM</t>
  </si>
  <si>
    <t>791093319727</t>
  </si>
  <si>
    <t>In Awe of You by AwesomenessTV Juniors Ruffled-Cuff Blazer Black L</t>
  </si>
  <si>
    <t>SPJ380J1GC6M</t>
  </si>
  <si>
    <t>791093319703</t>
  </si>
  <si>
    <t>In Awe of You by AwesomenessTV Juniors Ruffled-Cuff Blazer Black S</t>
  </si>
  <si>
    <t>708008355657</t>
  </si>
  <si>
    <t>City Studios Juniors 2-Pc. Floral-Lace Bod Champagne 3</t>
  </si>
  <si>
    <t>712683915358</t>
  </si>
  <si>
    <t>Calvin Klein Jeans Destructed Weekend Washed Blac Washed Black 27</t>
  </si>
  <si>
    <t>42VA788</t>
  </si>
  <si>
    <t>713701106581</t>
  </si>
  <si>
    <t>Material Girl Juniors Lace Bodycon Dress Zinfandel L</t>
  </si>
  <si>
    <t>889667098182</t>
  </si>
  <si>
    <t>ONeill Juniors Marisol Printed V-Bac Dark Beige M</t>
  </si>
  <si>
    <t>SU6404017</t>
  </si>
  <si>
    <t>791093319024</t>
  </si>
  <si>
    <t>In Awe of You by AwesomenessTV Juniors Sheer Bell-Sleeve Shi Multi M</t>
  </si>
  <si>
    <t>SPJ293D1W15M</t>
  </si>
  <si>
    <t>889775078700</t>
  </si>
  <si>
    <t>American Rag Colored Wash Super-Skinny Jean Zinfandel 1</t>
  </si>
  <si>
    <t>889775078816</t>
  </si>
  <si>
    <t>American Rag Colored Wash Super-Skinny Jean Zinfandel 5</t>
  </si>
  <si>
    <t>6BN91XZF.</t>
  </si>
  <si>
    <t>889775066141</t>
  </si>
  <si>
    <t>American Rag Black Wash Super-Skinny Jeans Black 15</t>
  </si>
  <si>
    <t>889775094786</t>
  </si>
  <si>
    <t>American Rag Juniors Ribbed Cold-Shoulder Zinfandel XXL</t>
  </si>
  <si>
    <t>889775030203</t>
  </si>
  <si>
    <t>American Rag Cropped Cuffed Colored Skinny Desert Sand 7</t>
  </si>
  <si>
    <t>6TN70DSN</t>
  </si>
  <si>
    <t>889351364869</t>
  </si>
  <si>
    <t>Roxy Juniors Island Joy Cold-Shoul White S</t>
  </si>
  <si>
    <t>ARJWT03121</t>
  </si>
  <si>
    <t>829092284880</t>
  </si>
  <si>
    <t>XOXO Juniors Grommet-Trim Sweater Red XL</t>
  </si>
  <si>
    <t>826409657290</t>
  </si>
  <si>
    <t>4055V9V</t>
  </si>
  <si>
    <t>822240159207</t>
  </si>
  <si>
    <t>BCX Juniors Crochet-Front Colorbl White L</t>
  </si>
  <si>
    <t>0092J2P</t>
  </si>
  <si>
    <t>826409657306</t>
  </si>
  <si>
    <t>BCX Juniors Ruched-Sleeve Open-Fr Black M</t>
  </si>
  <si>
    <t>759880906178</t>
  </si>
  <si>
    <t>American Rag Embroidered Faux-Suede Top Burnt Orange M</t>
  </si>
  <si>
    <t>829092222455</t>
  </si>
  <si>
    <t>XOXO Juniors Pull-On Slim-Leg Pant Black S</t>
  </si>
  <si>
    <t>8517MG</t>
  </si>
  <si>
    <t>888825945207</t>
  </si>
  <si>
    <t>Material Girl Lace-Up Rib-Knit Bodysuit Zinfandel XS</t>
  </si>
  <si>
    <t>829092247151</t>
  </si>
  <si>
    <t>XOXO Juniors Mock-Neck Grommet Top Gold XS</t>
  </si>
  <si>
    <t>746194690695</t>
  </si>
  <si>
    <t>Material Girl Active Juniors Embellished Jo Heather Charcoal XXL</t>
  </si>
  <si>
    <t>826409970825</t>
  </si>
  <si>
    <t>BCX Juniors Printed Split-Sleeve Patch Print XXS</t>
  </si>
  <si>
    <t>888825803231</t>
  </si>
  <si>
    <t>Tinseltown Juniors Denim Contrast Jacket Navy XS</t>
  </si>
  <si>
    <t>MYJ002935</t>
  </si>
  <si>
    <t>887043694003</t>
  </si>
  <si>
    <t>Celebrity Pink Juniors Paisley Metallic-Prin BlackPaisley Metallic Print 13</t>
  </si>
  <si>
    <t>888650119552</t>
  </si>
  <si>
    <t>Ariya Juniors Curvy Embellished Med Delano 5</t>
  </si>
  <si>
    <t>888650119347</t>
  </si>
  <si>
    <t>Ariya Juniors Embellished Slim Boot Grenada 13</t>
  </si>
  <si>
    <t>888650119330</t>
  </si>
  <si>
    <t>Ariya Juniors Embellished Slim Boot Grenada 11</t>
  </si>
  <si>
    <t>886680054584</t>
  </si>
  <si>
    <t>Tinseltown Juniors Metallic Skinny Jeans Gold 11</t>
  </si>
  <si>
    <t>791093319208</t>
  </si>
  <si>
    <t>In Awe of You by AwesomenessTV Juniors Sleeveless Lace-Yoke Black XS</t>
  </si>
  <si>
    <t>826409702839</t>
  </si>
  <si>
    <t>BCX Juniors Cutout Plaid Peplum T Black Plaid XL</t>
  </si>
  <si>
    <t>887840185827</t>
  </si>
  <si>
    <t>Emerald Sundae Juniors Knit Dress with Knot- NavyIvory XS</t>
  </si>
  <si>
    <t>826409526589</t>
  </si>
  <si>
    <t>BCX Juniors Slit-Sleeve Asymmetri White XS</t>
  </si>
  <si>
    <t>619720907218</t>
  </si>
  <si>
    <t>Be Bop Juniors High-Waist Bootcut Tr Black 9</t>
  </si>
  <si>
    <t>841907121197</t>
  </si>
  <si>
    <t>Indigo Rein Juniors Skinny Five-Pocket Co Fig 3</t>
  </si>
  <si>
    <t>619720907461</t>
  </si>
  <si>
    <t>Be Bop Juniors High-Waist Bootcut Tr Stone 15</t>
  </si>
  <si>
    <t>826409604959</t>
  </si>
  <si>
    <t>BCX Juniors Rib-Knit Sweater Dres Dark Gray M</t>
  </si>
  <si>
    <t>791093338346</t>
  </si>
  <si>
    <t>Trolls by DreamWorks Juniors Cold-Shoulder Graphic Black L</t>
  </si>
  <si>
    <t>645545933934</t>
  </si>
  <si>
    <t>Material Girl Juniors Cold-Shoulder Graphic White XL</t>
  </si>
  <si>
    <t>645545933842</t>
  </si>
  <si>
    <t>Material Girl Juniors Mesh-Inset Graphic Sw Black L</t>
  </si>
  <si>
    <t>645545933811</t>
  </si>
  <si>
    <t>Material Girl Juniors Mesh-Inset Graphic Sw Black XS</t>
  </si>
  <si>
    <t>840523199153</t>
  </si>
  <si>
    <t>Indigo Rein Juniors Light Blue Wash Cropp Light Blue 11</t>
  </si>
  <si>
    <t>826410943924</t>
  </si>
  <si>
    <t>BCX Juniors Cropped Bootcut Trous Black 13</t>
  </si>
  <si>
    <t>888825870585</t>
  </si>
  <si>
    <t>Tinseltown Juniors High-Waist Skinny Jea Moss Camo Printed 11</t>
  </si>
  <si>
    <t>888825791491</t>
  </si>
  <si>
    <t>Tinseltown Juniors High-Waist Skinny Jea Medium Wash 0</t>
  </si>
  <si>
    <t>MYB018891</t>
  </si>
  <si>
    <t>614015968257</t>
  </si>
  <si>
    <t>Rewash Juniors Pull-On Jeggings Black 15</t>
  </si>
  <si>
    <t>650868920332</t>
  </si>
  <si>
    <t>BCX Juniors Pull-On Skinny Pants Black XS</t>
  </si>
  <si>
    <t>889901118348</t>
  </si>
  <si>
    <t>Hooked Up by IOT Juniors Hooded Knee-Length Ca VinoFall Rainbow Space Dye Co XL</t>
  </si>
  <si>
    <t>826409542305</t>
  </si>
  <si>
    <t>BCX Juniors Split-Overlay Tie-Fro White M</t>
  </si>
  <si>
    <t>1008V64</t>
  </si>
  <si>
    <t>826410451092</t>
  </si>
  <si>
    <t>BCX Juniors Pleated A-Line Skirt Black 3</t>
  </si>
  <si>
    <t>0044W43</t>
  </si>
  <si>
    <t>889901118232</t>
  </si>
  <si>
    <t>Hooked Up by IOT Juniors Hooded Knee-Length Ca Dark GreyHeather Charcoal Spa L</t>
  </si>
  <si>
    <t>889602093845</t>
  </si>
  <si>
    <t>Freshman Juniors Ribbed Open-Front Car Berry Wine XS</t>
  </si>
  <si>
    <t>889602094323</t>
  </si>
  <si>
    <t>Freshman Juniors Ribbed Open-Front Car Jet BlackBlank Canvas XS</t>
  </si>
  <si>
    <t>5T52600MC</t>
  </si>
  <si>
    <t>886986120013</t>
  </si>
  <si>
    <t>American Rag Knotted High-Low Top Zinfandel XS</t>
  </si>
  <si>
    <t>A4M2490AR</t>
  </si>
  <si>
    <t>695532440488</t>
  </si>
  <si>
    <t>Ultra Flirt Juniors Space-Dyed Mitered-He BlackGrayIvory L</t>
  </si>
  <si>
    <t>889602101304</t>
  </si>
  <si>
    <t>Jessica Simpson Juniors Compression Tank Top Glowing Ember XS</t>
  </si>
  <si>
    <t>841060124158</t>
  </si>
  <si>
    <t>Hippie Rose Juniors Striped Heathered Sof Mountain Blue XL</t>
  </si>
  <si>
    <t>841060119475</t>
  </si>
  <si>
    <t>Hippie Rose Juniors Open-Front Side-Slit Olive Branch S</t>
  </si>
  <si>
    <t>706256235349</t>
  </si>
  <si>
    <t>Material Girl Contrast-Waist Yoga Pants Black XXS</t>
  </si>
  <si>
    <t>706256732381</t>
  </si>
  <si>
    <t>Material Girl Juniors Graphic Jogger Pants Black</t>
  </si>
  <si>
    <t>841060124356</t>
  </si>
  <si>
    <t>Hippie Rose Juniors Long-Sleeve Coccoon C Mountain Blue XL</t>
  </si>
  <si>
    <t>705143712611</t>
  </si>
  <si>
    <t>Energie Juniors Lulu Layered-Look Las BlackPrinted M</t>
  </si>
  <si>
    <t>705143712697</t>
  </si>
  <si>
    <t>Energie Juniors Lulu Layered-Look Las Berry XL</t>
  </si>
  <si>
    <t>705143717029</t>
  </si>
  <si>
    <t>Energie Juniors Laser-Cut Sporty Tank Black M</t>
  </si>
  <si>
    <t>889901063532</t>
  </si>
  <si>
    <t>Hooked Up by IOT Juniors Cowl-Neck Pullover Sw Spiritual Vanilla XL</t>
  </si>
  <si>
    <t>619720917019</t>
  </si>
  <si>
    <t>Be Bop Juniors Lace-Trim Velvet Top Black S</t>
  </si>
  <si>
    <t>705143698809</t>
  </si>
  <si>
    <t>Energie Juniors Willow Textured-Strip Caviar M</t>
  </si>
  <si>
    <t>887854013055</t>
  </si>
  <si>
    <t>Miss Chievous Juniors Embellished Pleated C Black L</t>
  </si>
  <si>
    <t>887854007344</t>
  </si>
  <si>
    <t>Miss Chievous Juniors Shine Asymmetrical-He Black M</t>
  </si>
  <si>
    <t>JC3194W372</t>
  </si>
  <si>
    <t>887854007337</t>
  </si>
  <si>
    <t>Miss Chievous Juniors Shine Asymmetrical-He Black S</t>
  </si>
  <si>
    <t>887854013062</t>
  </si>
  <si>
    <t>Miss Chievous Juniors Embellished Pleated C Black XL</t>
  </si>
  <si>
    <t>841060122062</t>
  </si>
  <si>
    <t>Hippie Rose Juniors Lace-Up Marled Knit T Olive Branch XS</t>
  </si>
  <si>
    <t>841060121232</t>
  </si>
  <si>
    <t>Hippie Rose Juniors Pullover Hoodie BlackIvory M</t>
  </si>
  <si>
    <t>887409043490</t>
  </si>
  <si>
    <t>Polly Esther Juniors Cropped Button-Front BlackWhite M</t>
  </si>
  <si>
    <t>PW13059MC</t>
  </si>
  <si>
    <t>695532443601</t>
  </si>
  <si>
    <t>Ultra Flirt Juniors Cocoon-Hem Cardigan Tawny Port M</t>
  </si>
  <si>
    <t>637677213237</t>
  </si>
  <si>
    <t>Belle Du Jour Juniors Lace-Trim Cage-Front Heather Grey M</t>
  </si>
  <si>
    <t>190040298427</t>
  </si>
  <si>
    <t>Almost Famous Juniors Lace-Trim Roll-Sleeve Ivory L</t>
  </si>
  <si>
    <t>190040298410</t>
  </si>
  <si>
    <t>Almost Famous Juniors Lace-Trim Roll-Sleeve Ivory M</t>
  </si>
  <si>
    <t>190040298403</t>
  </si>
  <si>
    <t>Almost Famous Juniors Lace-Trim Roll-Sleeve Ivory S</t>
  </si>
  <si>
    <t>637677482282</t>
  </si>
  <si>
    <t>Material Girl Juniors Contrast Flocked Text Chili Pepper Combo L</t>
  </si>
  <si>
    <t>841060117136</t>
  </si>
  <si>
    <t>Hippie Rose Juniors Lace-Trim High-Low Tu Black M</t>
  </si>
  <si>
    <t>841060118577</t>
  </si>
  <si>
    <t>Hippie Rose Juniors Striped Cowl-Neck Tun Light Heather GreyBlack Combo S</t>
  </si>
  <si>
    <t>695532480996</t>
  </si>
  <si>
    <t>Ultra Flirt Juniors Cowl-Neck Waffle-Knit Burgundy L</t>
  </si>
  <si>
    <t>841060117488</t>
  </si>
  <si>
    <t>Hippie Rose Juniors Buttons Lace High-L Heather Oatmeal M</t>
  </si>
  <si>
    <t>637677215859</t>
  </si>
  <si>
    <t>Belle Du Jour Juniors Raglan-Sleeve Friday Alloy Grey XL</t>
  </si>
  <si>
    <t>645545953758</t>
  </si>
  <si>
    <t>Material Girl Juniors Graphic Racerback Tan Bright White XL</t>
  </si>
  <si>
    <t>645545916081</t>
  </si>
  <si>
    <t>Material Girl Mesh-Back Graphic Tank Top Heather Platinum S</t>
  </si>
  <si>
    <t>645545916012</t>
  </si>
  <si>
    <t>Material Girl Mesh-Back Graphic Tank Top White M</t>
  </si>
  <si>
    <t>645545892910</t>
  </si>
  <si>
    <t>Material Girl Juniors Cutout-Back Burnout T Dipdie Fushia S</t>
  </si>
  <si>
    <t>887648644441</t>
  </si>
  <si>
    <t>Trolls by DreamWorks Juniors Trolls Graphic Raglan WhiteOlive M</t>
  </si>
  <si>
    <t>695532487254</t>
  </si>
  <si>
    <t>Ultra Flirt Juniors Scoop-Back Pullover T Peacoa Blue XS</t>
  </si>
  <si>
    <t>887648661622</t>
  </si>
  <si>
    <t>Freeze 24-7 Juniors Marvel Heroes Metalli WhiteBlack XL</t>
  </si>
  <si>
    <t>190121195812</t>
  </si>
  <si>
    <t>Mighty Fine Juniors Peanuts Mummy Graphic WhiteMaroon L</t>
  </si>
  <si>
    <t>F2672ARU1-MACY</t>
  </si>
  <si>
    <t>190344362978</t>
  </si>
  <si>
    <t>Trolls by DreamWorks Juniors Trolls Graphic Raglan Soft Pink XS</t>
  </si>
  <si>
    <t>889901106215</t>
  </si>
  <si>
    <t>Hooked Up by IOT Juniors Holiday Tree Beanie H Green Combo ONE SIZE</t>
  </si>
  <si>
    <t>J62212</t>
  </si>
  <si>
    <t>645545909946</t>
  </si>
  <si>
    <t>Rebellious One Juniors High-Low Graphic Tank Neon Pink L</t>
  </si>
  <si>
    <t>2047JX6459</t>
  </si>
  <si>
    <t>887069483544</t>
  </si>
  <si>
    <t>Pink Rose Juniors Lace-Front Short-Slee Ivory L</t>
  </si>
  <si>
    <t>PS626889</t>
  </si>
  <si>
    <t>887069483506</t>
  </si>
  <si>
    <t>Pink Rose Juniors Lace-Front Short-Slee Forest Olive XL</t>
  </si>
  <si>
    <t>821942425047</t>
  </si>
  <si>
    <t>Planet Gold Juniors Rib-Knit Cold-Shoulde Black M</t>
  </si>
  <si>
    <t>821942362304</t>
  </si>
  <si>
    <t>Planet Gold Juniors Spaghetti-Strap Tank Jalapeno Red M</t>
  </si>
  <si>
    <t>39373796340</t>
  </si>
  <si>
    <t>10</t>
  </si>
  <si>
    <t>637865093931</t>
  </si>
  <si>
    <t>759880964840</t>
  </si>
  <si>
    <t>Sequin Hearts Juniors Glitter Lace Crop Top Wine 7</t>
  </si>
  <si>
    <t>4031RY1P</t>
  </si>
  <si>
    <t>822982621062</t>
  </si>
  <si>
    <t>Jessica Simpson Arielle Embroidered Peasant Sh BlackWhite L</t>
  </si>
  <si>
    <t>889667472227</t>
  </si>
  <si>
    <t>889667472203</t>
  </si>
  <si>
    <t>652874810683</t>
  </si>
  <si>
    <t>Speechless Juniors Embellished Bodycon H Emerald Green 3</t>
  </si>
  <si>
    <t>889351485069</t>
  </si>
  <si>
    <t>632421523440</t>
  </si>
  <si>
    <t>Love Squared Trendy Plus Size Wide-Leg Jump Blackivory 1X</t>
  </si>
  <si>
    <t>INK764H3886</t>
  </si>
  <si>
    <t>708008371206</t>
  </si>
  <si>
    <t>City Studios Juniors Illusion Colorblock S Navywhite 15</t>
  </si>
  <si>
    <t>829092314310</t>
  </si>
  <si>
    <t>XOXO Juniors Embellished Peplum To Pink XS</t>
  </si>
  <si>
    <t>826410484748</t>
  </si>
  <si>
    <t>BCX Juniors Lace-Trim Off-The-Sho Black XL</t>
  </si>
  <si>
    <t>637865190807</t>
  </si>
  <si>
    <t>Calvin Klein Jeans Mixed-Media Sleeveless Top Black L</t>
  </si>
  <si>
    <t>42ZK215</t>
  </si>
  <si>
    <t>889351230201</t>
  </si>
  <si>
    <t>889631061686</t>
  </si>
  <si>
    <t>706256917825</t>
  </si>
  <si>
    <t>706256917849</t>
  </si>
  <si>
    <t>706256917979</t>
  </si>
  <si>
    <t>889775093413</t>
  </si>
  <si>
    <t>889775109503</t>
  </si>
  <si>
    <t>American Rag Crocheted Tie-Front Peasant To Canyon Rose S</t>
  </si>
  <si>
    <t>746194693528</t>
  </si>
  <si>
    <t>Material Girl Juniors Illusion Dot Bodysuit Egret XL</t>
  </si>
  <si>
    <t>889456078678</t>
  </si>
  <si>
    <t>Rampage Juniors Paint-Splattered Skin Harrison Wash 7</t>
  </si>
  <si>
    <t>889456078630</t>
  </si>
  <si>
    <t>Rampage Juniors Paint-Splattered Skin Harrison Wash 15</t>
  </si>
  <si>
    <t>889456082187</t>
  </si>
  <si>
    <t>784645228653</t>
  </si>
  <si>
    <t>REWIND Juniors Techno Tuck Cuffed Sk Blue 9</t>
  </si>
  <si>
    <t>887043730206</t>
  </si>
  <si>
    <t>Celebrity Pink Juniors Body Sculpt The Lifte Free Spirit 3</t>
  </si>
  <si>
    <t>826410703047</t>
  </si>
  <si>
    <t>BCX Button-Front Blouse Red S</t>
  </si>
  <si>
    <t>101422T</t>
  </si>
  <si>
    <t>887043507006</t>
  </si>
  <si>
    <t>Celebrity Pink Juniors Skinny Ankle Jeans Riviera Wash 1</t>
  </si>
  <si>
    <t>887863256764</t>
  </si>
  <si>
    <t>BCX Juniors Lace A-Line Skirt Black M</t>
  </si>
  <si>
    <t>0026D4K</t>
  </si>
  <si>
    <t>887043721907</t>
  </si>
  <si>
    <t>Celebrity Pink Juniors Skinny Jeans Vivid Blue 15</t>
  </si>
  <si>
    <t>887043721846</t>
  </si>
  <si>
    <t>Celebrity Pink Juniors Skinny Jeans Vivid Blue 3</t>
  </si>
  <si>
    <t>887043733795</t>
  </si>
  <si>
    <t>Celebrity Pink Juniors Skinny Jeans Spectra Yellow 5</t>
  </si>
  <si>
    <t>887043733788</t>
  </si>
  <si>
    <t>Celebrity Pink Juniors Skinny Jeans Spectra Yellow 3</t>
  </si>
  <si>
    <t>889602133954</t>
  </si>
  <si>
    <t>Jessica Simpson Juniors Open-Back Compression Jet Black L</t>
  </si>
  <si>
    <t>619720921184</t>
  </si>
  <si>
    <t>Be Bop Juniors Lucy Textured Shorts Black XL</t>
  </si>
  <si>
    <t>826410809459</t>
  </si>
  <si>
    <t>BCX Juniors Bell-Sleeve Blouse Off White M</t>
  </si>
  <si>
    <t>190040349785</t>
  </si>
  <si>
    <t>Almost Famous Juniors Patch-Trim Tunic Bomb Light Heather Grey M</t>
  </si>
  <si>
    <t>190040349938</t>
  </si>
  <si>
    <t>Almost Famous Juniors Colorblock Bomber Jac Light Heather Grey M</t>
  </si>
  <si>
    <t>SP6136MAC</t>
  </si>
  <si>
    <t>190040349563</t>
  </si>
  <si>
    <t>Almost Famous Juniors Patch Knit Bomber Jac Olive Combo L</t>
  </si>
  <si>
    <t>826422045142</t>
  </si>
  <si>
    <t>BCX Printed Handkerchief-Hem Tank NavyPapaya Multi M</t>
  </si>
  <si>
    <t>109024H</t>
  </si>
  <si>
    <t>637677242862</t>
  </si>
  <si>
    <t>Belle Du Jour Juniors Cardigan, T-Shirt and Heather Grey XL</t>
  </si>
  <si>
    <t>1DFJELUH</t>
  </si>
  <si>
    <t>637677236960</t>
  </si>
  <si>
    <t>Belle Du Jour Juniors Cardigan, T-Shirt and Dark Purple XL</t>
  </si>
  <si>
    <t>1DGENSXS</t>
  </si>
  <si>
    <t>637677242770</t>
  </si>
  <si>
    <t>Belle Du Jour Juniors Cardigan, T-Shirt and Black XS</t>
  </si>
  <si>
    <t>190040326090</t>
  </si>
  <si>
    <t>Almost Famous Juniors Dreamcatcher Sweater Black Combo XS</t>
  </si>
  <si>
    <t>RW2830MC</t>
  </si>
  <si>
    <t>841060127043</t>
  </si>
  <si>
    <t>Hippie Rose Juniors Zip-Front Velour Hood Tapestry Blue XS</t>
  </si>
  <si>
    <t>841060126848</t>
  </si>
  <si>
    <t>Hippie Rose Juniors Zip-Front Velour Hood Black XS</t>
  </si>
  <si>
    <t>706257071120</t>
  </si>
  <si>
    <t>Material Girl Juniors Crisscross Cropped Ac Flashmode XXS</t>
  </si>
  <si>
    <t>841060126664</t>
  </si>
  <si>
    <t>DRAFT - Hippie Rose Juniors V Pioneer OliveIvory L</t>
  </si>
  <si>
    <t>841060126633</t>
  </si>
  <si>
    <t>DRAFT - Hippie Rose Juniors V Pioneer OliveIvory XS</t>
  </si>
  <si>
    <t>841060126695</t>
  </si>
  <si>
    <t>DRAFT - Hippie Rose Juniors V Tapestry BlueIvory S</t>
  </si>
  <si>
    <t>190121171205</t>
  </si>
  <si>
    <t>Mighty Fine Juniors Disney Stitch Graphic Heather GreyNavy L</t>
  </si>
  <si>
    <t>F2658ICA1-MACY</t>
  </si>
  <si>
    <t>695532488091</t>
  </si>
  <si>
    <t>Ultra Flirt Juniors Cowl-Neck Tunic Top Olive Night Marl M</t>
  </si>
  <si>
    <t>190040271499</t>
  </si>
  <si>
    <t>PEASANT W LACE INSERT</t>
  </si>
  <si>
    <t>TT9980-3021-0009-CF</t>
  </si>
  <si>
    <t>841060126428</t>
  </si>
  <si>
    <t>DRAFT - Hippie Rose Juniors L Dixie Garnet XL</t>
  </si>
  <si>
    <t>190040373681</t>
  </si>
  <si>
    <t>Almost Famous Juniors Emoji Patch Hoodie Grey XS</t>
  </si>
  <si>
    <t>887854079365</t>
  </si>
  <si>
    <t>Miss Chievous Juniors Crochet-Trim Cold-Sho Port Royal XL</t>
  </si>
  <si>
    <t>841060127555</t>
  </si>
  <si>
    <t>Hippie Rose Juniors Striped-Sleeve Top Medium Heather Grey S</t>
  </si>
  <si>
    <t>887409060510</t>
  </si>
  <si>
    <t>Polly Esther Juniors Plaid Button-Front Sh BlueRed M</t>
  </si>
  <si>
    <t>887409060411</t>
  </si>
  <si>
    <t>Polly Esther Juniors Plaid Button-Front Sh BlackBurgundy M</t>
  </si>
  <si>
    <t>889602138133</t>
  </si>
  <si>
    <t>Jessica Simpson Juniors Graphic Tank Top Flutter Pink XL</t>
  </si>
  <si>
    <t>889602143618</t>
  </si>
  <si>
    <t>Freshman Juniors Cloud Chaser Rib-Knit Jet Black XL</t>
  </si>
  <si>
    <t>190121222044</t>
  </si>
  <si>
    <t>Mighty Fine Juniors Disney The Lion King LinenLight Blue L</t>
  </si>
  <si>
    <t>706254964005</t>
  </si>
  <si>
    <t>NOIR NOIR W/ LACE SHORT</t>
  </si>
  <si>
    <t>M6313NR212</t>
  </si>
  <si>
    <t>645545932784</t>
  </si>
  <si>
    <t>Material Girl Juniors Graphic Tank Top Bright White M</t>
  </si>
  <si>
    <t>716068580926</t>
  </si>
  <si>
    <t>2-Kuhl Juniors High-Low Friends Grap White M</t>
  </si>
  <si>
    <t>695532495075</t>
  </si>
  <si>
    <t>Ultra Flirt Juniors Contrast Asymmetrical WhiteHeather Grey S</t>
  </si>
  <si>
    <t>695532494955</t>
  </si>
  <si>
    <t>Ultra Flirt Juniors Contrast Asymmetrical Olive Night XL</t>
  </si>
  <si>
    <t>190371327469</t>
  </si>
  <si>
    <t>Bioworld Juniors Wonder Woman Graphic White S</t>
  </si>
  <si>
    <t>RG4RY0DCO</t>
  </si>
  <si>
    <t>695532495136</t>
  </si>
  <si>
    <t>Ultra Flirt Juniors Contrast Asymmetrical Wine Tasting M</t>
  </si>
  <si>
    <t>190344631296</t>
  </si>
  <si>
    <t>Disney Juniors Disney Minnie Mouse L Ivory M</t>
  </si>
  <si>
    <t>JS3012JDY4970</t>
  </si>
  <si>
    <t>645545959903</t>
  </si>
  <si>
    <t>6HT03B</t>
  </si>
  <si>
    <t>829092229027</t>
  </si>
  <si>
    <t>XOXO Juniors Textured Zip-Pocket B Multi M</t>
  </si>
  <si>
    <t>5471AJ3</t>
  </si>
  <si>
    <t>706256894676</t>
  </si>
  <si>
    <t>Material Girl Active Juniors Metallic Zip H Rose Gold XS</t>
  </si>
  <si>
    <t>1034X76</t>
  </si>
  <si>
    <t>695532460165</t>
  </si>
  <si>
    <t>Ultra Flirt Juniors Plaid Raglan-Sleeve L BlackWine M</t>
  </si>
  <si>
    <t>ESN1420001</t>
  </si>
  <si>
    <t>822982636967</t>
  </si>
  <si>
    <t>Jessica Simpson Hyne Bell-Sleeve Sweater White XL</t>
  </si>
  <si>
    <t>637677236953</t>
  </si>
  <si>
    <t>Belle Du Jour Juniors Cardigan, T-Shirt and Dark Purple L</t>
  </si>
  <si>
    <t>841060127111</t>
  </si>
  <si>
    <t>Hippie Rose Juniors Velour Flare-Leg Pant Black M</t>
  </si>
  <si>
    <t>637677212384</t>
  </si>
  <si>
    <t>Belle Du Jour Juniors Celestial Metallic Gr Black S</t>
  </si>
  <si>
    <t>645545973770</t>
  </si>
  <si>
    <t>637865189665</t>
  </si>
  <si>
    <t>Calvin Klein Jeans Studded Denim Shift Dress Trix S</t>
  </si>
  <si>
    <t>637865105238</t>
  </si>
  <si>
    <t>Calvin Klein Jeans Coated Button-Front Denim Skir Black on Black 6</t>
  </si>
  <si>
    <t>42YT793</t>
  </si>
  <si>
    <t>791093328002</t>
  </si>
  <si>
    <t>In Awe of You by AwesomenessTV Juniors Satin Colorblocked Bo Blackruby M</t>
  </si>
  <si>
    <t>SPJ285J1GINM</t>
  </si>
  <si>
    <t>791093327982</t>
  </si>
  <si>
    <t>In Awe of You by AwesomenessTV Juniors Satin Colorblocked Bo Blackruby XS</t>
  </si>
  <si>
    <t>791093327999</t>
  </si>
  <si>
    <t>In Awe of You by AwesomenessTV Juniors Satin Colorblocked Bo Blackruby S</t>
  </si>
  <si>
    <t>791093328019</t>
  </si>
  <si>
    <t>In Awe of You by AwesomenessTV Juniors Satin Colorblocked Bo Blackruby L</t>
  </si>
  <si>
    <t>42VA799</t>
  </si>
  <si>
    <t>886542631366</t>
  </si>
  <si>
    <t>B Darlin Juniors Illusion Ponte-Knit B Black 1516</t>
  </si>
  <si>
    <t>D4REF901H</t>
  </si>
  <si>
    <t>SPJ288D1W14M</t>
  </si>
  <si>
    <t>637865223451</t>
  </si>
  <si>
    <t>Calvin Klein Jeans Elbow-Sleeve Sequined Top Spanish Vanilla L</t>
  </si>
  <si>
    <t>42ZK264</t>
  </si>
  <si>
    <t>791093320235</t>
  </si>
  <si>
    <t>In Awe of You by AwesomenessTV TV Juniors Pinstriped Culotte Multi XS</t>
  </si>
  <si>
    <t>SPJ274B1W1ZM</t>
  </si>
  <si>
    <t>791093320266</t>
  </si>
  <si>
    <t>In Awe of You by AwesomenessTV TV Juniors Pinstriped Culotte Multi L</t>
  </si>
  <si>
    <t>791093320242</t>
  </si>
  <si>
    <t>In Awe of You by AwesomenessTV TV Juniors Pinstriped Culotte Multi S</t>
  </si>
  <si>
    <t>637865223444</t>
  </si>
  <si>
    <t>Calvin Klein Jeans Elbow-Sleeve Sequined Top Spanish Vanilla M</t>
  </si>
  <si>
    <t>791093320259</t>
  </si>
  <si>
    <t>In Awe of You by AwesomenessTV TV Juniors Pinstriped Culotte Multi M</t>
  </si>
  <si>
    <t>6BX01E</t>
  </si>
  <si>
    <t>74733AOMC</t>
  </si>
  <si>
    <t>888825930401</t>
  </si>
  <si>
    <t>Material Girl Juniors High-Low Plaid Blouse Black XS</t>
  </si>
  <si>
    <t>791093318713</t>
  </si>
  <si>
    <t>In Awe of You by AwesomenessTV Juniors Sleeveless A-Line Dre Black S</t>
  </si>
  <si>
    <t>SPJ342D1GI3M</t>
  </si>
  <si>
    <t>60049MG</t>
  </si>
  <si>
    <t>791093318515</t>
  </si>
  <si>
    <t>In Awe of You by AwesomenessTV Juniors Printed Pleated A-Lin Multi S</t>
  </si>
  <si>
    <t>SPJ266B1W16M</t>
  </si>
  <si>
    <t>791093318539</t>
  </si>
  <si>
    <t>In Awe of You by AwesomenessTV Juniors Printed Pleated A-Lin Multi L</t>
  </si>
  <si>
    <t>I366379T9</t>
  </si>
  <si>
    <t>American Rag Floral-Print Peasant Top Classic Black S</t>
  </si>
  <si>
    <t>887840191682</t>
  </si>
  <si>
    <t>Emerald Sundae Juniors Mock-Neck Colorblock OliveBlack XS</t>
  </si>
  <si>
    <t>791093319857</t>
  </si>
  <si>
    <t>In Awe of You by AwesomenessTV Juniors Tie-Neck High-Low Shi White M</t>
  </si>
  <si>
    <t>SPJ290T1GFVM</t>
  </si>
  <si>
    <t>1045T2A</t>
  </si>
  <si>
    <t>791093319659</t>
  </si>
  <si>
    <t>In Awe of You by AwesomenessTV Juniors Pinstriped Strapless Multi S</t>
  </si>
  <si>
    <t>3K31425MC</t>
  </si>
  <si>
    <t>F2625EDT7-MACY</t>
  </si>
  <si>
    <t>695532440167</t>
  </si>
  <si>
    <t>Ultra Flirt Juniors Striped Mitered-Hem T WineBlue S</t>
  </si>
  <si>
    <t>889602094620</t>
  </si>
  <si>
    <t>Freshman Juniors Marled Colorblock Pul Blank CanvasWoodland Hike M</t>
  </si>
  <si>
    <t>J7648MFEW</t>
  </si>
  <si>
    <t>841060124530</t>
  </si>
  <si>
    <t>Hippie Rose Juniors Crochet-Contrast Pull Moonstone M</t>
  </si>
  <si>
    <t>841060121973</t>
  </si>
  <si>
    <t>Hippie Rose Juniors Lace-Up Marled Knit T Black S</t>
  </si>
  <si>
    <t>841060121249</t>
  </si>
  <si>
    <t>Hippie Rose Juniors Pullover Hoodie BlackIvory L</t>
  </si>
  <si>
    <t>M6808NR212</t>
  </si>
  <si>
    <t>M6805BW212</t>
  </si>
  <si>
    <t>645545893658</t>
  </si>
  <si>
    <t>Material Girl Juniors Contrast Mesh-Back Gr Bright White L</t>
  </si>
  <si>
    <t>PK13612MC</t>
  </si>
  <si>
    <t>190344362923</t>
  </si>
  <si>
    <t>Trolls by DreamWorks Juniors Trolls Graphic-Patch Dark Heather Grey XS</t>
  </si>
  <si>
    <t>JL2853JTRL0125</t>
  </si>
  <si>
    <t>J2015JTRL0089</t>
  </si>
  <si>
    <t>0VXYELKS</t>
  </si>
  <si>
    <t>746194690329</t>
  </si>
  <si>
    <t>Rampage Juniors Drop-Shoulder Owl Gra Blue Tint Heather M</t>
  </si>
  <si>
    <t>693401659894</t>
  </si>
  <si>
    <t>2-Kuhl Juniors High-Low Graphic T-Sh White M</t>
  </si>
  <si>
    <t>QE1048YK1743</t>
  </si>
  <si>
    <t>M6232BW212</t>
  </si>
  <si>
    <t>190344072037</t>
  </si>
  <si>
    <t>Hybrid Juniors Pokemon Pikachu Grap Black XS</t>
  </si>
  <si>
    <t>705143664378</t>
  </si>
  <si>
    <t>Energie Juniors Scoop-Neck Top Light Heather Grey M</t>
  </si>
  <si>
    <t>705143664385</t>
  </si>
  <si>
    <t>Energie Juniors Scoop-Neck Top Light Heather Grey S</t>
  </si>
  <si>
    <t>887648690134</t>
  </si>
  <si>
    <t>Freeze 24-7 Juniors Pokemon Graphic T-Sh Navy S</t>
  </si>
  <si>
    <t>887648690349</t>
  </si>
  <si>
    <t>Freeze 24-7 Juniors Pokemon Pikachu Grap Light Blue M</t>
  </si>
  <si>
    <t>637865223819</t>
  </si>
  <si>
    <t>Calvin Klein Jeans Lace-Trim Long-Sleeve Top Napa Rose XL</t>
  </si>
  <si>
    <t>637865190531</t>
  </si>
  <si>
    <t>Calvin Klein Jeans Embellished Scoop-Neck T-Shirt Stream XL</t>
  </si>
  <si>
    <t>637865194447</t>
  </si>
  <si>
    <t>826422002930</t>
  </si>
  <si>
    <t>BCX Juniors Cropped Wide-Leg Soft Off White XS</t>
  </si>
  <si>
    <t>826422002978</t>
  </si>
  <si>
    <t>BCX Juniors Cropped Wide-Leg Soft Off White XL</t>
  </si>
  <si>
    <t>744199494805</t>
  </si>
  <si>
    <t>Dollhouse Juniors Ripped Colored Wash C Powder Blue 3</t>
  </si>
  <si>
    <t>10357MG</t>
  </si>
  <si>
    <t>841413125238</t>
  </si>
  <si>
    <t>OhMG Juniors Star Sequin Embroider Black S</t>
  </si>
  <si>
    <t>695532480781</t>
  </si>
  <si>
    <t>Ultra Flirt Juniors Sleeveless Mock-Neck Gardenia M</t>
  </si>
  <si>
    <t>705143698885</t>
  </si>
  <si>
    <t>Energie Juniors Molly V-Neck Textured Boysenberry XL</t>
  </si>
  <si>
    <t>887648644434</t>
  </si>
  <si>
    <t>Trolls by DreamWorks Juniors Trolls Graphic Raglan WhiteOlive S</t>
  </si>
  <si>
    <t>637865189474</t>
  </si>
  <si>
    <t>Calvin Klein Jeans Denim Belted Shirt Dress Emily Mid Rinse L</t>
  </si>
  <si>
    <t>637865189467</t>
  </si>
  <si>
    <t>Calvin Klein Jeans Denim Belted Shirt Dress Emily Mid Rinse M</t>
  </si>
  <si>
    <t>708008363720</t>
  </si>
  <si>
    <t>City Studios Juniors Scallop-Trim Lace Bod NudeBlack 3</t>
  </si>
  <si>
    <t>708008376836</t>
  </si>
  <si>
    <t>City Studios Juniors Off-The-Shoulder Stri BlackWhite 9</t>
  </si>
  <si>
    <t>887840220214</t>
  </si>
  <si>
    <t>Emerald Sundae Juniors Shine Sweetheart Body Royal Blue M</t>
  </si>
  <si>
    <t>D67072CA27</t>
  </si>
  <si>
    <t>889631050390</t>
  </si>
  <si>
    <t>Crystal Doll Juniors Floral-Print High-Low Pink Floral M</t>
  </si>
  <si>
    <t>103646J</t>
  </si>
  <si>
    <t>637677212391</t>
  </si>
  <si>
    <t>Belle Du Jour Juniors Celestial Metallic Gr Black M</t>
  </si>
  <si>
    <t>686812525629</t>
  </si>
  <si>
    <t>American Rag Knit-Trim Hooded Anorak Jacket Sage XXL</t>
  </si>
  <si>
    <t>829092212340</t>
  </si>
  <si>
    <t>XOXO Juniors Culotte Jumpsuit Ivory S</t>
  </si>
  <si>
    <t>9657ANT3</t>
  </si>
  <si>
    <t>829092256863</t>
  </si>
  <si>
    <t>XOXO Juniors Embellished Blazer Hunter L</t>
  </si>
  <si>
    <t>791093296332</t>
  </si>
  <si>
    <t>In Awe of You by AwesomenessTV Juniors Ruffle-Neck Cutout Fi Marshmallow XS</t>
  </si>
  <si>
    <t>SPJ145D1GC6M</t>
  </si>
  <si>
    <t>889775076096</t>
  </si>
  <si>
    <t>American Rag Lace-Up Floral-Print Romper Black Combo XS</t>
  </si>
  <si>
    <t>6BN03D</t>
  </si>
  <si>
    <t>713701027596</t>
  </si>
  <si>
    <t>American Rag Lace-Panel Belted Dress Pale Mauve S</t>
  </si>
  <si>
    <t>W33149PMV</t>
  </si>
  <si>
    <t>886680035279</t>
  </si>
  <si>
    <t>Material Girl Juniors Mesh-Sleeve Moto Jack Zinfandel S</t>
  </si>
  <si>
    <t>889775098067</t>
  </si>
  <si>
    <t>American Rag Trendy Plus Size Floral-Print Oatmeal Combo 1X</t>
  </si>
  <si>
    <t>886680015172</t>
  </si>
  <si>
    <t>Material Girl Juniors Flocked Mesh-Inset Fi Chili Pepper Combo S</t>
  </si>
  <si>
    <t>882486807966</t>
  </si>
  <si>
    <t>XOXO Junions Cap-Sleeve Peplum She White 12</t>
  </si>
  <si>
    <t>829092190860</t>
  </si>
  <si>
    <t>XOXO Juniors Button-Detail Wide-Le Ivory 78</t>
  </si>
  <si>
    <t>708008287477</t>
  </si>
  <si>
    <t>City Studios Juniors Textured Faux-Tiered Navy 13</t>
  </si>
  <si>
    <t>889775084350</t>
  </si>
  <si>
    <t>American Rag Printed Pintucked Blouse Floral Print XS</t>
  </si>
  <si>
    <t>889237844201</t>
  </si>
  <si>
    <t>As U Wish Juniors Velvet Burnout Slip D Black S</t>
  </si>
  <si>
    <t>822982607387</t>
  </si>
  <si>
    <t>Jessica Simpson Adora Crocheted-Trim Top Black M</t>
  </si>
  <si>
    <t>822982607547</t>
  </si>
  <si>
    <t>Jessica Simpson Adora Crocheted-Trim Top Italian Plum XL</t>
  </si>
  <si>
    <t>889387987698</t>
  </si>
  <si>
    <t>Trixxi Juniors Lace-Yoke Shift Dress Navy XXS</t>
  </si>
  <si>
    <t>26M2620J2I</t>
  </si>
  <si>
    <t>713701112568</t>
  </si>
  <si>
    <t>Material Girl Juniors Lace-Detail Pencil Sk Black Combo L</t>
  </si>
  <si>
    <t>713701095779</t>
  </si>
  <si>
    <t>American Rag Printed Waffle-Knit Lace-Trim Zinfandel Combo L</t>
  </si>
  <si>
    <t>888825936458</t>
  </si>
  <si>
    <t>Material Girl Lace-Trim Cold-Shoulder Plaid Black M</t>
  </si>
  <si>
    <t>60051MG</t>
  </si>
  <si>
    <t>887866237821</t>
  </si>
  <si>
    <t>BCX Cuffed Boyfriend Blazer Navy M</t>
  </si>
  <si>
    <t>4068Y4M</t>
  </si>
  <si>
    <t>889775090771</t>
  </si>
  <si>
    <t>American Rag Ponte Zipper Leggings Charcoal L</t>
  </si>
  <si>
    <t>888825754717</t>
  </si>
  <si>
    <t>Material Girl Juniors Printed Cutout Peplum Egret Combo S</t>
  </si>
  <si>
    <t>887043501219</t>
  </si>
  <si>
    <t>Celebrity Pink Juniors Medium Wash Skinny Je Tuscany 13</t>
  </si>
  <si>
    <t>CJ21046SS</t>
  </si>
  <si>
    <t>887043645432</t>
  </si>
  <si>
    <t>Celebrity Pink Trendy Plus Size Colored Wash Botanical Garden 18W</t>
  </si>
  <si>
    <t>889456079262</t>
  </si>
  <si>
    <t>Rampage Juniors Nikki Medium Wash Sup Gary Wash 15</t>
  </si>
  <si>
    <t>888825304011</t>
  </si>
  <si>
    <t>Tinseltown Juniors High-Waist Skinny Jea Blue 9</t>
  </si>
  <si>
    <t>MYB015138</t>
  </si>
  <si>
    <t>822240808518</t>
  </si>
  <si>
    <t>BCX Juniors Printed Tiered Tank T Citron L</t>
  </si>
  <si>
    <t>1096F20</t>
  </si>
  <si>
    <t>713701108592</t>
  </si>
  <si>
    <t>American Rag Juniors Lace Contrast Henley Egret XS</t>
  </si>
  <si>
    <t>713701108578</t>
  </si>
  <si>
    <t>American Rag Juniors Lace Contrast Henley Zinfandel XXL</t>
  </si>
  <si>
    <t>713701108493</t>
  </si>
  <si>
    <t>American Rag Juniors Lace Contrast Henley Dusty Olive XL</t>
  </si>
  <si>
    <t>841907122750</t>
  </si>
  <si>
    <t>Indigo Rein Juniors Reverse-Selvedge Dark Medium Blue 11</t>
  </si>
  <si>
    <t>826409585029</t>
  </si>
  <si>
    <t>BCX Juniors Faux-Leather-Pocket C Taupe XL</t>
  </si>
  <si>
    <t>826410123869</t>
  </si>
  <si>
    <t>BCX Juniors Lace-Trim Tie-Front B White L</t>
  </si>
  <si>
    <t>826409939525</t>
  </si>
  <si>
    <t>BCX Juniors Printed Cold-Shoulder Zig Zag Multi S</t>
  </si>
  <si>
    <t>1006T2X</t>
  </si>
  <si>
    <t>887043417831</t>
  </si>
  <si>
    <t>Celebrity Pink Juniors Super-Soft Skinny Jea Never Say Never 11</t>
  </si>
  <si>
    <t>791093338322</t>
  </si>
  <si>
    <t>Trolls by DreamWorks Juniors Cold-Shoulder Graphic Black S</t>
  </si>
  <si>
    <t>888825991877</t>
  </si>
  <si>
    <t>Tinseltown Juniors Moto Burgundy Wash Sk Grey Plaid 1</t>
  </si>
  <si>
    <t>826410480641</t>
  </si>
  <si>
    <t>BCX Juniors Cold-Shoulder Necklac Black L</t>
  </si>
  <si>
    <t>826410411928</t>
  </si>
  <si>
    <t>BCX Juniors Embellished Asymmetri Champagne XXS</t>
  </si>
  <si>
    <t>1005Y79</t>
  </si>
  <si>
    <t>637677168766</t>
  </si>
  <si>
    <t>Self Esteem Juniors Draped Open-Front Car Chili Pepper Combo XL</t>
  </si>
  <si>
    <t>614015986060</t>
  </si>
  <si>
    <t>Rewash Juniors Printed Smocked-Waist Blue Floral XS</t>
  </si>
  <si>
    <t>614015968240</t>
  </si>
  <si>
    <t>Rewash Juniors Pull-On Jeggings Black 13</t>
  </si>
  <si>
    <t>889775072630</t>
  </si>
  <si>
    <t>American Rag Striped Lace-Trim Top Zinfandel XL</t>
  </si>
  <si>
    <t>889602111525</t>
  </si>
  <si>
    <t>Jessica Simpson Foil-Printed Half-Zip Hoodie Light Heather Grey XS</t>
  </si>
  <si>
    <t>746194691456</t>
  </si>
  <si>
    <t>Material Girl Juniors Cap-Sleeve Bodysuit Zinfandel M</t>
  </si>
  <si>
    <t>889602104923</t>
  </si>
  <si>
    <t>Jessica Simpson Printed T-Strap Sports Bra Cozy Night S</t>
  </si>
  <si>
    <t>695532480835</t>
  </si>
  <si>
    <t>Ultra Flirt Juniors Sleeveless Mock-Neck Olive M</t>
  </si>
  <si>
    <t>841413124811</t>
  </si>
  <si>
    <t>OhMG Juniors Love Sequin Marled Sw Charcoal Grey L</t>
  </si>
  <si>
    <t>887648645356</t>
  </si>
  <si>
    <t>Freeze 24-7 Juniors Mickey Mouse Patch Gr Red M</t>
  </si>
  <si>
    <t>705143716909</t>
  </si>
  <si>
    <t>Energie Juniors Poppy Cropped Pull-On Heather Grey M</t>
  </si>
  <si>
    <t>706256923734</t>
  </si>
  <si>
    <t>Material Girl Active Juniors Lace-Waist Yog Fuschia M</t>
  </si>
  <si>
    <t>887069474894</t>
  </si>
  <si>
    <t>Pink Rose Juniors Striped Rib-Knit Fine Bandana BlueBrandy WineMusta XL</t>
  </si>
  <si>
    <t>887069474887</t>
  </si>
  <si>
    <t>Pink Rose Juniors Striped Rib-Knit Fine Bandana BlueBrandy WineMusta L</t>
  </si>
  <si>
    <t>632421496638</t>
  </si>
  <si>
    <t>Love Squared Plus Size Asymmetrical Faux-Wr Black 2X</t>
  </si>
  <si>
    <t>841060125100</t>
  </si>
  <si>
    <t>Hippie Rose Juniors Dolman-Sleeve Graphic Medium Heather Grey XL</t>
  </si>
  <si>
    <t>655998466187</t>
  </si>
  <si>
    <t>Material Girl Juniors Sports Bra, Only at M Space Dye XS</t>
  </si>
  <si>
    <t>M6330MS</t>
  </si>
  <si>
    <t>190371272387</t>
  </si>
  <si>
    <t>Bioworld Juniors Harry Potter Hogwarts Heather Grey S</t>
  </si>
  <si>
    <t>645545946231</t>
  </si>
  <si>
    <t>Rebellious One Juniors Asymmetrical-Hem Pock Malbec S</t>
  </si>
  <si>
    <t>645545934788</t>
  </si>
  <si>
    <t>Material Girl Juniors Strappy Graphic Tank Black S</t>
  </si>
  <si>
    <t>695532486950</t>
  </si>
  <si>
    <t>Ultra Flirt Juniors Waffle-Knit Stripe-Sl GardeniaHeather Peacoat XS</t>
  </si>
  <si>
    <t>695532487285</t>
  </si>
  <si>
    <t>Ultra Flirt Juniors Scoop-Back Pullover T Peacoa Blue L</t>
  </si>
  <si>
    <t>695532487261</t>
  </si>
  <si>
    <t>Ultra Flirt Juniors Scoop-Back Pullover T Peacoa Blue S</t>
  </si>
  <si>
    <t>190344267037</t>
  </si>
  <si>
    <t>Hybrid Juniors Graphic Raglan T-Shir WhiteNavy XL</t>
  </si>
  <si>
    <t>821942424545</t>
  </si>
  <si>
    <t>Planet Gold Juniors Cold-Shoulder Shift D Evening Blue S</t>
  </si>
  <si>
    <t>693401668155</t>
  </si>
  <si>
    <t>2-Kuhl Juniors Cuffed-Sleeve Sunset Light Grey XL</t>
  </si>
  <si>
    <t>645545935020</t>
  </si>
  <si>
    <t>Material Girl Juniors Printed Low-Impact Sp Multi Space Dye S</t>
  </si>
  <si>
    <t>M61222</t>
  </si>
  <si>
    <t>190371313325</t>
  </si>
  <si>
    <t>Bioworld Juniors Fantastic Beasts MACU Black M</t>
  </si>
  <si>
    <t>190371313479</t>
  </si>
  <si>
    <t>Bioworld Fantastic Beasts Juniors Newt White M</t>
  </si>
  <si>
    <t>705143602745</t>
  </si>
  <si>
    <t>Energie Juniors Scoop-Neck Top Antique White S</t>
  </si>
  <si>
    <t>821942425214</t>
  </si>
  <si>
    <t>Planet Gold Juniors Rib-Knit Cold-Shoulde Navy XL</t>
  </si>
  <si>
    <t>821942425146</t>
  </si>
  <si>
    <t>Planet Gold Juniors Rib-Knit Cold-Shoulde Egret M</t>
  </si>
  <si>
    <t>821942334677</t>
  </si>
  <si>
    <t>Planet Gold Juniors Sleeveless Racerback Emerald Stone XL</t>
  </si>
  <si>
    <t>821942362311</t>
  </si>
  <si>
    <t>Planet Gold Juniors Spaghetti-Strap Tank Jalapeno Red S</t>
  </si>
  <si>
    <t>821942334684</t>
  </si>
  <si>
    <t>Planet Gold Juniors Sleeveless Racerback Emerald Stone XS</t>
  </si>
  <si>
    <t>821942334653</t>
  </si>
  <si>
    <t>Planet Gold Juniors Sleeveless Racerback Emerald Stone M</t>
  </si>
  <si>
    <t>821942334660</t>
  </si>
  <si>
    <t>Planet Gold Juniors Sleeveless Racerback Emerald Stone S</t>
  </si>
  <si>
    <t>821942334646</t>
  </si>
  <si>
    <t>Planet Gold Juniors Sleeveless Racerback Emerald Stone L</t>
  </si>
  <si>
    <t>637865189481</t>
  </si>
  <si>
    <t>Calvin Klein Jeans Denim Belted Shirt Dress Emily Mid Rinse XL</t>
  </si>
  <si>
    <t>637865169209</t>
  </si>
  <si>
    <t>Calvin Klein Jeans Cement Wash Ankle Skinny Jeans Cement Wash 28</t>
  </si>
  <si>
    <t>708008367926</t>
  </si>
  <si>
    <t>City Studios Juniors Sequin Lace Party Dre Gold 7</t>
  </si>
  <si>
    <t>713701109933</t>
  </si>
  <si>
    <t>American Rag Off-The-Shoulder Floral Fit Floral Combo S</t>
  </si>
  <si>
    <t>34004AR</t>
  </si>
  <si>
    <t>889775094045</t>
  </si>
  <si>
    <t>American Rag Off-The-Shoulder Pointelle Swe Chili Pepper S</t>
  </si>
  <si>
    <t>887840190074</t>
  </si>
  <si>
    <t>Emerald Sundae Juniors Glitter Lace Off-the- Black XXS</t>
  </si>
  <si>
    <t>886680014199</t>
  </si>
  <si>
    <t>Material Girl Juniors Tuxedo Sheath Dress Black XXS</t>
  </si>
  <si>
    <t>886680026109</t>
  </si>
  <si>
    <t>822982634222</t>
  </si>
  <si>
    <t>Jessica Simpson Avenia Cuffed Straight-Leg Pan Navy 29</t>
  </si>
  <si>
    <t>822982634215</t>
  </si>
  <si>
    <t>Jessica Simpson Avenia Cuffed Straight-Leg Pan Navy 28</t>
  </si>
  <si>
    <t>889631053964</t>
  </si>
  <si>
    <t>Crystal Doll Juniors Illusion Bodycon Dres BlackNude 13</t>
  </si>
  <si>
    <t>652874831138</t>
  </si>
  <si>
    <t>Speechless Juniors Ruffled Fit Flare D Royal Blue XXS</t>
  </si>
  <si>
    <t>826422067120</t>
  </si>
  <si>
    <t>BCX Juniors Floral-Print Bomber J Floral Print L</t>
  </si>
  <si>
    <t>887863087177</t>
  </si>
  <si>
    <t>829092317519</t>
  </si>
  <si>
    <t>XOXO Juniors Printed Off-the-Shoul Multi S</t>
  </si>
  <si>
    <t>886680006071</t>
  </si>
  <si>
    <t>Material Girl Juniors Metallic Rib-Knit Lat Silver Combo XL</t>
  </si>
  <si>
    <t>768594155680</t>
  </si>
  <si>
    <t>889775094496</t>
  </si>
  <si>
    <t>American Rag Crocheted Crop Top Oatmeal Combo XL</t>
  </si>
  <si>
    <t>889775094373</t>
  </si>
  <si>
    <t>889775113159</t>
  </si>
  <si>
    <t>713701112261</t>
  </si>
  <si>
    <t>American Rag Smocked Bell-Sleeve Peasant To Egret S</t>
  </si>
  <si>
    <t>12872AR</t>
  </si>
  <si>
    <t>889775093383</t>
  </si>
  <si>
    <t>889775090498</t>
  </si>
  <si>
    <t>768594176586</t>
  </si>
  <si>
    <t>889456078708</t>
  </si>
  <si>
    <t>Rampage Juniors Paint-Splattered Skin Harrison Wash 1</t>
  </si>
  <si>
    <t>889456082842</t>
  </si>
  <si>
    <t>CABR SOPHIE 24" EMB</t>
  </si>
  <si>
    <t>RJ12002</t>
  </si>
  <si>
    <t>784645462934</t>
  </si>
  <si>
    <t>REWIND Juniors Techno Tuck Light Blu Light Blue 11</t>
  </si>
  <si>
    <t>RP2190Q4KV</t>
  </si>
  <si>
    <t>826410695298</t>
  </si>
  <si>
    <t>BCX Juniors Printed Cold-Shoulder Flower Print XXS</t>
  </si>
  <si>
    <t>826410602654</t>
  </si>
  <si>
    <t>BCX Juniors Cowl-Neck Top Black S</t>
  </si>
  <si>
    <t>826410694802</t>
  </si>
  <si>
    <t>BCX Juniors Printed Skater Skirt Pink 15</t>
  </si>
  <si>
    <t>826410111118</t>
  </si>
  <si>
    <t>826410998917</t>
  </si>
  <si>
    <t>BCX Juniors Off-The-Shoulder Cris BlackBluePink L</t>
  </si>
  <si>
    <t>826410610291</t>
  </si>
  <si>
    <t>614015985438</t>
  </si>
  <si>
    <t>Rewash Juniors Printed Ruched Croppe Natural XS</t>
  </si>
  <si>
    <t>889775110226</t>
  </si>
  <si>
    <t>614015042261</t>
  </si>
  <si>
    <t>Rewash Juniors Tacked-Hem Embroidere Dark Blue 7</t>
  </si>
  <si>
    <t>J14142AG2</t>
  </si>
  <si>
    <t>826410809466</t>
  </si>
  <si>
    <t>BCX Juniors Bell-Sleeve Blouse Off White L</t>
  </si>
  <si>
    <t>889602128851</t>
  </si>
  <si>
    <t>Freshman Juniors Sleeveless Cowl-Neck Mittens XL</t>
  </si>
  <si>
    <t>889602128752</t>
  </si>
  <si>
    <t>Freshman Juniors Sleeveless Cowl-Neck Honeysuckle Sun XL</t>
  </si>
  <si>
    <t>889602128714</t>
  </si>
  <si>
    <t>Freshman Juniors Sleeveless Cowl-Neck Honeysuckle Sun XS</t>
  </si>
  <si>
    <t>841060123922</t>
  </si>
  <si>
    <t>Hippie Rose Juniors Cargo Joggers Olive Branch S</t>
  </si>
  <si>
    <t>841060127173</t>
  </si>
  <si>
    <t>Hippie Rose Juniors Velour Flare-Leg Pant Moonstone L</t>
  </si>
  <si>
    <t>841060127203</t>
  </si>
  <si>
    <t>Hippie Rose Juniors Velour Jogger Pants Medium Heather Grey S</t>
  </si>
  <si>
    <t>841060127081</t>
  </si>
  <si>
    <t>Hippie Rose Juniors Zip-Front Velour Hood Tapestry Blue XL</t>
  </si>
  <si>
    <t>841060127234</t>
  </si>
  <si>
    <t>Hippie Rose Juniors Velour Jogger Pants Medium Heather Grey XL</t>
  </si>
  <si>
    <t>841060127135</t>
  </si>
  <si>
    <t>Hippie Rose Juniors Velour Flare-Leg Pant Black XL</t>
  </si>
  <si>
    <t>841060127074</t>
  </si>
  <si>
    <t>Hippie Rose Juniors Zip-Front Velour Hood Tapestry Blue L</t>
  </si>
  <si>
    <t>706256570518</t>
  </si>
  <si>
    <t>706256917634</t>
  </si>
  <si>
    <t>706257020234</t>
  </si>
  <si>
    <t>887069475266</t>
  </si>
  <si>
    <t>Pink Rose Juniors Ruched-Side Fine-Gaug Heather Aubergine S</t>
  </si>
  <si>
    <t>190344631104</t>
  </si>
  <si>
    <t>Disney Juniors Disney Mickey Mouse G Heather Grey L</t>
  </si>
  <si>
    <t>190344450545</t>
  </si>
  <si>
    <t>Hybrid Juniors Peanuts Snoopy Woodst Charcoal XS</t>
  </si>
  <si>
    <t>706256917795</t>
  </si>
  <si>
    <t>645545931589</t>
  </si>
  <si>
    <t>705143716299</t>
  </si>
  <si>
    <t>Energie Juniors Abby Crisscross Low-I Caviar L</t>
  </si>
  <si>
    <t>822982586699</t>
  </si>
  <si>
    <t>Jessica Simpson Elin High-Low Mock-Neck Sweate Black M</t>
  </si>
  <si>
    <t>695532480774</t>
  </si>
  <si>
    <t>Ultra Flirt Juniors Sleeveless Mock-Neck Gardenia S</t>
  </si>
  <si>
    <t>746194690497</t>
  </si>
  <si>
    <t>Rampage Juniors Drop-Shoulder Metalli Light Heather Grey L</t>
  </si>
  <si>
    <t>887648613867</t>
  </si>
  <si>
    <t>Freeze 24-7 Juniors High-Low Graphic T-Sh Black XL</t>
  </si>
  <si>
    <t>886542627536</t>
  </si>
  <si>
    <t>B Darlin Juniors Embellished Lace Fit Blush 0</t>
  </si>
  <si>
    <t>DY513846</t>
  </si>
  <si>
    <t>661414489982</t>
  </si>
  <si>
    <t>Teeze Me Juniors Sleeveless Floral-Pri BlackOff White Combo 5</t>
  </si>
  <si>
    <t>H143304</t>
  </si>
  <si>
    <t>637865093252</t>
  </si>
  <si>
    <t>Calvin Klein Jeans Turtleneck Tunic Sweater Pristine XL</t>
  </si>
  <si>
    <t>885608580150</t>
  </si>
  <si>
    <t>Levis 711 Skinny Jeans Painted Clouds 31 US 12 S</t>
  </si>
  <si>
    <t>829092231044</t>
  </si>
  <si>
    <t>XOXO Juniors Pleated Plaid Blazer Navy Plaid M</t>
  </si>
  <si>
    <t>601350772304</t>
  </si>
  <si>
    <t>Speechless Juniors Sleeveless Embellishe Black 1</t>
  </si>
  <si>
    <t>D60341HJ4</t>
  </si>
  <si>
    <t>746194678235</t>
  </si>
  <si>
    <t>Marilyn Monroe Juniors Grommet-Embellished J Yellow XL</t>
  </si>
  <si>
    <t>MED613</t>
  </si>
  <si>
    <t>889775066530</t>
  </si>
  <si>
    <t>American Rag Snap-Front Chambray Dress Odeda Wash S</t>
  </si>
  <si>
    <t>889775088440</t>
  </si>
  <si>
    <t>American Rag Slim-Fit Ishana Wash Bootcut J Puma Wash 3</t>
  </si>
  <si>
    <t>886542515284</t>
  </si>
  <si>
    <t>B Darlin Juniors Textured Mesh-Back Fi White 1112</t>
  </si>
  <si>
    <t>I7WFG433</t>
  </si>
  <si>
    <t>889667410373</t>
  </si>
  <si>
    <t>ONeill Juniors Slater Crocheted-Trim White M</t>
  </si>
  <si>
    <t>FA6404029</t>
  </si>
  <si>
    <t>889775077185</t>
  </si>
  <si>
    <t>American Rag Juniors Printed Shift Dress Pale Pink Multi XL</t>
  </si>
  <si>
    <t>889775077147</t>
  </si>
  <si>
    <t>American Rag Juniors Printed Shift Dress Pale Pink Multi XS</t>
  </si>
  <si>
    <t>888825748624</t>
  </si>
  <si>
    <t>American Rag Crochet A-Line Dress Mustard XXL</t>
  </si>
  <si>
    <t>FDK4707MY</t>
  </si>
  <si>
    <t>888825470174</t>
  </si>
  <si>
    <t>Material Girl Juniors Striped Convertible B Caviar Black XXS</t>
  </si>
  <si>
    <t>889775065397</t>
  </si>
  <si>
    <t>American Rag Juniors Printed Lace-Up Sundr Red Combo XS</t>
  </si>
  <si>
    <t>6BW07BROC</t>
  </si>
  <si>
    <t>829092299280</t>
  </si>
  <si>
    <t>XOXO Juniors Wide-Leg Trousers White 1516</t>
  </si>
  <si>
    <t>889775097008</t>
  </si>
  <si>
    <t>American Rag Lace-Up Diamond-Stitch Sweater Pale Mauve Combo S</t>
  </si>
  <si>
    <t>854684006823</t>
  </si>
  <si>
    <t>In Awe of You by AwesomenessTV High-Shine Backpack Black ONE SIZE</t>
  </si>
  <si>
    <t>TWSCN6823</t>
  </si>
  <si>
    <t>886998513414</t>
  </si>
  <si>
    <t>American Rag Trendy Plus Size Lace-Trim Hen Zinfandel 3X</t>
  </si>
  <si>
    <t>829092304977</t>
  </si>
  <si>
    <t>XOXO Juniors Embellished High-Low Red L</t>
  </si>
  <si>
    <t>3506TRA5</t>
  </si>
  <si>
    <t>889901116719</t>
  </si>
  <si>
    <t>Its Our Time Trendy Plus Size Snowman Holid Blue Palace 1X</t>
  </si>
  <si>
    <t>888825874033</t>
  </si>
  <si>
    <t>Material Girl Juniors Plaid Lace-Up-Back Ma Cloud Dancer M</t>
  </si>
  <si>
    <t>661414505941</t>
  </si>
  <si>
    <t>Teeze Me Juniors Printed Bell-Sleeve S Navy XL</t>
  </si>
  <si>
    <t>H983649</t>
  </si>
  <si>
    <t>826409657320</t>
  </si>
  <si>
    <t>BCX Juniors Ruched-Sleeve Open-Fr Black XL</t>
  </si>
  <si>
    <t>826409657283</t>
  </si>
  <si>
    <t>BCX Juniors Ruched-Sleeve Open-Fr Black XS</t>
  </si>
  <si>
    <t>889387698716</t>
  </si>
  <si>
    <t>Trixxi Juniors Asymmetrical-Hem Lace Ivory M</t>
  </si>
  <si>
    <t>86B7912D6I</t>
  </si>
  <si>
    <t>889775097510</t>
  </si>
  <si>
    <t>American Rag Trendy Plus Size Handkerchief- Classic Black 2X</t>
  </si>
  <si>
    <t>829092245973</t>
  </si>
  <si>
    <t>XOXO Juniors Zip-Front A-Line Skir Black S</t>
  </si>
  <si>
    <t>829092245980</t>
  </si>
  <si>
    <t>XOXO Juniors Zip-Front A-Line Skir Black L</t>
  </si>
  <si>
    <t>637348547722</t>
  </si>
  <si>
    <t>BCX Juniors Wide-Leg Pants Gray 11</t>
  </si>
  <si>
    <t>887866160563</t>
  </si>
  <si>
    <t>BCX Juniors Dress, Sleeveless Belt Navy M</t>
  </si>
  <si>
    <t>637348547678</t>
  </si>
  <si>
    <t>BCX Juniors Wide-Leg Pants Gray 1</t>
  </si>
  <si>
    <t>637348547708</t>
  </si>
  <si>
    <t>BCX Juniors Wide-Leg Pants Gray 7</t>
  </si>
  <si>
    <t>637348547739</t>
  </si>
  <si>
    <t>BCX Juniors Wide-Leg Pants Gray 13</t>
  </si>
  <si>
    <t>637348547692</t>
  </si>
  <si>
    <t>BCX Juniors Wide-Leg Pants Gray 5</t>
  </si>
  <si>
    <t>886542642782</t>
  </si>
  <si>
    <t>B Darlin Juniors Sequined Colorblocked CobaltBlack XXL</t>
  </si>
  <si>
    <t>889631035373</t>
  </si>
  <si>
    <t>Crystal Doll Juniors Printed Crisscross-Ba BlueCoral 0</t>
  </si>
  <si>
    <t>JUE13046I</t>
  </si>
  <si>
    <t>887043672766</t>
  </si>
  <si>
    <t>Celebrity Pink Juniors The Slimmer High-Wais Desert Party 3</t>
  </si>
  <si>
    <t>CJ22116SS</t>
  </si>
  <si>
    <t>713701115996</t>
  </si>
  <si>
    <t>American Rag Sheer Lace Mock-Neck Top Cream XL</t>
  </si>
  <si>
    <t>A3600MAR</t>
  </si>
  <si>
    <t>888825976850</t>
  </si>
  <si>
    <t>American Rag Striped Off-The-Shoulder Top Classic Black XXL</t>
  </si>
  <si>
    <t>829092246321</t>
  </si>
  <si>
    <t>XOXO Juniors Mock-Neck Grommet Top Hunter M</t>
  </si>
  <si>
    <t>889901117006</t>
  </si>
  <si>
    <t>Its Our Time Trendy Plus Size Gingerbread G Sherling Tan 3X</t>
  </si>
  <si>
    <t>J62940W</t>
  </si>
  <si>
    <t>617171309100</t>
  </si>
  <si>
    <t>ING Trendy Plus Size Mock-Neck Swe Grey 2X</t>
  </si>
  <si>
    <t>886680054591</t>
  </si>
  <si>
    <t>Tinseltown Juniors Metallic Skinny Jeans Gold 13</t>
  </si>
  <si>
    <t>841907122910</t>
  </si>
  <si>
    <t>Indigo Rein Juniors Reverse-Selvedge Dark Dark Blue 13</t>
  </si>
  <si>
    <t>889775073477</t>
  </si>
  <si>
    <t>American Rag Printed Cap-Sleeve Blouson Top Bellini Combo M</t>
  </si>
  <si>
    <t>6TK16E</t>
  </si>
  <si>
    <t>674153664831</t>
  </si>
  <si>
    <t>Say What Juniors Patched Bomber Jacket Dress Blue M</t>
  </si>
  <si>
    <t>887043417855</t>
  </si>
  <si>
    <t>Celebrity Pink Juniors Super-Soft Skinny Jea Never Say Never 15</t>
  </si>
  <si>
    <t>841413126464</t>
  </si>
  <si>
    <t>OhMG Juniors Southwest Asymmetrica BlackWhite L</t>
  </si>
  <si>
    <t>674153677305</t>
  </si>
  <si>
    <t>Say What Juniors Quilted Bomber Jacket Olive L</t>
  </si>
  <si>
    <t>887043670090</t>
  </si>
  <si>
    <t>Celebrity Pink Juniors Skinny Jeans Festive Fuschia 1</t>
  </si>
  <si>
    <t>637677168629</t>
  </si>
  <si>
    <t>Self Esteem Juniors Draped Open-Front Car Charcoal Blush Combo XS</t>
  </si>
  <si>
    <t>826410153439</t>
  </si>
  <si>
    <t>BCX Juniors Asymmetrical-Hem Top Grey XS</t>
  </si>
  <si>
    <t>645545915848</t>
  </si>
  <si>
    <t>Material Girl Love Mesh-Trim Front-Zip Hoodi Black S</t>
  </si>
  <si>
    <t>695532480750</t>
  </si>
  <si>
    <t>Ultra Flirt Juniors Sleeveless Mock-Neck Black XL</t>
  </si>
  <si>
    <t>822240231415</t>
  </si>
  <si>
    <t>BCX Juniors Flyaway-Front Tank To Blush XL</t>
  </si>
  <si>
    <t>1059A24</t>
  </si>
  <si>
    <t>619720898394</t>
  </si>
  <si>
    <t>Be Bop Juniors Paneled Sweater Dress Pink XXS</t>
  </si>
  <si>
    <t>JFKTDKFI540</t>
  </si>
  <si>
    <t>889602099861</t>
  </si>
  <si>
    <t>Freshman Juniors Marled Colorblock Pul Blank CanvasBillie Jeans M</t>
  </si>
  <si>
    <t>889602097911</t>
  </si>
  <si>
    <t>Jessica Simpson Juniors Short-Sleeve Mesh Top Calm Water S</t>
  </si>
  <si>
    <t>887069476157</t>
  </si>
  <si>
    <t>Pink Rose Juniors Rib-Knit Mock-Neck Pu Claret Red XS</t>
  </si>
  <si>
    <t>887069476126</t>
  </si>
  <si>
    <t>Pink Rose Juniors Rib-Knit Mock-Neck Pu BlackSouthwest TanIvory M</t>
  </si>
  <si>
    <t>705143698588</t>
  </si>
  <si>
    <t>Energie Juniors Pattern Raglan-Sleeve Light Heather Grey XL</t>
  </si>
  <si>
    <t>695532443304</t>
  </si>
  <si>
    <t>Ultra Flirt Juniors Off-The-Shoulder Peas White M</t>
  </si>
  <si>
    <t>695532486509</t>
  </si>
  <si>
    <t>Ultra Flirt Juniors Striped Tie-Neck Tuni PeacoatGardenia Stripe XS</t>
  </si>
  <si>
    <t>695532431486</t>
  </si>
  <si>
    <t>Ultra Flirt Juniors Foldover Maxi Skirt Peacoat Blue White L</t>
  </si>
  <si>
    <t>2915MC</t>
  </si>
  <si>
    <t>705143706023</t>
  </si>
  <si>
    <t>Energie Juniors Colorblock Mesh-Trim CaviarSherbert M</t>
  </si>
  <si>
    <t>841060125070</t>
  </si>
  <si>
    <t>Hippie Rose Juniors Dolman-Sleeve Graphic Medium Heather Grey S</t>
  </si>
  <si>
    <t>841060124646</t>
  </si>
  <si>
    <t>Hippie Rose Juniors Long-Sleeve Zip Hoodi Light Heather Grey L</t>
  </si>
  <si>
    <t>637677208912</t>
  </si>
  <si>
    <t>Belle Du Jour Juniors Lace-Yoke Pocket Top Chrysanthemum XS</t>
  </si>
  <si>
    <t>889901106192</t>
  </si>
  <si>
    <t>Hooked Up by IOT Juniors Snowman Hat Scarf S Snowman ONE SIZE</t>
  </si>
  <si>
    <t>J62408</t>
  </si>
  <si>
    <t>705143708317</t>
  </si>
  <si>
    <t>Energie Juniors Jacey Printed Legging Black XS</t>
  </si>
  <si>
    <t>695532443410</t>
  </si>
  <si>
    <t>Ultra Flirt Juniors Cocoon-Hem Cardigan Black L</t>
  </si>
  <si>
    <t>695532491527</t>
  </si>
  <si>
    <t>Ultra Flirt Juniors Mock-Neck Marled Shif BlackGardenia M</t>
  </si>
  <si>
    <t>637677142384</t>
  </si>
  <si>
    <t>Belle Du Jour Juniors Lace Mock-Neck Top Chrysanthemum XS</t>
  </si>
  <si>
    <t>1AASAHPF</t>
  </si>
  <si>
    <t>695532442956</t>
  </si>
  <si>
    <t>Ultra Flirt Juniors Off-the-Shoulder Lace Black M</t>
  </si>
  <si>
    <t>637677210939</t>
  </si>
  <si>
    <t>Belle Du Jour Juniors Raglan-Sleeve Southwe Rose Wine XS</t>
  </si>
  <si>
    <t>637677210977</t>
  </si>
  <si>
    <t>Belle Du Jour Juniors Raglan-Sleeve Southwe Rose Wine XL</t>
  </si>
  <si>
    <t>637677210960</t>
  </si>
  <si>
    <t>Belle Du Jour Juniors Raglan-Sleeve Southwe Rose Wine L</t>
  </si>
  <si>
    <t>637677210953</t>
  </si>
  <si>
    <t>Belle Du Jour Juniors Raglan-Sleeve Southwe Rose Wine M</t>
  </si>
  <si>
    <t>619720904927</t>
  </si>
  <si>
    <t>Be Bop Juniors Striped Ringer T-Shir WhiteDenimMauve XS</t>
  </si>
  <si>
    <t>GJ2151ADH</t>
  </si>
  <si>
    <t>619720904965</t>
  </si>
  <si>
    <t>Be Bop Juniors Striped Ringer T-Shir WhiteDenimMauve XL</t>
  </si>
  <si>
    <t>619720904934</t>
  </si>
  <si>
    <t>Be Bop Juniors Striped Ringer T-Shir WhiteDenimMauve S</t>
  </si>
  <si>
    <t>619720904958</t>
  </si>
  <si>
    <t>Be Bop Juniors Striped Ringer T-Shir WhiteDenimMauve L</t>
  </si>
  <si>
    <t>190371170799</t>
  </si>
  <si>
    <t>Bioworld Juniors Superhero Graphic T-S Light Blue XL</t>
  </si>
  <si>
    <t>190371170812</t>
  </si>
  <si>
    <t>Bioworld Juniors Wonder Woman Graphic Red Heather S</t>
  </si>
  <si>
    <t>FA4DWSDCO</t>
  </si>
  <si>
    <t>190371170829</t>
  </si>
  <si>
    <t>Bioworld Juniors Wonder Woman Graphic Red Heather M</t>
  </si>
  <si>
    <t>705143715193</t>
  </si>
  <si>
    <t>Energie Juniors Cara Racerback Compre Electric Strawberry L</t>
  </si>
  <si>
    <t>190121167291</t>
  </si>
  <si>
    <t>Mighty Fine Juniors Disney Minnie Mouse A White XS</t>
  </si>
  <si>
    <t>887648661721</t>
  </si>
  <si>
    <t>Disney Juniors Disney Mickey Minni WhiteRed M</t>
  </si>
  <si>
    <t>190344363012</t>
  </si>
  <si>
    <t>Trolls by DreamWorks Juniors Trolls Graphic Raglan Soft Pink XL</t>
  </si>
  <si>
    <t>190344542691</t>
  </si>
  <si>
    <t>Disney Juniors Disney Moana Images L Pearl XL</t>
  </si>
  <si>
    <t>190344542622</t>
  </si>
  <si>
    <t>Disney Juniors Disney Moana Lace Gra Light Green M</t>
  </si>
  <si>
    <t>190371275869</t>
  </si>
  <si>
    <t>Bioworld Juniors Graphic T-Shirt Red XL</t>
  </si>
  <si>
    <t>637677151157</t>
  </si>
  <si>
    <t>Belle Du Jour Juniors California Graphic Ri Navy XS</t>
  </si>
  <si>
    <t>190371290305</t>
  </si>
  <si>
    <t>Bioworld Juniors Hogwarts Graphic Ragl Grey L</t>
  </si>
  <si>
    <t>RG1IZ0HPT</t>
  </si>
  <si>
    <t>645545929807</t>
  </si>
  <si>
    <t>Rebellious One Juniors Graphic Raglan T-Shir Heather Oatmeal S</t>
  </si>
  <si>
    <t>887648613850</t>
  </si>
  <si>
    <t>Freeze 24-7 Juniors High-Low Graphic T-Sh Black L</t>
  </si>
  <si>
    <t>645545952386</t>
  </si>
  <si>
    <t>Rebellious One Juniors Colorblock Graphic Tu Heather Grey Denim XL</t>
  </si>
  <si>
    <t>645545929791</t>
  </si>
  <si>
    <t>Rebellious One Juniors Graphic Raglan T-Shir Heather Oatmeal XS</t>
  </si>
  <si>
    <t>887648613836</t>
  </si>
  <si>
    <t>Freeze 24-7 Juniors High-Low Graphic T-Sh Black S</t>
  </si>
  <si>
    <t>887648613928</t>
  </si>
  <si>
    <t>Freeze 24-7 Juniors High-Low Graphic T-Sh White L</t>
  </si>
  <si>
    <t>645545929838</t>
  </si>
  <si>
    <t>Rebellious One Juniors Graphic Raglan T-Shir Heather Oatmeal XL</t>
  </si>
  <si>
    <t>645545929814</t>
  </si>
  <si>
    <t>Rebellious One Juniors Graphic Raglan T-Shir Heather Oatmeal M</t>
  </si>
  <si>
    <t>190371313431</t>
  </si>
  <si>
    <t>Bioworld Fantastic Beasts Juniors Acci Maroon L</t>
  </si>
  <si>
    <t>190371313493</t>
  </si>
  <si>
    <t>Bioworld Fantastic Beasts Juniors Newt White XL</t>
  </si>
  <si>
    <t>190371327285</t>
  </si>
  <si>
    <t>Bioworld Juniors Fantastic Beasts Magi Maroon L</t>
  </si>
  <si>
    <t>821942425207</t>
  </si>
  <si>
    <t>Planet Gold Juniors Rib-Knit Cold-Shoulde Navy S</t>
  </si>
  <si>
    <t>652874852218</t>
  </si>
  <si>
    <t>Speechless Juniors Illusion Lace Side-Sl Wine 13</t>
  </si>
  <si>
    <t>X34631H69</t>
  </si>
  <si>
    <t>637865209370</t>
  </si>
  <si>
    <t>Calvin Klein Jeans Ripped Ivy Wash Ankle Skinny J Ivy Wash 27</t>
  </si>
  <si>
    <t>42ZA738</t>
  </si>
  <si>
    <t>886984368820</t>
  </si>
  <si>
    <t>G.H. Bass Co. V-Neck Maxi Dress Black S</t>
  </si>
  <si>
    <t>GS6N9101</t>
  </si>
  <si>
    <t>637865185797</t>
  </si>
  <si>
    <t>Calvin Klein Jeans Printed Split-Neck Top Dusted Lilac M</t>
  </si>
  <si>
    <t>42ZW161</t>
  </si>
  <si>
    <t>637865184721</t>
  </si>
  <si>
    <t>Calvin Klein Jeans Floral-Print Shirt Blue Nights XS</t>
  </si>
  <si>
    <t>889351478429</t>
  </si>
  <si>
    <t>Roxy Printed Surplice Romper Blue Combo S</t>
  </si>
  <si>
    <t>ERJWD03100</t>
  </si>
  <si>
    <t>796396459972</t>
  </si>
  <si>
    <t>DRAFT - SHORTSLVELACEDRESS Black M</t>
  </si>
  <si>
    <t>47464A</t>
  </si>
  <si>
    <t>889387992517</t>
  </si>
  <si>
    <t>Trixxi Juniors High-Low Bodycon Dres Red 5</t>
  </si>
  <si>
    <t>26M757ER5I</t>
  </si>
  <si>
    <t>889775095950</t>
  </si>
  <si>
    <t>American Rag Lace-Bodice Printed Halter Dre Canyon Sun L</t>
  </si>
  <si>
    <t>675627521957</t>
  </si>
  <si>
    <t>mblm by Tess Holliday Trendy Plus Size Strappy Asymm Very Deep Teal 4X</t>
  </si>
  <si>
    <t>886998520757</t>
  </si>
  <si>
    <t>American Rag Trendy Plus Size Off-The-Shoul Dusty Coral 0X</t>
  </si>
  <si>
    <t>822982636783</t>
  </si>
  <si>
    <t>Jessica Simpson Hyne Bell-Sleeve Sweater Black XXS</t>
  </si>
  <si>
    <t>661414516770</t>
  </si>
  <si>
    <t>Teeze Me Juniors Reversible Knit Dress Deep Ocean Blue S</t>
  </si>
  <si>
    <t>889631050451</t>
  </si>
  <si>
    <t>Crystal Doll Juniors Floral-Print Fit Fl WhiteBlack 7</t>
  </si>
  <si>
    <t>887840202708</t>
  </si>
  <si>
    <t>Emerald Sundae Juniors Contrast Lace Bodycon SilverBlack M</t>
  </si>
  <si>
    <t>887840202715</t>
  </si>
  <si>
    <t>Emerald Sundae Juniors Contrast Lace Bodycon SilverBlack L</t>
  </si>
  <si>
    <t>637865192214</t>
  </si>
  <si>
    <t>Calvin Klein Jeans Lace-Up Split-Neck T-Shirt Wasabi XL</t>
  </si>
  <si>
    <t>637865192146</t>
  </si>
  <si>
    <t>Calvin Klein Jeans Lace-Up Split-Neck T-Shirt Veiled Fern XL</t>
  </si>
  <si>
    <t>713701111707</t>
  </si>
  <si>
    <t>MRLD CLD SHLR LC 2FR</t>
  </si>
  <si>
    <t>A3781AR</t>
  </si>
  <si>
    <t>713701116269</t>
  </si>
  <si>
    <t>747941043221</t>
  </si>
  <si>
    <t>Speechless Juniors Lace and Floral Keyho Blue 5</t>
  </si>
  <si>
    <t>637865294598</t>
  </si>
  <si>
    <t>Calvin Klein Jeans Cotton Tie-Hem T-Shirt Shell L</t>
  </si>
  <si>
    <t>42AK287</t>
  </si>
  <si>
    <t>826422067083</t>
  </si>
  <si>
    <t>BCX Juniors Floral-Print Bomber J Floral Print XXS</t>
  </si>
  <si>
    <t>887863087221</t>
  </si>
  <si>
    <t>713701116689</t>
  </si>
  <si>
    <t>886542659087</t>
  </si>
  <si>
    <t>B Darlin Juniors Lace High-Low Midi Dr RoyalNude 1314</t>
  </si>
  <si>
    <t>I6WSK796</t>
  </si>
  <si>
    <t>889775096568</t>
  </si>
  <si>
    <t>889775096735</t>
  </si>
  <si>
    <t>614015986015</t>
  </si>
  <si>
    <t>Rewash Juniors Ripped Dark Blue Wash Dark Blue 13</t>
  </si>
  <si>
    <t>713701112209</t>
  </si>
  <si>
    <t>American Rag Smocked Bell-Sleeve Peasant To Chili Red M</t>
  </si>
  <si>
    <t>713701113060</t>
  </si>
  <si>
    <t>889237795190</t>
  </si>
  <si>
    <t>As U Wish Juniors Cold-Shoulder Tassel Black L</t>
  </si>
  <si>
    <t>826410861556</t>
  </si>
  <si>
    <t>BCX Juniors Draped Cold-Shoulder Black M</t>
  </si>
  <si>
    <t>674153683696</t>
  </si>
  <si>
    <t>Say What Juniors Patch Bomber Jacket Chambray L</t>
  </si>
  <si>
    <t>826409604621</t>
  </si>
  <si>
    <t>PAT TOP TANK POPOVER</t>
  </si>
  <si>
    <t>1066V2R</t>
  </si>
  <si>
    <t>887043068552</t>
  </si>
  <si>
    <t>WHITE ANKLE SKINNY 27" INS</t>
  </si>
  <si>
    <t>CJ2718F57</t>
  </si>
  <si>
    <t>887043721686</t>
  </si>
  <si>
    <t>Celebrity Pink Juniors Skinny Jeans Everglade 7</t>
  </si>
  <si>
    <t>826410998900</t>
  </si>
  <si>
    <t>BCX Juniors Off-The-Shoulder Cris BlackBluePink M</t>
  </si>
  <si>
    <t>889901163751</t>
  </si>
  <si>
    <t>Hooked Up by IOT Juniors Sequin Emoji Patches CreamTwilight Combo M</t>
  </si>
  <si>
    <t>889901163638</t>
  </si>
  <si>
    <t>Hooked Up by IOT Juniors Shine Donuts Pullover Light Grey Heather XS</t>
  </si>
  <si>
    <t>841060125995</t>
  </si>
  <si>
    <t>Hippie Rose Juniors Lace-Trim Asymmetrica Tapestry Blue L</t>
  </si>
  <si>
    <t>889602128783</t>
  </si>
  <si>
    <t>Freshman Juniors Sleeveless Cowl-Neck Light Heather Grey M</t>
  </si>
  <si>
    <t>637677242855</t>
  </si>
  <si>
    <t>Belle Du Jour Juniors Cardigan, T-Shirt and Heather Grey L</t>
  </si>
  <si>
    <t>705143711850</t>
  </si>
  <si>
    <t>Energie Juniors Patty Sweater Dress w Caviar Combo XS</t>
  </si>
  <si>
    <t>705143704173</t>
  </si>
  <si>
    <t>Energie Juniors Brandi Shine Colorblo Heather Grey L</t>
  </si>
  <si>
    <t>706256917412</t>
  </si>
  <si>
    <t>Material Girl Juniors Metallic Leggings, On Black L</t>
  </si>
  <si>
    <t>M61204</t>
  </si>
  <si>
    <t>706256570532</t>
  </si>
  <si>
    <t>706256895208</t>
  </si>
  <si>
    <t>706256923789</t>
  </si>
  <si>
    <t>Material Girl Juniors Shine-Waistband Yoga Classic Black XS</t>
  </si>
  <si>
    <t>706256923796</t>
  </si>
  <si>
    <t>Material Girl Juniors Shine-Waistband Yoga Classic Black S</t>
  </si>
  <si>
    <t>841060123335</t>
  </si>
  <si>
    <t>Hippie Rose Juniors Mixed-Knit Pullover S Light Heather Grey M</t>
  </si>
  <si>
    <t>841060123366</t>
  </si>
  <si>
    <t>Hippie Rose Juniors Mixed-Knit Pullover S Olive Branch XS</t>
  </si>
  <si>
    <t>190344450637</t>
  </si>
  <si>
    <t>Hybrid Juniors Despicable Me Bello G Pearl XL</t>
  </si>
  <si>
    <t>841060123496</t>
  </si>
  <si>
    <t>Hippie Rose Juniors Mixed-Knit Pullover S Velveteen L</t>
  </si>
  <si>
    <t>887409060398</t>
  </si>
  <si>
    <t>Polly Esther Juniors Plaid Button-Front Sh BlackBurgundy XS</t>
  </si>
  <si>
    <t>190371321863</t>
  </si>
  <si>
    <t>Bioworld Juniors Harry Potter Hogwarts Charcoal Heather XL</t>
  </si>
  <si>
    <t>660032592494</t>
  </si>
  <si>
    <t>One Clothing Juniors Off-the-Shoulder Velv Black M</t>
  </si>
  <si>
    <t>637677212377</t>
  </si>
  <si>
    <t>Belle Du Jour Juniors Celestial Metallic Gr Black XS</t>
  </si>
  <si>
    <t>645545917163</t>
  </si>
  <si>
    <t>645545917071</t>
  </si>
  <si>
    <t>645545916517</t>
  </si>
  <si>
    <t>WORKOUT 3 KNOT TANK</t>
  </si>
  <si>
    <t>M6O21HC212</t>
  </si>
  <si>
    <t>645545916470</t>
  </si>
  <si>
    <t>645545931572</t>
  </si>
  <si>
    <t>887409062040</t>
  </si>
  <si>
    <t>Polly Esther Juniors Plaid Roll-Tab Shirt BurgNavy S</t>
  </si>
  <si>
    <t>821942459653</t>
  </si>
  <si>
    <t>Planet Gold Juniors Striped Off-the-Shoul BlackWhite S</t>
  </si>
  <si>
    <t>637865100455</t>
  </si>
  <si>
    <t>Calvin Klein Jeans Stretch Tidal Blue Wash Skinny Dark Rinse 31</t>
  </si>
  <si>
    <t>637865100165</t>
  </si>
  <si>
    <t>Calvin Klein Jeans Stretch Tidal Blue Wash Skinny Tidal Blue 32</t>
  </si>
  <si>
    <t>815224022567</t>
  </si>
  <si>
    <t>M1858 Kristen Ripped Devon Wash Ankl Devon 28</t>
  </si>
  <si>
    <t>686812525773</t>
  </si>
  <si>
    <t>American Rag Knit-Hood Faux-Leather Jacket Black XS</t>
  </si>
  <si>
    <t>A096409R</t>
  </si>
  <si>
    <t>708008034996</t>
  </si>
  <si>
    <t>City Studios Juniors Dress, Strapless Lace Navy 5</t>
  </si>
  <si>
    <t>675627441422</t>
  </si>
  <si>
    <t>mblm by Tess Holliday Trendy Plus Size Faux-Leather Black 22W</t>
  </si>
  <si>
    <t>791093319505</t>
  </si>
  <si>
    <t>In Awe of You by AwesomenessTV Juniors Tiered Lace Dress Ruby S</t>
  </si>
  <si>
    <t>712683899306</t>
  </si>
  <si>
    <t>Calvin Klein Jeans Skinny Ankle Faded Sky Blue Wa Faded Sky 26</t>
  </si>
  <si>
    <t>637865079737</t>
  </si>
  <si>
    <t>Calvin Klein Jeans Plaid Long-Sleeve Shirt Classic White XL</t>
  </si>
  <si>
    <t>42YW106</t>
  </si>
  <si>
    <t>791093292716</t>
  </si>
  <si>
    <t>Alice Through The Looking Glas Juniors Layered Off-The-Shoul Black M</t>
  </si>
  <si>
    <t>SPJ172D1FMIM</t>
  </si>
  <si>
    <t>886542641013</t>
  </si>
  <si>
    <t>B Darlin Juniors Sequin Halter Romper LilacCharcoal 78</t>
  </si>
  <si>
    <t>D451K182H</t>
  </si>
  <si>
    <t>39373609503</t>
  </si>
  <si>
    <t>CeCe Sleeveless Ruffle-Hem Top Charm Pink M</t>
  </si>
  <si>
    <t>889775082943</t>
  </si>
  <si>
    <t>American Rag Denim Skirtalls Sorrento Wash S</t>
  </si>
  <si>
    <t>889319446781</t>
  </si>
  <si>
    <t>Levis 710 Super Skinny Ankle Blue Da Washed Sky 31 US 12 R</t>
  </si>
  <si>
    <t>637865089330</t>
  </si>
  <si>
    <t>Calvin Klein Jeans Colorblocked Three-Quarter-Sle Black XL</t>
  </si>
  <si>
    <t>42YK257</t>
  </si>
  <si>
    <t>889631035496</t>
  </si>
  <si>
    <t>Crystal Doll Juniors Embellished Fit Fla Mint 3</t>
  </si>
  <si>
    <t>JGE11877I</t>
  </si>
  <si>
    <t>886680006644</t>
  </si>
  <si>
    <t>Material Girl Juniors Belted Choker Jumpsui Black XS</t>
  </si>
  <si>
    <t>70091MG</t>
  </si>
  <si>
    <t>822980879410</t>
  </si>
  <si>
    <t>Jessica Simpson Ripped Acid Wash Straight-Leg Ripped Acid Wash 30</t>
  </si>
  <si>
    <t>829092258713</t>
  </si>
  <si>
    <t>XOXO Juniors Lace-Up Plaid Fit F Navy Plaid XL</t>
  </si>
  <si>
    <t>4253XBS3</t>
  </si>
  <si>
    <t>829092160740</t>
  </si>
  <si>
    <t>XOXO Juniors Sleeveless Faux-Leath White M</t>
  </si>
  <si>
    <t>9534PJQ8</t>
  </si>
  <si>
    <t>844620171319</t>
  </si>
  <si>
    <t>American Rag Embroidered Off-the-Shoulder P Egret Comb M</t>
  </si>
  <si>
    <t>2R9670EGC</t>
  </si>
  <si>
    <t>791093276938</t>
  </si>
  <si>
    <t>In Awe of You by AwesomenessTV Juniors Ponte-Knit Sweetheart Mediterranean Blue M</t>
  </si>
  <si>
    <t>SPJ53D1GC6</t>
  </si>
  <si>
    <t>889775097831</t>
  </si>
  <si>
    <t>American Rag Trendy Plus Size Pointelle Swe Dark Denim Combo 2X</t>
  </si>
  <si>
    <t>P6HT03B</t>
  </si>
  <si>
    <t>889775065816</t>
  </si>
  <si>
    <t>American Rag Printed Three Quarter-Sleeve R Black Combo M</t>
  </si>
  <si>
    <t>889775066240</t>
  </si>
  <si>
    <t>American Rag High-Waist Trudy Wash Skinny J Trudy Wash 0</t>
  </si>
  <si>
    <t>829092278872</t>
  </si>
  <si>
    <t>XOXO Juniors Ombre Sequined Tunic Burgundy L</t>
  </si>
  <si>
    <t>889775020624</t>
  </si>
  <si>
    <t>American Rag Ruffle Off-the-Shoulder Chambr Light Denim M</t>
  </si>
  <si>
    <t>5HD68JAN</t>
  </si>
  <si>
    <t>888825612628</t>
  </si>
  <si>
    <t>Material Girl Juniors Floral-Print Bodycon White Combo XXS</t>
  </si>
  <si>
    <t>10229CL204</t>
  </si>
  <si>
    <t>889775058863</t>
  </si>
  <si>
    <t>American Rag Printed Empire-Waist Handkerch Coral Multi XXL</t>
  </si>
  <si>
    <t>4SL92ZLCK</t>
  </si>
  <si>
    <t>713701106437</t>
  </si>
  <si>
    <t>Material Girl Juniors Mini Cape Dress Black M</t>
  </si>
  <si>
    <t>10340MG</t>
  </si>
  <si>
    <t>829092230108</t>
  </si>
  <si>
    <t>XOXO Juniors Asymmetrical-Zip Plai Navy S</t>
  </si>
  <si>
    <t>5481YPB3</t>
  </si>
  <si>
    <t>713701106567</t>
  </si>
  <si>
    <t>Material Girl Juniors Lace Bodycon Dress Zinfandel S</t>
  </si>
  <si>
    <t>889775020914</t>
  </si>
  <si>
    <t>American Rag Lace-Back High-Low Denim Tunic Linda Wash S</t>
  </si>
  <si>
    <t>889775069319</t>
  </si>
  <si>
    <t>American Rag Slim-Fit Ishana Wash Bootcut J Kremi Wash 15S</t>
  </si>
  <si>
    <t>886542618121</t>
  </si>
  <si>
    <t>B Darlin Juniors Colorblocked Fit Fl WineBlack 78</t>
  </si>
  <si>
    <t>652874864419</t>
  </si>
  <si>
    <t>Speechless Juniors Lace-Bodice Cutout A- Blush 0</t>
  </si>
  <si>
    <t>D66901HVS</t>
  </si>
  <si>
    <t>826409843402</t>
  </si>
  <si>
    <t>BCX Juniors Open-Front Plaid Blaz Multi S</t>
  </si>
  <si>
    <t>0079T07</t>
  </si>
  <si>
    <t>889775065434</t>
  </si>
  <si>
    <t>American Rag Juniors Printed Lace-Up Sundr Red Combo XL</t>
  </si>
  <si>
    <t>889387972908</t>
  </si>
  <si>
    <t>Trixxi Juniors Mock-Neck Lace Fit Teal M</t>
  </si>
  <si>
    <t>25K657W6BI</t>
  </si>
  <si>
    <t>829092290768</t>
  </si>
  <si>
    <t>XOXO Juniors Printed Racerback Bod Zebra Print M</t>
  </si>
  <si>
    <t>9512SCP5</t>
  </si>
  <si>
    <t>889387972922</t>
  </si>
  <si>
    <t>Trixxi Juniors Mock-Neck Lace Fit Teal XL</t>
  </si>
  <si>
    <t>889775078960</t>
  </si>
  <si>
    <t>American Rag Plus Size Bandana-Print Pintuc Bellini Combo 1X</t>
  </si>
  <si>
    <t>P3HQ99PBCM</t>
  </si>
  <si>
    <t>889237844225</t>
  </si>
  <si>
    <t>As U Wish Juniors Velvet Burnout Slip D Black L</t>
  </si>
  <si>
    <t>826410747928</t>
  </si>
  <si>
    <t>BCX Juniors Glitter Popover Neckl GoldBlack XXS</t>
  </si>
  <si>
    <t>1117Q0C</t>
  </si>
  <si>
    <t>822240596040</t>
  </si>
  <si>
    <t>BCX Juniors Sleeveless Belted Ruf Navy M</t>
  </si>
  <si>
    <t>114199D</t>
  </si>
  <si>
    <t>822982607431</t>
  </si>
  <si>
    <t>Jessica Simpson Adora Crocheted-Trim Top Black XXS</t>
  </si>
  <si>
    <t>889775045115</t>
  </si>
  <si>
    <t>American Rag Off-the-Shoulder Ruffle Chambr Denim XL</t>
  </si>
  <si>
    <t>6SD88LND</t>
  </si>
  <si>
    <t>889775052311</t>
  </si>
  <si>
    <t>American Rag Plus Size Pintucked Tee Indigo 0X</t>
  </si>
  <si>
    <t>P5MQ59IND</t>
  </si>
  <si>
    <t>888825755721</t>
  </si>
  <si>
    <t>Material Girl Juniors Racer-Front Lace Skat Egret XS</t>
  </si>
  <si>
    <t>10037EG204</t>
  </si>
  <si>
    <t>889387967522</t>
  </si>
  <si>
    <t>Trixxi Juniors Printed Halter Shift BlackRed XL</t>
  </si>
  <si>
    <t>26K721W6QI</t>
  </si>
  <si>
    <t>826410384833</t>
  </si>
  <si>
    <t>BCX Juniors Lace-Contrast Shift D Black XXS</t>
  </si>
  <si>
    <t>826410384864</t>
  </si>
  <si>
    <t>BCX Juniors Lace-Contrast Shift D Black M</t>
  </si>
  <si>
    <t>826409566554</t>
  </si>
  <si>
    <t>BCX Juniors Colorblocked Sweater Black M</t>
  </si>
  <si>
    <t>1116W2A</t>
  </si>
  <si>
    <t>889631048939</t>
  </si>
  <si>
    <t>Crystal Doll Juniors Open-Back Lace Bodyco Wine XL</t>
  </si>
  <si>
    <t>IXH12738I</t>
  </si>
  <si>
    <t>887430171360</t>
  </si>
  <si>
    <t>Material Girl Juniors Printed Sweetheart Ro Multi XL</t>
  </si>
  <si>
    <t>GR00652MTI</t>
  </si>
  <si>
    <t>601350895034</t>
  </si>
  <si>
    <t>Speechless Juniors Lace-Trim Swing Tank Navy L</t>
  </si>
  <si>
    <t>JA84404GKN</t>
  </si>
  <si>
    <t>887043604361</t>
  </si>
  <si>
    <t>Celebrity Pink Plus Size Dusky Green Wash Ski Dusky Green 14W</t>
  </si>
  <si>
    <t>888825754564</t>
  </si>
  <si>
    <t>Material Girl Juniors Embroidered Wrap-Fron Black Combo XS</t>
  </si>
  <si>
    <t>50127BC204</t>
  </si>
  <si>
    <t>713701095953</t>
  </si>
  <si>
    <t>American Rag Printed Waffle-Knit Lace-Trim Dusty Olive XS</t>
  </si>
  <si>
    <t>713701095977</t>
  </si>
  <si>
    <t>American Rag Printed Waffle-Knit Lace-Trim Dusty Olive M</t>
  </si>
  <si>
    <t>888825937691</t>
  </si>
  <si>
    <t>Material Girl Juniors Asymmetrical Pinstrip Black XS</t>
  </si>
  <si>
    <t>713701096004</t>
  </si>
  <si>
    <t>American Rag Printed Waffle-Knit Lace-Trim Dusty Olive XXL</t>
  </si>
  <si>
    <t>713701095694</t>
  </si>
  <si>
    <t>American Rag Printed Waffle-Knit Lace-Trim Floral Print XL</t>
  </si>
  <si>
    <t>705143674155</t>
  </si>
  <si>
    <t>Suede Juniors Riley Veronica Medium Veronica 28</t>
  </si>
  <si>
    <t>SUEDE/NINE WEST HOLDINGS</t>
  </si>
  <si>
    <t>884630082342</t>
  </si>
  <si>
    <t>Monteau Trendy Plus Size Patched Bombe Black 1X</t>
  </si>
  <si>
    <t>PL62160-S</t>
  </si>
  <si>
    <t>889351232823</t>
  </si>
  <si>
    <t>Roxy Sleep To Dream Printed Fit F Dark Blue L</t>
  </si>
  <si>
    <t>889602073236</t>
  </si>
  <si>
    <t>Jessica Simpson Juniors Ripped Track Jacket Pebbled Grey M</t>
  </si>
  <si>
    <t>3K31042MC</t>
  </si>
  <si>
    <t>791093318966</t>
  </si>
  <si>
    <t>In Awe of You by AwesomenessTV Juniors Printed A-Line Mini S Multi S</t>
  </si>
  <si>
    <t>SPJ338B1W13M</t>
  </si>
  <si>
    <t>637865195291</t>
  </si>
  <si>
    <t>Calvin Klein Jeans Metallic CK-Graphic T-Shirt Classic White S</t>
  </si>
  <si>
    <t>887043645241</t>
  </si>
  <si>
    <t>Celebrity Pink Trendy Plus Size Colored Wash Burnt Red 20W</t>
  </si>
  <si>
    <t>887043525598</t>
  </si>
  <si>
    <t>Celebrity Pink Plus Size Outsiders Wash Super Kings of Leon Light 24W</t>
  </si>
  <si>
    <t>CX20141H18</t>
  </si>
  <si>
    <t>746194692897</t>
  </si>
  <si>
    <t>Material Girl Juniors Flocked Bodysuit Black XL</t>
  </si>
  <si>
    <t>887043501523</t>
  </si>
  <si>
    <t>Celebrity Pink Juniors Black Wash Skinny Jea Black 3</t>
  </si>
  <si>
    <t>CJ22003SP</t>
  </si>
  <si>
    <t>887043500816</t>
  </si>
  <si>
    <t>Celebrity Pink Juniors The Shaper Colored Sk White 5</t>
  </si>
  <si>
    <t>CJ21046SP</t>
  </si>
  <si>
    <t>887043645227</t>
  </si>
  <si>
    <t>Celebrity Pink Trendy Plus Size Colored Wash Burnt Red 16W</t>
  </si>
  <si>
    <t>888825872305</t>
  </si>
  <si>
    <t>Material Girl Juniors Mock-Neck Asymmetrica Caviar Black S</t>
  </si>
  <si>
    <t>20175MG</t>
  </si>
  <si>
    <t>889775084701</t>
  </si>
  <si>
    <t>American Rag Sleeveless Lace-Inset Top Zinfandel XS</t>
  </si>
  <si>
    <t>889456073666</t>
  </si>
  <si>
    <t>Rampage Juniors Lace-Up-Pocket Grove Grove 1</t>
  </si>
  <si>
    <t>617171307298</t>
  </si>
  <si>
    <t>ING Trendy Plus Size Patch T-Shirt Navy 2Tone 3X</t>
  </si>
  <si>
    <t>NTC286X-FPI</t>
  </si>
  <si>
    <t>791093319840</t>
  </si>
  <si>
    <t>In Awe of You by AwesomenessTV Juniors Tie-Neck High-Low Shi White S</t>
  </si>
  <si>
    <t>887840191705</t>
  </si>
  <si>
    <t>Emerald Sundae Juniors Mock-Neck Colorblock OliveBlack M</t>
  </si>
  <si>
    <t>791093338094</t>
  </si>
  <si>
    <t>Trolls by DreamWorks Juniors Cold-Shoulder Graphic Pink L</t>
  </si>
  <si>
    <t>826409605239</t>
  </si>
  <si>
    <t>BCX Juniors Rib-Knit Sweater Dres Beige XS</t>
  </si>
  <si>
    <t>791093318683</t>
  </si>
  <si>
    <t>In Awe of You by AwesomenessTV Juniors Sheer Star-Print Tie- Multi L</t>
  </si>
  <si>
    <t>SPJ262T1W16M</t>
  </si>
  <si>
    <t>791093338315</t>
  </si>
  <si>
    <t>Trolls by DreamWorks Juniors Cold-Shoulder Graphic Black XS</t>
  </si>
  <si>
    <t>645545933828</t>
  </si>
  <si>
    <t>Material Girl Juniors Mesh-Inset Graphic Sw Black S</t>
  </si>
  <si>
    <t>645545933989</t>
  </si>
  <si>
    <t>Material Girl Juniors Graphic Mesh-Inset Sw Heather Charcoal S</t>
  </si>
  <si>
    <t>826410943894</t>
  </si>
  <si>
    <t>BCX Juniors Cropped Bootcut Trous Black 7</t>
  </si>
  <si>
    <t>888825870608</t>
  </si>
  <si>
    <t>Tinseltown Juniors High-Waist Skinny Jea Moss Camo Printed 15</t>
  </si>
  <si>
    <t>888825870592</t>
  </si>
  <si>
    <t>Tinseltown Juniors High-Waist Skinny Jea Moss Camo Printed 13</t>
  </si>
  <si>
    <t>889602062476</t>
  </si>
  <si>
    <t>Jessica Simpson Juniors Crocheted-Sleeve Acti Denim Wash XS</t>
  </si>
  <si>
    <t>3K30830MC</t>
  </si>
  <si>
    <t>826410454413</t>
  </si>
  <si>
    <t>BCX Juniors Metallic Chevron-Prin Multi Gold Chevron L</t>
  </si>
  <si>
    <t>1020Y7K</t>
  </si>
  <si>
    <t>713701100657</t>
  </si>
  <si>
    <t>American Rag Striped Lace High-Low Tank Top Grey S</t>
  </si>
  <si>
    <t>619720916555</t>
  </si>
  <si>
    <t>Be Bop Juniors Tie-Waist Blouson Dre Olive XXS</t>
  </si>
  <si>
    <t>887043661210</t>
  </si>
  <si>
    <t>Celebrity Pink Juniors Skinny Ponte Pants Heather Charcoal 0</t>
  </si>
  <si>
    <t>841060123182</t>
  </si>
  <si>
    <t>Hippie Rose Juniors Striped Crisscross-Ba Navy Combo M</t>
  </si>
  <si>
    <t>645545915855</t>
  </si>
  <si>
    <t>Material Girl Love Mesh-Trim Front-Zip Hoodi Black M</t>
  </si>
  <si>
    <t>695532440495</t>
  </si>
  <si>
    <t>Ultra Flirt Juniors Space-Dyed Mitered-He BlackGrayIvory XL</t>
  </si>
  <si>
    <t>887043628473</t>
  </si>
  <si>
    <t>Celebrity Pink Juniors Skinny Ponte Pants Olive Night 13</t>
  </si>
  <si>
    <t>889901060043</t>
  </si>
  <si>
    <t>Hooked Up by IOT Juniors Ombre Mixed-Knit Tuni Shearl TanSpiritual Vanilla XS</t>
  </si>
  <si>
    <t>695532480736</t>
  </si>
  <si>
    <t>Ultra Flirt Juniors Sleeveless Mock-Neck Black M</t>
  </si>
  <si>
    <t>710816359260</t>
  </si>
  <si>
    <t>BCX Juniors High-Waist Pencil Skir Black 3</t>
  </si>
  <si>
    <t>826409868122</t>
  </si>
  <si>
    <t>BCX Juniors Cold-Shoulder Space-D Black XL</t>
  </si>
  <si>
    <t>1081T0D</t>
  </si>
  <si>
    <t>889901059962</t>
  </si>
  <si>
    <t>Hooked Up by IOT Juniors Colorblock Zip-Pocket Fall Rust M</t>
  </si>
  <si>
    <t>889901060074</t>
  </si>
  <si>
    <t>Hooked Up by IOT Juniors Ombre Mixed-Knit Tuni Shearl TanSpiritual Vanilla L</t>
  </si>
  <si>
    <t>791093319116</t>
  </si>
  <si>
    <t>In Awe of You by AwesomenessTV Juniors Ribbed Mock-Neck Top Blue S</t>
  </si>
  <si>
    <t>SPJ276T1GH1M</t>
  </si>
  <si>
    <t>887400595677</t>
  </si>
  <si>
    <t>Eyeshadow Juniors Crochet-Front High-Lo Heather Grey L</t>
  </si>
  <si>
    <t>887648644977</t>
  </si>
  <si>
    <t>Trolls by DreamWorks Juniors Trolls Poppy Sweatshi Light Pink XS</t>
  </si>
  <si>
    <t>705143708102</t>
  </si>
  <si>
    <t>Energie Juniors Printed Graphic Leggi CaviarBerry M</t>
  </si>
  <si>
    <t>706256575971</t>
  </si>
  <si>
    <t>Material Girl Love Contrast Yoga Leggings BlackLeopard S</t>
  </si>
  <si>
    <t>706256504858</t>
  </si>
  <si>
    <t>Material Girl Love Contrast Cropped Yoga Leg Black S</t>
  </si>
  <si>
    <t>645545932142</t>
  </si>
  <si>
    <t>Material Girl Active Juniors Metallic Hoodi Heather Charcoal M</t>
  </si>
  <si>
    <t>645545932159</t>
  </si>
  <si>
    <t>Material Girl Active Juniors Metallic Hoodi Heather Charcoal L</t>
  </si>
  <si>
    <t>645545932135</t>
  </si>
  <si>
    <t>Material Girl Active Juniors Metallic Hoodi Heather Charcoal S</t>
  </si>
  <si>
    <t>645545932128</t>
  </si>
  <si>
    <t>Material Girl Active Juniors Metallic Hoodi Heather Charcoal XS</t>
  </si>
  <si>
    <t>706255688757</t>
  </si>
  <si>
    <t>Material Girl Juniors Crisscross Cropped Ac Flashmode S</t>
  </si>
  <si>
    <t>887069474832</t>
  </si>
  <si>
    <t>Pink Rose Juniors Striped Cowl-Neck Fin WickedHeather Oatmeal Stripe L</t>
  </si>
  <si>
    <t>841060124295</t>
  </si>
  <si>
    <t>Hippie Rose Juniors Long-Sleeve Coccoon C Moonstone L</t>
  </si>
  <si>
    <t>889602097638</t>
  </si>
  <si>
    <t>Jessica Simpson Juniors Printed Compression S Camo L</t>
  </si>
  <si>
    <t>3K31415MC</t>
  </si>
  <si>
    <t>705143698922</t>
  </si>
  <si>
    <t>Energie Juniors Molly V-Neck Textured Caviar M</t>
  </si>
  <si>
    <t>705143698953</t>
  </si>
  <si>
    <t>Energie Juniors Molly V-Neck Textured Caviar XS</t>
  </si>
  <si>
    <t>887400624490</t>
  </si>
  <si>
    <t>Eyeshadow Juniors Sleeveless High-Low B Urban Sage XS</t>
  </si>
  <si>
    <t>J7882MMEY</t>
  </si>
  <si>
    <t>841060125094</t>
  </si>
  <si>
    <t>Hippie Rose Juniors Dolman-Sleeve Graphic Medium Heather Grey L</t>
  </si>
  <si>
    <t>841060124769</t>
  </si>
  <si>
    <t>Hippie Rose Juniors Long-Sleeve Zip Hoodi Olive Branch XS</t>
  </si>
  <si>
    <t>887854011143</t>
  </si>
  <si>
    <t>Miss Chievous Juniors Lace-Trim V-Neck Tuni Faded Fatigue XL</t>
  </si>
  <si>
    <t>887854011006</t>
  </si>
  <si>
    <t>Miss Chievous Juniors Lace-Trim V-Neck Tuni Black XL</t>
  </si>
  <si>
    <t>887854091282</t>
  </si>
  <si>
    <t>Miss Chievous Juniors No Way Applique Pullo Blue Print XS</t>
  </si>
  <si>
    <t>705143698632</t>
  </si>
  <si>
    <t>Energie Juniors Willow Textured-Strip Dark Heather S</t>
  </si>
  <si>
    <t>887854011280</t>
  </si>
  <si>
    <t>Miss Chievous Juniors Lace-Trim V-Neck Tuni Shadow XL</t>
  </si>
  <si>
    <t>887854011259</t>
  </si>
  <si>
    <t>Miss Chievous Juniors Lace-Trim V-Neck Tuni Shadow S</t>
  </si>
  <si>
    <t>695532486264</t>
  </si>
  <si>
    <t>Ultra Flirt Juniors Striped Tie-Neck Tuni BlackWhite Stripe S</t>
  </si>
  <si>
    <t>645545880948</t>
  </si>
  <si>
    <t>Material Girl Juniors Sleeveless Romper Black M</t>
  </si>
  <si>
    <t>843561081374</t>
  </si>
  <si>
    <t>Miss Chievous Juniors Crochet-Trim Tie-Fron Faded Fatigue L</t>
  </si>
  <si>
    <t>637677209148</t>
  </si>
  <si>
    <t>Belle Du Jour Juniors Lace-Yoke Pocket Top Chrysanthemum L</t>
  </si>
  <si>
    <t>637677212612</t>
  </si>
  <si>
    <t>Belle Du Jour Juniors Lace-Trim Hoodie Tuni Red Plum XS</t>
  </si>
  <si>
    <t>705143713991</t>
  </si>
  <si>
    <t>Energie Active Juniors Fleece Vest an Wine Spacedye M</t>
  </si>
  <si>
    <t>841060121270</t>
  </si>
  <si>
    <t>Hippie Rose Juniors Pullover Hoodie BrandywineIvory S</t>
  </si>
  <si>
    <t>887069475389</t>
  </si>
  <si>
    <t>Pink Rose Juniors Ruched-Side Fine-Gaug Heather OatmealBlack L</t>
  </si>
  <si>
    <t>841060122307</t>
  </si>
  <si>
    <t>Hippie Rose Juniors Printed Pullover Swea Tapestry XL</t>
  </si>
  <si>
    <t>841060116276</t>
  </si>
  <si>
    <t>Hippie Rose Juniors Ombre Striped Asymmet SkyMarine S</t>
  </si>
  <si>
    <t>H6S0095</t>
  </si>
  <si>
    <t>705143715100</t>
  </si>
  <si>
    <t>Energie Juniors Fiona Tulip-Back Grap Heather Grey XL</t>
  </si>
  <si>
    <t>705143715070</t>
  </si>
  <si>
    <t>Energie Juniors Fiona Tulip-Back Grap Heather Grey L</t>
  </si>
  <si>
    <t>637677104740</t>
  </si>
  <si>
    <t>Belle Du Jour Juniors Faux-Suede Graphic Fr Olive M</t>
  </si>
  <si>
    <t>0YAGNQPA</t>
  </si>
  <si>
    <t>660032559121</t>
  </si>
  <si>
    <t>One Clothing Juniors Cutout-Back High-Low Black M</t>
  </si>
  <si>
    <t>CT6115-Y666</t>
  </si>
  <si>
    <t>713701018334</t>
  </si>
  <si>
    <t>Material Girl Juniors Cold-Shoulder Crop To Caviar Black S</t>
  </si>
  <si>
    <t>20040BK204</t>
  </si>
  <si>
    <t>695532481146</t>
  </si>
  <si>
    <t>Ultra Flirt Juniors Cowl-Neck Waffle-Knit Olive L</t>
  </si>
  <si>
    <t>190040280262</t>
  </si>
  <si>
    <t>Almost Famous Juniors Lace-Back Waffle-Knit Black XL</t>
  </si>
  <si>
    <t>190344362008</t>
  </si>
  <si>
    <t>Trolls by DreamWorks Juniors Trolls High-Low Poppy Vintage Black XL</t>
  </si>
  <si>
    <t>705143708003</t>
  </si>
  <si>
    <t>Energie Juniors Bree Mesh-Back Sports BlackStrawberry XL</t>
  </si>
  <si>
    <t>889602118326</t>
  </si>
  <si>
    <t>Jessica Simpson Cutout-Trim Rib-Knit Tank Top Jazzy Grey L</t>
  </si>
  <si>
    <t>705143679150</t>
  </si>
  <si>
    <t>Energie Juniors Run Asymmetrical-Hem Caviarknockout Pink L</t>
  </si>
  <si>
    <t>190121167796</t>
  </si>
  <si>
    <t>Mighty Fine Juniors Graphic Raglan T-Shir Grey XS</t>
  </si>
  <si>
    <t>695532486073</t>
  </si>
  <si>
    <t>Ultra Flirt Juniors Striped Johnny-Collar PeacoatGoji Berry L</t>
  </si>
  <si>
    <t>3C238MC</t>
  </si>
  <si>
    <t>645545865877</t>
  </si>
  <si>
    <t>Material Girl Juniors Strong Girl Graphic T Black XS</t>
  </si>
  <si>
    <t>M6234NR212</t>
  </si>
  <si>
    <t>645545946460</t>
  </si>
  <si>
    <t>Rebellious One Juniors Notch-Neck High-Low P Malbec XS</t>
  </si>
  <si>
    <t>A3165J232</t>
  </si>
  <si>
    <t>190371011504</t>
  </si>
  <si>
    <t>Bioworld Juniors Batman Superman Silho BlackGrey XL</t>
  </si>
  <si>
    <t>RG3XZQDOJ</t>
  </si>
  <si>
    <t>645545923744</t>
  </si>
  <si>
    <t>Trolls by DreamWorks Juniors Trolls Graphic Tank T Heather Charcoal XL</t>
  </si>
  <si>
    <t>M61137</t>
  </si>
  <si>
    <t>645545892774</t>
  </si>
  <si>
    <t>Material Girl Juniors Cutout-Back Graphic T Limearita L</t>
  </si>
  <si>
    <t>M6707LI212</t>
  </si>
  <si>
    <t>695532486745</t>
  </si>
  <si>
    <t>Ultra Flirt Juniors Waffle-Knit Football CharcoalWhite XL</t>
  </si>
  <si>
    <t>841060119857</t>
  </si>
  <si>
    <t>Hippie Rose Juniors V-Neck Tank Top Black XL</t>
  </si>
  <si>
    <t>637677171285</t>
  </si>
  <si>
    <t>Belle Du Jour Juniors V-Neck Necklace T-Shi Heather Grey XS</t>
  </si>
  <si>
    <t>0XJUNSBB</t>
  </si>
  <si>
    <t>887648645134</t>
  </si>
  <si>
    <t>Trolls by DreamWorks Juniors Trolls Graphic High-L NavyWhite XL</t>
  </si>
  <si>
    <t>887648645097</t>
  </si>
  <si>
    <t>Trolls by DreamWorks Juniors Trolls Graphic High-L NavyWhite XS</t>
  </si>
  <si>
    <t>645545882058</t>
  </si>
  <si>
    <t>Material Girl Juniors Braided-Back Active G Flashmode S</t>
  </si>
  <si>
    <t>M6511FM212</t>
  </si>
  <si>
    <t>695532487094</t>
  </si>
  <si>
    <t>Ultra Flirt Juniors Scoop-Back Pullover T BlackWhite Stripe XL</t>
  </si>
  <si>
    <t>695532487063</t>
  </si>
  <si>
    <t>Ultra Flirt Juniors Scoop-Back Pullover T BlackWhite Stripe S</t>
  </si>
  <si>
    <t>695532482013</t>
  </si>
  <si>
    <t>Ultra Flirt Juniors Rugby T-Shirt Dress Maroon L</t>
  </si>
  <si>
    <t>846545038463</t>
  </si>
  <si>
    <t>Hot Gal Juniors Printed Faux-Suede Mi Multi Blue M</t>
  </si>
  <si>
    <t>16643M</t>
  </si>
  <si>
    <t>695532487230</t>
  </si>
  <si>
    <t>Ultra Flirt Juniors Scoop-Back Pullover T Gardenia L</t>
  </si>
  <si>
    <t>695532487148</t>
  </si>
  <si>
    <t>Ultra Flirt Juniors Scoop-Back Pullover T Black XL</t>
  </si>
  <si>
    <t>716068562328</t>
  </si>
  <si>
    <t>NTD Juniors Sleeveless The Ramone Black XL</t>
  </si>
  <si>
    <t>695532487322</t>
  </si>
  <si>
    <t>Ultra Flirt Juniors Scoop-Back Pullover T Tawny Port M</t>
  </si>
  <si>
    <t>887648662049</t>
  </si>
  <si>
    <t>Freeze 24-7 Juniors Disney Minnie Mouse H WhiteCharcoal XL</t>
  </si>
  <si>
    <t>887648662087</t>
  </si>
  <si>
    <t>Disney Juniors Minnie Mouse Metallic True Black M</t>
  </si>
  <si>
    <t>IESJN30-8K75</t>
  </si>
  <si>
    <t>190344015713</t>
  </si>
  <si>
    <t>Marvel Juniors Marvel Ironman Graphi Heather GreyWhite XS</t>
  </si>
  <si>
    <t>JT3783JMCW0039</t>
  </si>
  <si>
    <t>888823564219</t>
  </si>
  <si>
    <t>Hybrid Juniors Royalty Minion Graphi Black M</t>
  </si>
  <si>
    <t>4J2015JDME847</t>
  </si>
  <si>
    <t>693401667950</t>
  </si>
  <si>
    <t>NTD Juniors Cuffed-Sleeve Los Ang White XL</t>
  </si>
  <si>
    <t>693401659856</t>
  </si>
  <si>
    <t>2-Kuhl Juniors High-Low Graphic T-Sh Charcoal Mix L</t>
  </si>
  <si>
    <t>QE1048YK1742</t>
  </si>
  <si>
    <t>705143690889</t>
  </si>
  <si>
    <t>Energie Juniors Roberta Reversible Sp Neon MelonFrost Grey XS</t>
  </si>
  <si>
    <t>645545952560</t>
  </si>
  <si>
    <t>Rebellious One Juniors Colorblock Graphic Tu Blush Deep XL</t>
  </si>
  <si>
    <t>695532424907</t>
  </si>
  <si>
    <t>Ultra Flirt Juniors Short-Sleeve Pocket T Cashmere BlueEclipse L</t>
  </si>
  <si>
    <t>3B914MC</t>
  </si>
  <si>
    <t>887648514997</t>
  </si>
  <si>
    <t>Freeze 24-7 Juniors Power Rangers Contras Grey Heather L</t>
  </si>
  <si>
    <t>HXSJ329-9L52</t>
  </si>
  <si>
    <t>705143664446</t>
  </si>
  <si>
    <t>Energie Juniors Scoop-Neck Top Jester Red S</t>
  </si>
  <si>
    <t>705143667416</t>
  </si>
  <si>
    <t>Energie Juniors Scoop-Neck Top Jester Red XXS</t>
  </si>
  <si>
    <t>821942425177</t>
  </si>
  <si>
    <t>Planet Gold Juniors Rib-Knit Cold-Shoulde Egret XS</t>
  </si>
  <si>
    <t>705143691961</t>
  </si>
  <si>
    <t>Energie Energie Juniors Mila V-Neck T Elfin Yellow M</t>
  </si>
  <si>
    <t>705143685540</t>
  </si>
  <si>
    <t>Energie Juniors Mila V-Neck T-Shirt Purple Hebe M</t>
  </si>
  <si>
    <t>705143685489</t>
  </si>
  <si>
    <t>Energie Energie Juniors Mila V-Neck T Fiery Coral M</t>
  </si>
  <si>
    <t>705143709055</t>
  </si>
  <si>
    <t>Energie Energie Juniors Mila V-Neck T Inky Blue XS</t>
  </si>
  <si>
    <t>821942362182</t>
  </si>
  <si>
    <t>Planet Gold Juniors Spaghetti-Strap Tank Fondue Fudge XL</t>
  </si>
  <si>
    <t>829864220306</t>
  </si>
  <si>
    <t>Planet Gold Juniors Printed Holiday Leggi Blue Polar Bear Combo S</t>
  </si>
  <si>
    <t>829864221648</t>
  </si>
  <si>
    <t>Planet Gold Juniors Printed Holiday Leggi GreyRed Fairisle Combo S</t>
  </si>
  <si>
    <t>705143688046</t>
  </si>
  <si>
    <t>Energie Juniors Reversible Seamless C Cockatoo M</t>
  </si>
  <si>
    <t>886984494673</t>
  </si>
  <si>
    <t>G.H. Bass Co. Zippered Mock-Neck Jacket Deep Navy Combo XXL</t>
  </si>
  <si>
    <t>GS6N8096</t>
  </si>
  <si>
    <t>886984375651</t>
  </si>
  <si>
    <t>G.H. Bass Co. V-Neck Maxi Dress Atlantic Blue S</t>
  </si>
  <si>
    <t>637865187876</t>
  </si>
  <si>
    <t>Calvin Klein Jeans Ripped Colored Ankle Skinny Je Muted Cloud 14</t>
  </si>
  <si>
    <t>42ZB600</t>
  </si>
  <si>
    <t>39373786273</t>
  </si>
  <si>
    <t>L/S HENLEY BLOUSE</t>
  </si>
  <si>
    <t>787165869788</t>
  </si>
  <si>
    <t>Loralie Maxi Dress</t>
  </si>
  <si>
    <t>637865225691</t>
  </si>
  <si>
    <t>Calvin Klein Jeans Low-Rise Skinny Jeans, Mid Use Windsor 30</t>
  </si>
  <si>
    <t>886984376405</t>
  </si>
  <si>
    <t>G.H. Bass Co. V-Neck Peplum Top Grey Multi XL</t>
  </si>
  <si>
    <t>GS6N4S28</t>
  </si>
  <si>
    <t>759880964499</t>
  </si>
  <si>
    <t>Sequin Hearts Juniors Sequin Lace Lattice-B Merlot 1</t>
  </si>
  <si>
    <t>3184GC1C</t>
  </si>
  <si>
    <t>637865188835</t>
  </si>
  <si>
    <t>637865191682</t>
  </si>
  <si>
    <t>Calvin Klein Jeans Marled High-Low-Hem Top Black White Combo XS</t>
  </si>
  <si>
    <t>637865191712</t>
  </si>
  <si>
    <t>Calvin Klein Jeans Marled High-Low-Hem Top Black White Combo L</t>
  </si>
  <si>
    <t>889631053346</t>
  </si>
  <si>
    <t>Crystal Doll Juniors Scalloped Lace Bodyco Red 13</t>
  </si>
  <si>
    <t>889775096087</t>
  </si>
  <si>
    <t>American Rag Eyelet-Trim Ruffle-Hem Sundres Egret M</t>
  </si>
  <si>
    <t>889387991855</t>
  </si>
  <si>
    <t>Trixxi Cold-Shoulder Sheath Dress Black XS</t>
  </si>
  <si>
    <t>652874802459</t>
  </si>
  <si>
    <t>Speechless Juniors Glittered Lace Dress Cherry Red 9</t>
  </si>
  <si>
    <t>822982636868</t>
  </si>
  <si>
    <t>Jessica Simpson Hyne Bell-Sleeve Sweater Medium Pink L</t>
  </si>
  <si>
    <t>822982636899</t>
  </si>
  <si>
    <t>Jessica Simpson Hyne Bell-Sleeve Sweater Medium Pink XL</t>
  </si>
  <si>
    <t>829092283364</t>
  </si>
  <si>
    <t>BRG SEQUIN NKLC</t>
  </si>
  <si>
    <t>4777XFW</t>
  </si>
  <si>
    <t>889387995044</t>
  </si>
  <si>
    <t>Trixxi Juniors V-Back Contrast Glitt Black 1</t>
  </si>
  <si>
    <t>26N140HR1I</t>
  </si>
  <si>
    <t>191170000331</t>
  </si>
  <si>
    <t>Trixxi Juniors Lace Off-The-Shoulder Black L</t>
  </si>
  <si>
    <t>708008376850</t>
  </si>
  <si>
    <t>City Studios Juniors Off-The-Shoulder Stri BlackWhite 13</t>
  </si>
  <si>
    <t>712683931303</t>
  </si>
  <si>
    <t>msh ovrlayextnd slvshirt</t>
  </si>
  <si>
    <t>42VK220</t>
  </si>
  <si>
    <t>637865192245</t>
  </si>
  <si>
    <t>Calvin Klein Jeans Lace-Up Split-Neck T-Shirt Shell Pink XS</t>
  </si>
  <si>
    <t>637865192276</t>
  </si>
  <si>
    <t>Calvin Klein Jeans Lace-Up Split-Neck T-Shirt Shell Pink L</t>
  </si>
  <si>
    <t>784645220886</t>
  </si>
  <si>
    <t>Sequin Hearts Juniors Crochet-Trim Fit Fl Navy 1</t>
  </si>
  <si>
    <t>826422004422</t>
  </si>
  <si>
    <t>BCX Juniors Lace Bomber Jacket Off White XL</t>
  </si>
  <si>
    <t>889237794209</t>
  </si>
  <si>
    <t>As U Wish Juniors Lace-Trim COld-Should Jade S</t>
  </si>
  <si>
    <t>I448265E4</t>
  </si>
  <si>
    <t>889387999813</t>
  </si>
  <si>
    <t>Trixxi Juniors Ruffle Lace Wrap Dres Black M</t>
  </si>
  <si>
    <t>826410535303</t>
  </si>
  <si>
    <t>BCX Juniors Off-The-Shoulder Fit Medium Blue M</t>
  </si>
  <si>
    <t>637865194973</t>
  </si>
  <si>
    <t>Calvin Klein Jeans Studded Snake-Graphic Top Classic White XL</t>
  </si>
  <si>
    <t>42ZK925</t>
  </si>
  <si>
    <t>713701116702</t>
  </si>
  <si>
    <t>784645265351</t>
  </si>
  <si>
    <t>Sequin Hearts Juniors Printed Off-The-Shoul Peach XS</t>
  </si>
  <si>
    <t>884630085114</t>
  </si>
  <si>
    <t>Monteau Plus Size Fit Flare Dress Oxblood 3X</t>
  </si>
  <si>
    <t>PL57195-C</t>
  </si>
  <si>
    <t>889775066448</t>
  </si>
  <si>
    <t>637865190449</t>
  </si>
  <si>
    <t>Calvin Klein Jeans Embellished Scoop-Neck T-Shirt Coldstone Heather M</t>
  </si>
  <si>
    <t>706256917801</t>
  </si>
  <si>
    <t>886680007108</t>
  </si>
  <si>
    <t>Material Girl Juniors Rib-Knit Mock-Neck Bo Caviar Black XL</t>
  </si>
  <si>
    <t>713701112193</t>
  </si>
  <si>
    <t>American Rag Smocked Bell-Sleeve Peasant To Chili Red S</t>
  </si>
  <si>
    <t>889775090528</t>
  </si>
  <si>
    <t>822240459109</t>
  </si>
  <si>
    <t>NVY STRP LACE PKBOO</t>
  </si>
  <si>
    <t>1004D7F</t>
  </si>
  <si>
    <t>889901163874</t>
  </si>
  <si>
    <t>Hooked Up by IOT Juniors Sequin Cupcake Pullov Pink Dust Combo XL</t>
  </si>
  <si>
    <t>674153686307</t>
  </si>
  <si>
    <t>Say What Juniors Mock-Neck Rib-Knit Dr Blush XS</t>
  </si>
  <si>
    <t>826409604638</t>
  </si>
  <si>
    <t>791093382196</t>
  </si>
  <si>
    <t>SHIFT Juniors Velvet Camisole Muave XL</t>
  </si>
  <si>
    <t>889901163829</t>
  </si>
  <si>
    <t>Hooked Up by IOT Juniors Amaaazing Pullover Sw Twilight Blue Combo XL</t>
  </si>
  <si>
    <t>889602137921</t>
  </si>
  <si>
    <t>Jessica Simpson Juniors Fleece-Panel Sweatshi Aqua Smoke L</t>
  </si>
  <si>
    <t>889602137969</t>
  </si>
  <si>
    <t>Jessica Simpson Juniors Fleece-Panel Sweatshi Jet Black M</t>
  </si>
  <si>
    <t>190040349549</t>
  </si>
  <si>
    <t>Almost Famous Juniors Patch Knit Bomber Jac Olive Combo S</t>
  </si>
  <si>
    <t>190040349464</t>
  </si>
  <si>
    <t>Almost Famous Juniors Patch Knit Bomber Jac Burgundy S</t>
  </si>
  <si>
    <t>637677233433</t>
  </si>
  <si>
    <t>Belle Du Jour Juniors Cardigan, T-Shirt and Deep Merlot XL</t>
  </si>
  <si>
    <t>706256917276</t>
  </si>
  <si>
    <t>Material Girl Printed Yoga Leggings Black L</t>
  </si>
  <si>
    <t>706256917283</t>
  </si>
  <si>
    <t>Material Girl Printed Yoga Leggings Black XL</t>
  </si>
  <si>
    <t>706256917252</t>
  </si>
  <si>
    <t>Material Girl Printed Yoga Leggings Black S</t>
  </si>
  <si>
    <t>706256917306</t>
  </si>
  <si>
    <t>Material Girl Printed Yoga Leggings Black XXS</t>
  </si>
  <si>
    <t>841060127036</t>
  </si>
  <si>
    <t>Hippie Rose Juniors Zip-Front Velour Hood Spicy Sangria XL</t>
  </si>
  <si>
    <t>706256576435</t>
  </si>
  <si>
    <t>706256894980</t>
  </si>
  <si>
    <t>INC International Concepts Pique Dress with Bow Ballet Pink 10</t>
  </si>
  <si>
    <t>706256895147</t>
  </si>
  <si>
    <t>706256895031</t>
  </si>
  <si>
    <t>706257141182</t>
  </si>
  <si>
    <t>645545866263</t>
  </si>
  <si>
    <t>HTR SHORTS W/ MESH SIDES</t>
  </si>
  <si>
    <t>M6282HN212</t>
  </si>
  <si>
    <t>887409060428</t>
  </si>
  <si>
    <t>Polly Esther Juniors Plaid Button-Front Sh BlackBurgundy L</t>
  </si>
  <si>
    <t>887409058777</t>
  </si>
  <si>
    <t>645545969179</t>
  </si>
  <si>
    <t>695532489500</t>
  </si>
  <si>
    <t>OLV SWEATPANT W/RIB CUFF</t>
  </si>
  <si>
    <t>190371327452</t>
  </si>
  <si>
    <t>Bioworld Juniors Wonder Woman Graphic White XS</t>
  </si>
  <si>
    <t>791093319512</t>
  </si>
  <si>
    <t>In Awe of You by AwesomenessTV Juniors Tiered Lace Dress Ruby M</t>
  </si>
  <si>
    <t>889775082929</t>
  </si>
  <si>
    <t>American Rag Denim Skirtalls Sorrento Wash XXS</t>
  </si>
  <si>
    <t>829092257556</t>
  </si>
  <si>
    <t>XOXO Juniors Embellished Blazer Cranberry XL</t>
  </si>
  <si>
    <t>829092257280</t>
  </si>
  <si>
    <t>XOXO Juniors Embellished Blazer Black XL</t>
  </si>
  <si>
    <t>I1VZC955H</t>
  </si>
  <si>
    <t>826410223132</t>
  </si>
  <si>
    <t>BCX Juniors Crocheted Lace Fit Wine 7</t>
  </si>
  <si>
    <t>889775070575</t>
  </si>
  <si>
    <t>American Rag High-Waist Trudy Wash Skinny J Twilight Wash 0</t>
  </si>
  <si>
    <t>844620182247</t>
  </si>
  <si>
    <t>American Rag Tiered Crochet-Trim Sleeveless Black XS</t>
  </si>
  <si>
    <t>2T0105CBK</t>
  </si>
  <si>
    <t>889775049762</t>
  </si>
  <si>
    <t>American Rag Printed Smocked Ruffle-Hem Dre Multi Floral S</t>
  </si>
  <si>
    <t>5SW85MCKC</t>
  </si>
  <si>
    <t>JA27441DKN</t>
  </si>
  <si>
    <t>1123V25</t>
  </si>
  <si>
    <t>708008360880</t>
  </si>
  <si>
    <t>City Studios Juniors Double-Strap High-Low Cherry XL</t>
  </si>
  <si>
    <t>889775083186</t>
  </si>
  <si>
    <t>American Rag Cold-Shoulder Peasant Top Off White M</t>
  </si>
  <si>
    <t>829092235172</t>
  </si>
  <si>
    <t>XOXO Juniors Plaid Button-Front Mi Navy XS</t>
  </si>
  <si>
    <t>20174MG</t>
  </si>
  <si>
    <t>887043681584</t>
  </si>
  <si>
    <t>Celebrity Pink Juniors Slimming Technology C Iron Gate 7</t>
  </si>
  <si>
    <t>887043679932</t>
  </si>
  <si>
    <t>Celebrity Pink Juniors Slimming Technology C Burnt Red 3</t>
  </si>
  <si>
    <t>889602109744</t>
  </si>
  <si>
    <t>Freshman Juniors One-Button Knit Blaze Jet Black L</t>
  </si>
  <si>
    <t>888825958825</t>
  </si>
  <si>
    <t>Tinseltown Juniors Sweater-Sleeve Denim Rinse Wash S</t>
  </si>
  <si>
    <t>888825958832</t>
  </si>
  <si>
    <t>Tinseltown Juniors Sweater-Sleeve Denim Rinse Wash M</t>
  </si>
  <si>
    <t>1022V25</t>
  </si>
  <si>
    <t>826409510113</t>
  </si>
  <si>
    <t>BCX Juniors Space-Dyed Asymmetric Black XS</t>
  </si>
  <si>
    <t>KBY7164CD2</t>
  </si>
  <si>
    <t>889387779750</t>
  </si>
  <si>
    <t>Trixxi Juniors Flared Cutout Dress Royal 9</t>
  </si>
  <si>
    <t>0066R8H</t>
  </si>
  <si>
    <t>713701100466</t>
  </si>
  <si>
    <t>American Rag Striped Lace High-Low Tank Top Zinfandel L</t>
  </si>
  <si>
    <t>889775072616</t>
  </si>
  <si>
    <t>American Rag Striped Lace-Trim Top Zinfandel M</t>
  </si>
  <si>
    <t>1027V63</t>
  </si>
  <si>
    <t>841413124743</t>
  </si>
  <si>
    <t>OhMG Juniors Go Your Own Way Shine Olive S</t>
  </si>
  <si>
    <t>887043641618</t>
  </si>
  <si>
    <t>Celebrity Pink Juniors Button-Front Mini A-L Brown Sugar XL</t>
  </si>
  <si>
    <t>619720908680</t>
  </si>
  <si>
    <t>Be Bop Juniors Military Shirt Ivory XL</t>
  </si>
  <si>
    <t>887648644991</t>
  </si>
  <si>
    <t>Trolls by DreamWorks Juniors Trolls Poppy Sweatshi Light Pink M</t>
  </si>
  <si>
    <t>887854000567</t>
  </si>
  <si>
    <t>Miss Chievous Juniors Printed Raglan-Sleeve Soft Breeze L</t>
  </si>
  <si>
    <t>645545938731</t>
  </si>
  <si>
    <t>Rebellious One Juniors Squad Sequin Reverse Black XL</t>
  </si>
  <si>
    <t>645545938854</t>
  </si>
  <si>
    <t>Rebellious One Juniors Military Patches Reve Olive Fatigue XL</t>
  </si>
  <si>
    <t>645545938908</t>
  </si>
  <si>
    <t>Rebellious One Juniors Festival Patches Tuni Mellow Rose L</t>
  </si>
  <si>
    <t>637677212490</t>
  </si>
  <si>
    <t>Belle Du Jour Juniors Lace-Trim Hoodie Tuni Twilight Blue L</t>
  </si>
  <si>
    <t>637677203849</t>
  </si>
  <si>
    <t>Belle Du Jour Juniors Lace-Trim Pocket Top Purple Potion L</t>
  </si>
  <si>
    <t>190344429060</t>
  </si>
  <si>
    <t>Hybrid Juniors Despicable Me Fluffy Light Pink M</t>
  </si>
  <si>
    <t>841060122284</t>
  </si>
  <si>
    <t>Hippie Rose Juniors Printed Pullover Swea Tapestry M</t>
  </si>
  <si>
    <t>695532437440</t>
  </si>
  <si>
    <t>Ultra Flirt Juniors Marled High-Low Pullo BlackWhite S</t>
  </si>
  <si>
    <t>695532437549</t>
  </si>
  <si>
    <t>Ultra Flirt Juniors Marled High-Low Pullo Mustard S</t>
  </si>
  <si>
    <t>821942395838</t>
  </si>
  <si>
    <t>Planet Gold Juniors Printed Fit Flare D Black Grey Floral S</t>
  </si>
  <si>
    <t>0ZMNAHPG</t>
  </si>
  <si>
    <t>190371272349</t>
  </si>
  <si>
    <t>Bioworld Juniors DC Comics Batman Fren BlackHeather Grey M</t>
  </si>
  <si>
    <t>M5D33SP212</t>
  </si>
  <si>
    <t>ZU8129-7970-MC</t>
  </si>
  <si>
    <t>F2619ICB1-MACY</t>
  </si>
  <si>
    <t>190121177849</t>
  </si>
  <si>
    <t>Mighty Fine Juniors Skeleton Heart Graphi WhiteBlack L</t>
  </si>
  <si>
    <t>F2668ARU1-MACY</t>
  </si>
  <si>
    <t>695532487124</t>
  </si>
  <si>
    <t>Ultra Flirt Juniors Scoop-Back Pullover T Black M</t>
  </si>
  <si>
    <t>190344363302</t>
  </si>
  <si>
    <t>Trolls by DreamWorks Juniors Trolls Poppy Graphic Ocean Depths L</t>
  </si>
  <si>
    <t>695532471864</t>
  </si>
  <si>
    <t>Ultra Flirt Juniors Striped Split-Neck T- OliveBlack S</t>
  </si>
  <si>
    <t>695532471789</t>
  </si>
  <si>
    <t>Ultra Flirt Juniors Striped Split-Neck T- BurgundyBlack L</t>
  </si>
  <si>
    <t>645545926264</t>
  </si>
  <si>
    <t>Rebellious One Juniors Tie-Front Top Heather Grey L</t>
  </si>
  <si>
    <t>887648644540</t>
  </si>
  <si>
    <t>Trolls by DreamWorks Juniors Trolls Graphic Raglan Grey Heather XS</t>
  </si>
  <si>
    <t>887648644519</t>
  </si>
  <si>
    <t>Trolls by DreamWorks Juniors Trolls Graphic Raglan WhiteBlack L</t>
  </si>
  <si>
    <t>693401667837</t>
  </si>
  <si>
    <t>2-Kuhl Juniors Cuffed Graphic T-Shir Light Grey Mix M</t>
  </si>
  <si>
    <t>QE1048YK1754</t>
  </si>
  <si>
    <t>190344072068</t>
  </si>
  <si>
    <t>Hybrid Juniors Pokemon Pikachu Grap Black L</t>
  </si>
  <si>
    <t>190344072075</t>
  </si>
  <si>
    <t>Hybrid Juniors Pokemon Pikachu Grap Black XL</t>
  </si>
  <si>
    <t>887648690363</t>
  </si>
  <si>
    <t>Freeze 24-7 Juniors Pokemon Pikachu Grap Light Blue XL</t>
  </si>
  <si>
    <t>887648690264</t>
  </si>
  <si>
    <t>Freeze 24-7 Juniors Pokemon Pikachu Fr True Black XL</t>
  </si>
  <si>
    <t>887648690158</t>
  </si>
  <si>
    <t>Freeze 24-7 Juniors Pokemon Graphic T-Sh Navy L</t>
  </si>
  <si>
    <t>887648690257</t>
  </si>
  <si>
    <t>Freeze 24-7 Juniors Pokemon Pikachu Fr True Black L</t>
  </si>
  <si>
    <t>887648690165</t>
  </si>
  <si>
    <t>Freeze 24-7 Juniors Pokemon Graphic T-Sh Navy XL</t>
  </si>
  <si>
    <t>42ZT789</t>
  </si>
  <si>
    <t>637865184202</t>
  </si>
  <si>
    <t>Calvin Klein Jeans Printed Pocketed Top White Wash XL</t>
  </si>
  <si>
    <t>829092252698</t>
  </si>
  <si>
    <t>WINE OPEN SLDER DRESS W/N</t>
  </si>
  <si>
    <t>I460795A7</t>
  </si>
  <si>
    <t>660032593101</t>
  </si>
  <si>
    <t>One Clothing Juniors Lace-Trim Romper Black L</t>
  </si>
  <si>
    <t>BURG LS RAYON HERRINGBONE</t>
  </si>
  <si>
    <t>887409058760</t>
  </si>
  <si>
    <t>42WA720</t>
  </si>
  <si>
    <t>637865015414</t>
  </si>
  <si>
    <t>Calvin Klein Jeans Straight-Leg Twilight Water Wa Twilight Water 29</t>
  </si>
  <si>
    <t>637865095904</t>
  </si>
  <si>
    <t>Calvin Klein Jeans Colorblocked V-Neck Top Black L</t>
  </si>
  <si>
    <t>42YW153</t>
  </si>
  <si>
    <t>829092257532</t>
  </si>
  <si>
    <t>XOXO Juniors Embellished Blazer Cranberry M</t>
  </si>
  <si>
    <t>637865205693</t>
  </si>
  <si>
    <t>Calvin Klein Jeans Graphic-Logo Pleated Sweatshir Red XL</t>
  </si>
  <si>
    <t>822982511547</t>
  </si>
  <si>
    <t>Jessica Simpson Lace-Up Off-The-Shoulder Sweat Whisper White L</t>
  </si>
  <si>
    <t>6794BPL5</t>
  </si>
  <si>
    <t>SPJ265D1GHGM</t>
  </si>
  <si>
    <t>791093319062</t>
  </si>
  <si>
    <t>In Awe of You by AwesomenessTV Juniors Printed Ruffled Shift Multi S</t>
  </si>
  <si>
    <t>889237774911</t>
  </si>
  <si>
    <t>As U Wish Juniors 2-Pc. Crop Top Lace Black 3</t>
  </si>
  <si>
    <t>I561128E1</t>
  </si>
  <si>
    <t>I561331E4</t>
  </si>
  <si>
    <t>889775060088</t>
  </si>
  <si>
    <t>American Rag Juniors Embroidered Dark Rins Dark Rinse 0</t>
  </si>
  <si>
    <t>6MD97AAB</t>
  </si>
  <si>
    <t>889775083278</t>
  </si>
  <si>
    <t>American Rag Cold-Shoulder Peasant Top Zinfandel XL</t>
  </si>
  <si>
    <t>713701095663</t>
  </si>
  <si>
    <t>American Rag Printed Waffle-Knit Lace-Trim Floral Print S</t>
  </si>
  <si>
    <t>826409520389</t>
  </si>
  <si>
    <t>BCX Juniors High-Low Cowl-Neck Sw Black L</t>
  </si>
  <si>
    <t>887043618283</t>
  </si>
  <si>
    <t>Celebrity Pink Body Sculpt by Celebrity Pink Outlaw 13</t>
  </si>
  <si>
    <t>20189MG</t>
  </si>
  <si>
    <t>637677086275</t>
  </si>
  <si>
    <t>Material Girl Juniors Faux-Suede Midi Skirt Burnt Olive S</t>
  </si>
  <si>
    <t>50102BU204</t>
  </si>
  <si>
    <t>744199722113</t>
  </si>
  <si>
    <t>Dollhouse Juniors Paint Splatter Dark W Dark Wash 3</t>
  </si>
  <si>
    <t>OK-2162ME</t>
  </si>
  <si>
    <t>887043640079</t>
  </si>
  <si>
    <t>Celebrity Pink Juniors Vintage Dark Wash Ski Ashen Wash 1</t>
  </si>
  <si>
    <t>CJ21043H19</t>
  </si>
  <si>
    <t>888650119354</t>
  </si>
  <si>
    <t>Ariya Juniors Embellished Slim Boot Grenada 15</t>
  </si>
  <si>
    <t>V20655-3</t>
  </si>
  <si>
    <t>887409059521</t>
  </si>
  <si>
    <t>Polly Esther Juniors Queen Bee Lemonade Gr Grey XL</t>
  </si>
  <si>
    <t>888825958818</t>
  </si>
  <si>
    <t>Tinseltown Juniors Sweater-Sleeve Denim Rinse Wash XS</t>
  </si>
  <si>
    <t>RR5229C7MZ</t>
  </si>
  <si>
    <t>ZT5306C58MZ</t>
  </si>
  <si>
    <t>ZT5306C56MZ</t>
  </si>
  <si>
    <t>619720907287</t>
  </si>
  <si>
    <t>Be Bop Juniors High-Waist Bootcut Tr Navy 1</t>
  </si>
  <si>
    <t>887840185742</t>
  </si>
  <si>
    <t>Emerald Sundae Juniors Knit Dress with Knot- BlackWhite XS</t>
  </si>
  <si>
    <t>ERM2705020</t>
  </si>
  <si>
    <t>887840185759</t>
  </si>
  <si>
    <t>Emerald Sundae Juniors Knit Dress with Knot- BlackWhite S</t>
  </si>
  <si>
    <t>888825899173</t>
  </si>
  <si>
    <t>Tinseltown Juniors Ripped Black Wash Ski Black 11</t>
  </si>
  <si>
    <t>889387779743</t>
  </si>
  <si>
    <t>Trixxi Juniors Flared Cutout Dress Royal 7</t>
  </si>
  <si>
    <t>614015967892</t>
  </si>
  <si>
    <t>Rewash Juniors Pull-On Jeggings Ligh BlueBlack 0</t>
  </si>
  <si>
    <t>J8722AE4</t>
  </si>
  <si>
    <t>614015968059</t>
  </si>
  <si>
    <t>Rewash Juniors Pull-On Jeggings Medium BlueBlack 3</t>
  </si>
  <si>
    <t>826410232523</t>
  </si>
  <si>
    <t>BCX Juniors Printed Scuba Midi Pe Multi S</t>
  </si>
  <si>
    <t>H6F0117</t>
  </si>
  <si>
    <t>5T51953MC</t>
  </si>
  <si>
    <t>645545894600</t>
  </si>
  <si>
    <t>Material Girl Juniors Zipper-Front Contrast Black M</t>
  </si>
  <si>
    <t>CJ50171GI</t>
  </si>
  <si>
    <t>695532460080</t>
  </si>
  <si>
    <t>Ultra Flirt Juniors Plaid Raglan-Sleeve L BlackWhite S</t>
  </si>
  <si>
    <t>887648644922</t>
  </si>
  <si>
    <t>Trolls by DreamWorks Juniors Trolls Chenille Appli Grey Heather S</t>
  </si>
  <si>
    <t>TJSJ138-8K78</t>
  </si>
  <si>
    <t>887854000291</t>
  </si>
  <si>
    <t>Miss Chievous Juniors Printed Raglan-Sleeve Pinot Noir M</t>
  </si>
  <si>
    <t>JA9861S353</t>
  </si>
  <si>
    <t>843561096200</t>
  </si>
  <si>
    <t>Miss Chievous Juniors Striped Rib-Knit Kang Dusty Olive L</t>
  </si>
  <si>
    <t>843561096255</t>
  </si>
  <si>
    <t>Miss Chievous Juniors Striped Rib-Knit Kang Merlot L</t>
  </si>
  <si>
    <t>889901093928</t>
  </si>
  <si>
    <t>Hooked Up by IOT Juniors Sleeveless Mock-Turtl BlackSilver Grey M</t>
  </si>
  <si>
    <t>J61462M</t>
  </si>
  <si>
    <t>M2JD265</t>
  </si>
  <si>
    <t>190344361735</t>
  </si>
  <si>
    <t>Trolls by DreamWorks Juniors Trolls Patched Jogger Deep Teal M</t>
  </si>
  <si>
    <t>190344361728</t>
  </si>
  <si>
    <t>Trolls by DreamWorks Juniors Trolls Patched Jogger Deep Teal S</t>
  </si>
  <si>
    <t>190344361711</t>
  </si>
  <si>
    <t>Trolls by DreamWorks Juniors Trolls Patched Jogger Deep Teal XS</t>
  </si>
  <si>
    <t>706255607574</t>
  </si>
  <si>
    <t>DRAFT - juniors dump page Black XXS</t>
  </si>
  <si>
    <t>190121167857</t>
  </si>
  <si>
    <t>Mighty Fine Juniors Pizza Party Graphic B Linen S</t>
  </si>
  <si>
    <t>645545893412</t>
  </si>
  <si>
    <t>Material Girl Juniors Mesh Racerback Tank T Black L</t>
  </si>
  <si>
    <t>M6800NR212</t>
  </si>
  <si>
    <t>887648644403</t>
  </si>
  <si>
    <t>Trolls by DreamWorks Juniors Trolls Graphic Raglan WhitePurple Heather XL</t>
  </si>
  <si>
    <t>190344393828</t>
  </si>
  <si>
    <t>Hybrid Juniors Graphic Raglan T-Shir PearlHeather Charcoal S</t>
  </si>
  <si>
    <t>190371275708</t>
  </si>
  <si>
    <t>Bioworld Juniors Graphic T-Shirt Athletic Heather L</t>
  </si>
  <si>
    <t>190371275814</t>
  </si>
  <si>
    <t>Bioworld Juniors Graphic V-Neck T-Shir Navy XL</t>
  </si>
  <si>
    <t>190371228049</t>
  </si>
  <si>
    <t>Bioworld Juniors Graphic Tank Top White L</t>
  </si>
  <si>
    <t>FA2MB7BMW</t>
  </si>
  <si>
    <t>887648690141</t>
  </si>
  <si>
    <t>Freeze 24-7 Juniors Pokemon Graphic T-Sh Navy M</t>
  </si>
  <si>
    <t>708008341032</t>
  </si>
  <si>
    <t>SCALLOP LACE ILLUS PARTY</t>
  </si>
  <si>
    <t>3155YG2CT3</t>
  </si>
  <si>
    <t>708008341025</t>
  </si>
  <si>
    <t>637865182291</t>
  </si>
  <si>
    <t>Calvin Klein Jeans Printed Denim Shift Dress Indigo Camo M</t>
  </si>
  <si>
    <t>637865184417</t>
  </si>
  <si>
    <t>Calvin Klein Jeans Printed High-Low Shirt Underground XL</t>
  </si>
  <si>
    <t>889237615948</t>
  </si>
  <si>
    <t>NVY SLVLESS DRESS</t>
  </si>
  <si>
    <t>I331995A7</t>
  </si>
  <si>
    <t>637865190814</t>
  </si>
  <si>
    <t>Calvin Klein Jeans Mixed-Media Sleeveless Top Black XL</t>
  </si>
  <si>
    <t>887840203378</t>
  </si>
  <si>
    <t>Emerald Sundae Juniors Contrast Lace Popover Black S</t>
  </si>
  <si>
    <t>601350950139</t>
  </si>
  <si>
    <t>OLIV ZIP PULL ON</t>
  </si>
  <si>
    <t>V20865-1</t>
  </si>
  <si>
    <t>885779656142</t>
  </si>
  <si>
    <t>BLAC ZIP PULL ON</t>
  </si>
  <si>
    <t>H6F0138</t>
  </si>
  <si>
    <t>619720921504</t>
  </si>
  <si>
    <t>Be Bop Juniors Smocked-Waist Shorts Black XS</t>
  </si>
  <si>
    <t>SIDE ROUCHED DROP SHLDR</t>
  </si>
  <si>
    <t>ZU5390-6866-6359</t>
  </si>
  <si>
    <t>Material Girl Juniors Graphic Tank Top Bright White L</t>
  </si>
  <si>
    <t>749709233769</t>
  </si>
  <si>
    <t>Blondie Nites Juniors Embellished Strapless NavyWhite 3</t>
  </si>
  <si>
    <t>708008345863</t>
  </si>
  <si>
    <t>City Studios Juniors Strapless Lace Fit BlushSilver 5</t>
  </si>
  <si>
    <t>8230NG4ETP</t>
  </si>
  <si>
    <t>I015J529H</t>
  </si>
  <si>
    <t>886542616370</t>
  </si>
  <si>
    <t>B Darlin Juniors Strapless Floral-Prin Multi Color 34</t>
  </si>
  <si>
    <t>I782E268H</t>
  </si>
  <si>
    <t>886542616493</t>
  </si>
  <si>
    <t>B Darlin Juniors Embellished Scuba Fit Black 910</t>
  </si>
  <si>
    <t>888825936939</t>
  </si>
  <si>
    <t>Material Girl Juniors Pinstripe Tuxedo Dres Black S</t>
  </si>
  <si>
    <t>10339MG</t>
  </si>
  <si>
    <t>829092258744</t>
  </si>
  <si>
    <t>XOXO Juniors Lace-Up Plaid Fit F Navy Plaid L</t>
  </si>
  <si>
    <t>829092250199</t>
  </si>
  <si>
    <t>XOXO Juniors Asymmetrical Embellis Hunter M</t>
  </si>
  <si>
    <t>9680DPC3</t>
  </si>
  <si>
    <t>822982511271</t>
  </si>
  <si>
    <t>Jessica Simpson Lace-Up Off-The-Shoulder Sweat Black M</t>
  </si>
  <si>
    <t>9678TPR3</t>
  </si>
  <si>
    <t>829092240435</t>
  </si>
  <si>
    <t>XOXO Juniors Sleeveless Belted Shi Cranberry L</t>
  </si>
  <si>
    <t>886998477426</t>
  </si>
  <si>
    <t>American Rag Crochet-Back Plaid Shirt-Jacke Classic Black Combo XS</t>
  </si>
  <si>
    <t>889775098463</t>
  </si>
  <si>
    <t>American Rag Trendy Plus Size Cold-Shoulder Classic Black Combo 3X</t>
  </si>
  <si>
    <t>889631043835</t>
  </si>
  <si>
    <t>Crystal Doll Juniors Colorblocked Scuba Fi BlackRed S</t>
  </si>
  <si>
    <t>KQK11628SI</t>
  </si>
  <si>
    <t>887043500441</t>
  </si>
  <si>
    <t>Celebrity Pink Juniors Light Wash Skinny Jea Mystic Falls 3</t>
  </si>
  <si>
    <t>SPJ99B1GFAM</t>
  </si>
  <si>
    <t>744199722137</t>
  </si>
  <si>
    <t>Dollhouse Juniors Paint Splatter Dark W Dark Wash 7</t>
  </si>
  <si>
    <t>889237708619</t>
  </si>
  <si>
    <t>As U Wish Juniors Lace-Trim Shift Dress Black M</t>
  </si>
  <si>
    <t>889387779729</t>
  </si>
  <si>
    <t>Trixxi Juniors Flared Cutout Dress Royal 3</t>
  </si>
  <si>
    <t>826410454420</t>
  </si>
  <si>
    <t>BCX Juniors Metallic Chevron-Prin Multi Gold Chevron XL</t>
  </si>
  <si>
    <t>619720901339</t>
  </si>
  <si>
    <t>Be Bop Juniors Faux-Wrap Romper RustGold M</t>
  </si>
  <si>
    <t>JFSEQ004834</t>
  </si>
  <si>
    <t>1019N23</t>
  </si>
  <si>
    <t>841060119314</t>
  </si>
  <si>
    <t>Hippie Rose Juniors Handkerchief-Hem Card Retro Maroon Combo XS</t>
  </si>
  <si>
    <t>841060119123</t>
  </si>
  <si>
    <t>Hippie Rose Juniors Handkerchief-Hem Card Coyote Blue Combo S</t>
  </si>
  <si>
    <t>841060121690</t>
  </si>
  <si>
    <t>Pink Rose Juniors Raglan-Sleeve Fine-Ga Twilight BlueIvory L</t>
  </si>
  <si>
    <t>841060121522</t>
  </si>
  <si>
    <t>Pink Rose Juniors Raglan-Sleeve Fine-Ga BlackHeather Oatmeal S</t>
  </si>
  <si>
    <t>M5O24BK212</t>
  </si>
  <si>
    <t>821942396156</t>
  </si>
  <si>
    <t>Planet Gold Juniors Scoop-Neck Fit Flar Black XXS</t>
  </si>
  <si>
    <t>821942396118</t>
  </si>
  <si>
    <t>Planet Gold Juniors Scoop-Neck Fit Flar Black S</t>
  </si>
  <si>
    <t>821942395852</t>
  </si>
  <si>
    <t>Planet Gold Juniors Printed Fit Flare D Black Grey Floral XS</t>
  </si>
  <si>
    <t>190040298298</t>
  </si>
  <si>
    <t>Almost Famous Juniors Lace-Trim Roll-Sleeve Black XS</t>
  </si>
  <si>
    <t>655998047683</t>
  </si>
  <si>
    <t>Material Girl Juniors Ruched Strap-Detail S Cobalt S</t>
  </si>
  <si>
    <t>M5D33CC212</t>
  </si>
  <si>
    <t>695532486851</t>
  </si>
  <si>
    <t>Ultra Flirt Juniors Waffle-Knit Stripe-Sl BlackWhite XS</t>
  </si>
  <si>
    <t>887648645240</t>
  </si>
  <si>
    <t>Trolls by DreamWorks Juniors Trolls Graphic T-Shir Grey Heather L</t>
  </si>
  <si>
    <t>LONG HALTER</t>
  </si>
  <si>
    <t>637865206287</t>
  </si>
  <si>
    <t>Calvin Klein Jeans Denim Animal-Print Shirt Purple Ink M</t>
  </si>
  <si>
    <t>637865186640</t>
  </si>
  <si>
    <t>Calvin Klein Jeans High Rise Ankle Skinny Jeans Rinse 29</t>
  </si>
  <si>
    <t>637865199039</t>
  </si>
  <si>
    <t>Calvin Klein Jeans Denim Pencil Skirt Rinse 31</t>
  </si>
  <si>
    <t>637865199015</t>
  </si>
  <si>
    <t>Calvin Klein Jeans Denim Pencil Skirt Rinse 29</t>
  </si>
  <si>
    <t>637865199046</t>
  </si>
  <si>
    <t>Calvin Klein Jeans Denim Pencil Skirt Rinse 32</t>
  </si>
  <si>
    <t>TANK ALLOVER LACE PARTY</t>
  </si>
  <si>
    <t>I4UBF478H</t>
  </si>
  <si>
    <t>889775097794</t>
  </si>
  <si>
    <t>American Rag Trendy Plus Size Lace-Sleeve J Chilli Red 2X</t>
  </si>
  <si>
    <t>841907136511</t>
  </si>
  <si>
    <t>Indigo Rein Juniors Cuffed Fischer Wash S Fischer Wash 3</t>
  </si>
  <si>
    <t>821942459639</t>
  </si>
  <si>
    <t>Planet Gold Juniors Striped Off-the-Shoul BlackWhite L</t>
  </si>
  <si>
    <t>42YT792</t>
  </si>
  <si>
    <t>637865105351</t>
  </si>
  <si>
    <t>Calvin Klein Jeans Button-Front A-Line Skirt Rinse 30</t>
  </si>
  <si>
    <t>637865185667</t>
  </si>
  <si>
    <t>Calvin Klein Jeans Drop-Waist Peasant Top Shell Pink L</t>
  </si>
  <si>
    <t>889775079318</t>
  </si>
  <si>
    <t>American Rag Hayes Wash Denim Band Jacket Hayes Wash M</t>
  </si>
  <si>
    <t>889775079325</t>
  </si>
  <si>
    <t>American Rag Hayes Wash Denim Band Jacket Hayes Wash L</t>
  </si>
  <si>
    <t>661414504494</t>
  </si>
  <si>
    <t>Teeze Me Juniors Embellished Scuba Fit Teal 1</t>
  </si>
  <si>
    <t>829092250618</t>
  </si>
  <si>
    <t>XOXO Juniors Asymmetrical Embellis Black XL</t>
  </si>
  <si>
    <t>822982511264</t>
  </si>
  <si>
    <t>Jessica Simpson Lace-Up Off-The-Shoulder Sweat Black L</t>
  </si>
  <si>
    <t>713701106444</t>
  </si>
  <si>
    <t>Material Girl Juniors Mini Cape Dress Black L</t>
  </si>
  <si>
    <t>637865088753</t>
  </si>
  <si>
    <t>Calvin Klein Jeans High-Low-Hem V-Neck Top Black M</t>
  </si>
  <si>
    <t>826409575709</t>
  </si>
  <si>
    <t>BCX Juniors Cold-Shoulder A-Line Navy XS</t>
  </si>
  <si>
    <t>888825937844</t>
  </si>
  <si>
    <t>Material Girl Juniors Pull-On Pinstriped Sk Black S</t>
  </si>
  <si>
    <t>30051MG</t>
  </si>
  <si>
    <t>JJT11628I</t>
  </si>
  <si>
    <t>713701080737</t>
  </si>
  <si>
    <t>Material Girl Juniors Bell-Sleeve Lattice-B Caviar Black S</t>
  </si>
  <si>
    <t>60046BK204</t>
  </si>
  <si>
    <t>759880883592</t>
  </si>
  <si>
    <t>REWIND Juniors Skinny Cargo Pants Green 3</t>
  </si>
  <si>
    <t>889237764226</t>
  </si>
  <si>
    <t>As U Wish Juniors Lace-Trim Shift Dress Black XXS</t>
  </si>
  <si>
    <t>V20655-2</t>
  </si>
  <si>
    <t>791093319833</t>
  </si>
  <si>
    <t>In Awe of You by AwesomenessTV Juniors Tie-Neck High-Low Shi White XS</t>
  </si>
  <si>
    <t>841907122880</t>
  </si>
  <si>
    <t>Indigo Rein Juniors Reverse-Selvedge Dark Dark Blue 7</t>
  </si>
  <si>
    <t>AS-3211ME</t>
  </si>
  <si>
    <t>826409510137</t>
  </si>
  <si>
    <t>BCX Juniors Space-Dyed Asymmetric Black M</t>
  </si>
  <si>
    <t>637677168681</t>
  </si>
  <si>
    <t>Self Esteem Juniors Draped Open-Front Car Charcoal Blush Combo S</t>
  </si>
  <si>
    <t>0ZYGELFL</t>
  </si>
  <si>
    <t>826410487923</t>
  </si>
  <si>
    <t>BCX Juniors Embellished Cable-Kni Black XS</t>
  </si>
  <si>
    <t>1156X36</t>
  </si>
  <si>
    <t>887648644939</t>
  </si>
  <si>
    <t>Trolls by DreamWorks Juniors Trolls Chenille Appli Grey Heather M</t>
  </si>
  <si>
    <t>887648645035</t>
  </si>
  <si>
    <t>Trolls by DreamWorks Juniors Trolls Patch Sweatshi True Black XS</t>
  </si>
  <si>
    <t>190121196123</t>
  </si>
  <si>
    <t>Mighty Fine Juniors Disney Stitch Holiday Heather Grey S</t>
  </si>
  <si>
    <t>F2687AWX1-MACY</t>
  </si>
  <si>
    <t>645545938700</t>
  </si>
  <si>
    <t>Rebellious One Juniors Squad Sequin Reverse Black S</t>
  </si>
  <si>
    <t>887854010832</t>
  </si>
  <si>
    <t>Miss Chievous Juniors Lace-Trim V-Neck Tuni Merlot S</t>
  </si>
  <si>
    <t>619720917118</t>
  </si>
  <si>
    <t>Be Bop Juniors Lace-Trim Velvet Pepl Black M</t>
  </si>
  <si>
    <t>887854000147</t>
  </si>
  <si>
    <t>Miss Chievous Juniors Printed Raglan-Sleeve Dusty Olive XS</t>
  </si>
  <si>
    <t>887409049331</t>
  </si>
  <si>
    <t>Polly Esther Juniors Buffalo-Plaid Roll-Sl OliveIvory M</t>
  </si>
  <si>
    <t>887409049300</t>
  </si>
  <si>
    <t>Polly Esther Juniors Buffalo-Plaid Roll-Sl NavyBrick XL</t>
  </si>
  <si>
    <t>713701067677</t>
  </si>
  <si>
    <t>American Rag Lace-Trim High-Low Tank Top Costal Fjord XS</t>
  </si>
  <si>
    <t>887648643543</t>
  </si>
  <si>
    <t>Trolls by DreamWorks Juniors Trolls Graphic Jogger True Black M</t>
  </si>
  <si>
    <t>190371272448</t>
  </si>
  <si>
    <t>Bioworld Juniors DC Comics Superman Fr Heather Grey M</t>
  </si>
  <si>
    <t>841060121294</t>
  </si>
  <si>
    <t>Hippie Rose Juniors Pullover Hoodie BrandywineIvory L</t>
  </si>
  <si>
    <t>889901086685</t>
  </si>
  <si>
    <t>Hooked Up by IOT Juniors Sleeveless Mock-Turtl Vino L</t>
  </si>
  <si>
    <t>695532437716</t>
  </si>
  <si>
    <t>Ultra Flirt Juniors Marled High-Low Pullo Tawny Port L</t>
  </si>
  <si>
    <t>637677213329</t>
  </si>
  <si>
    <t>Belle Du Jour Juniors Lace-Trim Cage-Front Red Plum M</t>
  </si>
  <si>
    <t>190344361988</t>
  </si>
  <si>
    <t>Trolls by DreamWorks Juniors Trolls High-Low Poppy Vintage Black M</t>
  </si>
  <si>
    <t>190121196055</t>
  </si>
  <si>
    <t>Mighty Fine Juniors Unicorn Costume Graph Heather Charcoal XL</t>
  </si>
  <si>
    <t>F2678ICB1-MACY</t>
  </si>
  <si>
    <t>190121167802</t>
  </si>
  <si>
    <t>Mighty Fine Juniors Graphic Raglan T-Shir Grey S</t>
  </si>
  <si>
    <t>645545946118</t>
  </si>
  <si>
    <t>Rebellious One Juniors Asymmetrical-Hem Pock Olive Fatigue S</t>
  </si>
  <si>
    <t>887648644342</t>
  </si>
  <si>
    <t>Trolls by DreamWorks Juniors Trolls Graphic High-L WhiteCharcoal XL</t>
  </si>
  <si>
    <t>XLARGE S/S</t>
  </si>
  <si>
    <t>716068570521</t>
  </si>
  <si>
    <t>NTD Juniors Friends Graphic Baseb WhiteBlack L</t>
  </si>
  <si>
    <t>190121147125</t>
  </si>
  <si>
    <t>Mighty Fine Juniors Graphic T-Shirt Cream S</t>
  </si>
  <si>
    <t>F2655IEHA-MACY</t>
  </si>
  <si>
    <t>887648661677</t>
  </si>
  <si>
    <t>Freeze 24-7 Juniors Home Alone Graphic Ba WhiteRed L</t>
  </si>
  <si>
    <t>190344363289</t>
  </si>
  <si>
    <t>Trolls by DreamWorks Juniors Trolls Poppy Graphic Ocean Depths S</t>
  </si>
  <si>
    <t>190371275722</t>
  </si>
  <si>
    <t>Bioworld Juniors Graphic T-Shirt White XS</t>
  </si>
  <si>
    <t>190371228186</t>
  </si>
  <si>
    <t>Bioworld Juniors Graphic T-Shirt Black M</t>
  </si>
  <si>
    <t>TS2LS4BMW</t>
  </si>
  <si>
    <t>190371228209</t>
  </si>
  <si>
    <t>Bioworld Juniors Graphic T-Shirt Black XL</t>
  </si>
  <si>
    <t>705143664491</t>
  </si>
  <si>
    <t>Energie Juniors Scoop-Neck Top Medieval Blue M</t>
  </si>
  <si>
    <t>821942362335</t>
  </si>
  <si>
    <t>Planet Gold Juniors Spaghetti-Strap Tank Jalapeno Red XS</t>
  </si>
  <si>
    <t>637865093948</t>
  </si>
  <si>
    <t>637865225707</t>
  </si>
  <si>
    <t>Calvin Klein Jeans Low-Rise Skinny Jeans, Mid Use Windsor 31</t>
  </si>
  <si>
    <t>42ZK923</t>
  </si>
  <si>
    <t>637865194881</t>
  </si>
  <si>
    <t>Calvin Klein Jeans Tie-Side Flocked-Print Top Silk Steel M</t>
  </si>
  <si>
    <t>637865190456</t>
  </si>
  <si>
    <t>Calvin Klein Jeans Embellished Scoop-Neck T-Shirt Coldstone Heather L</t>
  </si>
  <si>
    <t>5T52950MC</t>
  </si>
  <si>
    <t>758116060790</t>
  </si>
  <si>
    <t>BLAC V-NK RACER BK TANK W/ SI</t>
  </si>
  <si>
    <t>637865087442</t>
  </si>
  <si>
    <t>Calvin Klein Jeans Faux Leather Fit Flare Dress Black XL</t>
  </si>
  <si>
    <t>42YD553</t>
  </si>
  <si>
    <t>708008262030</t>
  </si>
  <si>
    <t>City Studios Juniors Illusion Embellished Silver 11</t>
  </si>
  <si>
    <t>637865012772</t>
  </si>
  <si>
    <t>Calvin Klein Jeans Tie-Dyed Racerback Dress Black S</t>
  </si>
  <si>
    <t>42WD559</t>
  </si>
  <si>
    <t>886984496059</t>
  </si>
  <si>
    <t>G.H. Bass Co. Striped Mock-Neck Sweater Black Combo XXL</t>
  </si>
  <si>
    <t>GS6N5176</t>
  </si>
  <si>
    <t>815972023922</t>
  </si>
  <si>
    <t>Velvet Heart JAS High-Low Chambray Shirt Dark Brushed Indigo S</t>
  </si>
  <si>
    <t>WTT-21070</t>
  </si>
  <si>
    <t>889775079295</t>
  </si>
  <si>
    <t>American Rag Hayes Wash Denim Band Jacket Hayes Wash XS</t>
  </si>
  <si>
    <t>661414510945</t>
  </si>
  <si>
    <t>Teeze Me Juniors Embellished Cropped B Black 5</t>
  </si>
  <si>
    <t>063859R</t>
  </si>
  <si>
    <t>829092248530</t>
  </si>
  <si>
    <t>XOXO Juniors Beaded V-Back Fit-and Navy S</t>
  </si>
  <si>
    <t>637865205594</t>
  </si>
  <si>
    <t>Calvin Klein Jeans Graphic-Logo Pleated Sweatshir Light Heather S</t>
  </si>
  <si>
    <t>637865094082</t>
  </si>
  <si>
    <t>Calvin Klein Jeans Chevron-Texture V-Neck Sweater Grey L</t>
  </si>
  <si>
    <t>42YS363</t>
  </si>
  <si>
    <t>637865205600</t>
  </si>
  <si>
    <t>Calvin Klein Jeans Graphic-Logo Pleated Sweatshir Light Heather M</t>
  </si>
  <si>
    <t>637865205662</t>
  </si>
  <si>
    <t>Calvin Klein Jeans Graphic-Logo Pleated Sweatshir Red S</t>
  </si>
  <si>
    <t>889237408342</t>
  </si>
  <si>
    <t>As U Wish Juniors Illusion Sequin Geo B Blackgold M</t>
  </si>
  <si>
    <t>I968221F6</t>
  </si>
  <si>
    <t>652874739519</t>
  </si>
  <si>
    <t>Speechless Juniors Glittered Lace Dress Cherry Red 1</t>
  </si>
  <si>
    <t>889387986530</t>
  </si>
  <si>
    <t>Trixxi Juniors Illusion-Back Lace A- BlackNude 3</t>
  </si>
  <si>
    <t>26M653JK8I</t>
  </si>
  <si>
    <t>886542639188</t>
  </si>
  <si>
    <t>B Darlin Juniors Imitation-Pearl Embel PearlBlack 1112</t>
  </si>
  <si>
    <t>D131J967H</t>
  </si>
  <si>
    <t>708008348468</t>
  </si>
  <si>
    <t>City Studios Juniors Embellished Open-Back Black 11</t>
  </si>
  <si>
    <t>8415PM1BT3</t>
  </si>
  <si>
    <t>889775029405</t>
  </si>
  <si>
    <t>American Rag Plus Size Crochet-Bib Keyhole Zinfindel 1X</t>
  </si>
  <si>
    <t>P6TQ06BZF</t>
  </si>
  <si>
    <t>889631045303</t>
  </si>
  <si>
    <t>Crystal Doll Juniors Embellished High-Low BlackRoyal 1</t>
  </si>
  <si>
    <t>KUB12882I</t>
  </si>
  <si>
    <t>713701106420</t>
  </si>
  <si>
    <t>Material Girl Juniors Mini Cape Dress Black S</t>
  </si>
  <si>
    <t>829092230139</t>
  </si>
  <si>
    <t>XOXO Juniors Asymmetrical-Zip Plai Navy XL</t>
  </si>
  <si>
    <t>791093318836</t>
  </si>
  <si>
    <t>In Awe of You by AwesomenessTV Juniors Sleeveless Metallic S Gold L</t>
  </si>
  <si>
    <t>889775069197</t>
  </si>
  <si>
    <t>American Rag Slim-Fit Ishana Wash Bootcut J Kremi Wash 9</t>
  </si>
  <si>
    <t>887840191446</t>
  </si>
  <si>
    <t>Emerald Sundae Juniors Glitter Ombre Bodycon Blue Dip Dye XL</t>
  </si>
  <si>
    <t>ETS2749924</t>
  </si>
  <si>
    <t>637865223390</t>
  </si>
  <si>
    <t>Calvin Klein Jeans Elbow-Sleeve Sequined Top Mixed Grey XL</t>
  </si>
  <si>
    <t>713701112148</t>
  </si>
  <si>
    <t>American Rag Emnbroidered Off-the-Shoulder Deep Teal XXL</t>
  </si>
  <si>
    <t>888825958207</t>
  </si>
  <si>
    <t>American Rag Off-The-Shoulder Lace-Trim Pea Off White L</t>
  </si>
  <si>
    <t>FTW364EG</t>
  </si>
  <si>
    <t>826410021042</t>
  </si>
  <si>
    <t>BCX Juniors Belted Colorblocked A Camelblack 7</t>
  </si>
  <si>
    <t>822982589898</t>
  </si>
  <si>
    <t>Jessica Simpson Elin High-Low Mock-Neck Sweate Light Beige M</t>
  </si>
  <si>
    <t>822980285006</t>
  </si>
  <si>
    <t>Jessica Simpson Juniors Forever Cropped Cabo CaboCabo 27</t>
  </si>
  <si>
    <t>637677178062</t>
  </si>
  <si>
    <t>Material Girl Juniors Striped Slip Dress wi Black L</t>
  </si>
  <si>
    <t>652874648491</t>
  </si>
  <si>
    <t>Speechless Juniors Strappy-Sleeve Shift Navy L</t>
  </si>
  <si>
    <t>JA86982CA7</t>
  </si>
  <si>
    <t>826409575723</t>
  </si>
  <si>
    <t>BCX Juniors Cold-Shoulder A-Line Navy M</t>
  </si>
  <si>
    <t>708008363478</t>
  </si>
  <si>
    <t>City Studios Juniors Off-The-Shoulder Lace Pale Blush XS</t>
  </si>
  <si>
    <t>3102QZ6AT1</t>
  </si>
  <si>
    <t>708008363515</t>
  </si>
  <si>
    <t>City Studios Juniors Off-The-Shoulder Lace Pale Blush XL</t>
  </si>
  <si>
    <t>888825223077</t>
  </si>
  <si>
    <t>Material Girl Juniors Crochet-Knit Dress Limelight L</t>
  </si>
  <si>
    <t>10015LM204</t>
  </si>
  <si>
    <t>888825937820</t>
  </si>
  <si>
    <t>Material Girl Juniors Pull-On Pinstriped Sk Black XXS</t>
  </si>
  <si>
    <t>713701095250</t>
  </si>
  <si>
    <t>American Rag Printed Waffle-Knit Lace-Trim White Combo L</t>
  </si>
  <si>
    <t>826409657313</t>
  </si>
  <si>
    <t>BCX Juniors Ruched-Sleeve Open-Fr Black L</t>
  </si>
  <si>
    <t>826409520358</t>
  </si>
  <si>
    <t>BCX Juniors High-Low Cowl-Neck Sw Black XS</t>
  </si>
  <si>
    <t>888825936571</t>
  </si>
  <si>
    <t>Material Girl Juniors Strappy Pinstriped Pe Black XS</t>
  </si>
  <si>
    <t>889901068155</t>
  </si>
  <si>
    <t>Hooked Up by IOT Juniors DJ Penguin Pullover S Cloverfield M</t>
  </si>
  <si>
    <t>J61554</t>
  </si>
  <si>
    <t>887043422248</t>
  </si>
  <si>
    <t>Celebrity Pink Plus Size Skinny Jeans Titanium 20W</t>
  </si>
  <si>
    <t>CX5820Z35</t>
  </si>
  <si>
    <t>885779641087</t>
  </si>
  <si>
    <t>Vanilla Star Juniors Frayed-Hem Ankle-Zipp Dark Blue 13</t>
  </si>
  <si>
    <t>706256894683</t>
  </si>
  <si>
    <t>Material Girl Active Juniors Metallic Zip H Rose Gold S</t>
  </si>
  <si>
    <t>829826291696</t>
  </si>
  <si>
    <t>Planet Gold Juniors Mrs. Claus Tunic Swea Black M</t>
  </si>
  <si>
    <t>M2JD272</t>
  </si>
  <si>
    <t>888825468737</t>
  </si>
  <si>
    <t>Material Girl Juniors Burnout Crop Top Cloud Dancer M</t>
  </si>
  <si>
    <t>20101CD204</t>
  </si>
  <si>
    <t>826409582127</t>
  </si>
  <si>
    <t>BCX Juniors Colorblocked Sweater Black XXS</t>
  </si>
  <si>
    <t>617171308820</t>
  </si>
  <si>
    <t>ING Trendy Plus Size Lace-Trim Pen Black 1X</t>
  </si>
  <si>
    <t>NSA154X-STJ</t>
  </si>
  <si>
    <t>695532477859</t>
  </si>
  <si>
    <t>Ultra Flirt Juniors Awesome Fine-Gauge Pu Olive XS</t>
  </si>
  <si>
    <t>6AD26MC</t>
  </si>
  <si>
    <t>840523181059</t>
  </si>
  <si>
    <t>Indigo Rein Juniors Ripped Light Wash Ski Dark Blue 11</t>
  </si>
  <si>
    <t>674153645366</t>
  </si>
  <si>
    <t>Say What Juniors Open-Front Blazer Mint S</t>
  </si>
  <si>
    <t>889602099557</t>
  </si>
  <si>
    <t>Freshman Juniors Hooded Drawstring-Hem Harvest GrapeJet Black S</t>
  </si>
  <si>
    <t>5T52484MC</t>
  </si>
  <si>
    <t>887043661272</t>
  </si>
  <si>
    <t>Celebrity Pink Juniors Skinny Ponte Pants Heather Charcoal 11</t>
  </si>
  <si>
    <t>695532440440</t>
  </si>
  <si>
    <t>Ultra Flirt Juniors Space-Dyed Mitered-He BlueWhite XL</t>
  </si>
  <si>
    <t>841060123205</t>
  </si>
  <si>
    <t>Hippie Rose Juniors Striped Crisscross-Ba Navy Combo XL</t>
  </si>
  <si>
    <t>826409178979</t>
  </si>
  <si>
    <t>BCX Juniors Sleeveless Printed Ne Multi XL</t>
  </si>
  <si>
    <t>1055N1N</t>
  </si>
  <si>
    <t>887451066096</t>
  </si>
  <si>
    <t>Stoosh Juniors Embellished Popover T Burgundy S</t>
  </si>
  <si>
    <t>61046W7043MA</t>
  </si>
  <si>
    <t>705143708164</t>
  </si>
  <si>
    <t>Energie Juniors Printed Graphic Leggi Parachute M</t>
  </si>
  <si>
    <t>706256641157</t>
  </si>
  <si>
    <t>Trolls by DreamWorks Juniors Graphic Yoga Pants Black M</t>
  </si>
  <si>
    <t>706256570655</t>
  </si>
  <si>
    <t>Material Girl Love Mixed-Waist Yoga Leggings Black L</t>
  </si>
  <si>
    <t>706256694986</t>
  </si>
  <si>
    <t>Material Girl Active Juniors Graphic Leggin Heather Charcoal XL</t>
  </si>
  <si>
    <t>706256732657</t>
  </si>
  <si>
    <t>Material Girl Active Juniors Lace-Waist Yog Black XXL</t>
  </si>
  <si>
    <t>645545932289</t>
  </si>
  <si>
    <t>Material Girl Active Juniors Metallic-Detai Flashmode XS</t>
  </si>
  <si>
    <t>887069476287</t>
  </si>
  <si>
    <t>Pink Rose Juniors Rib-Knit Mock-Neck Pu Mustard Seed L</t>
  </si>
  <si>
    <t>887069476140</t>
  </si>
  <si>
    <t>Pink Rose Juniors Rib-Knit Mock-Neck Pu BlackSouthwest TanIvory XL</t>
  </si>
  <si>
    <t>705143697611</t>
  </si>
  <si>
    <t>Energie Juniors Alexia Strappy Printe CaviarHappy Aqua S</t>
  </si>
  <si>
    <t>841060124301</t>
  </si>
  <si>
    <t>Hippie Rose Juniors Long-Sleeve Coccoon C Moonstone XL</t>
  </si>
  <si>
    <t>841060121843</t>
  </si>
  <si>
    <t>Pink Rose Juniors V-Neck Fine-Gauge Swe Retro Maroon L</t>
  </si>
  <si>
    <t>841060121645</t>
  </si>
  <si>
    <t>Pink Rose Juniors Raglan-Sleeve Fine-Ga Heather OatmealMustard Seed L</t>
  </si>
  <si>
    <t>674153672874</t>
  </si>
  <si>
    <t>Say What Juniors Off-The-Shoulder Blou Burlwood M</t>
  </si>
  <si>
    <t>DARK BROWN</t>
  </si>
  <si>
    <t>887854091329</t>
  </si>
  <si>
    <t>Miss Chievous Juniors No Way Applique Pullo Blue Print XL</t>
  </si>
  <si>
    <t>190121196130</t>
  </si>
  <si>
    <t>Mighty Fine Juniors Disney Stitch Holiday Heather Grey M</t>
  </si>
  <si>
    <t>190121196116</t>
  </si>
  <si>
    <t>Mighty Fine Juniors Disney Stitch Holiday Heather Grey XS</t>
  </si>
  <si>
    <t>829826291122</t>
  </si>
  <si>
    <t>Planet Gold Juniors Cowl-Neck Kangaroo-Po Evening Blue XS</t>
  </si>
  <si>
    <t>619720917002</t>
  </si>
  <si>
    <t>Be Bop Juniors Lace-Trim Velvet Top Black XS</t>
  </si>
  <si>
    <t>887854000284</t>
  </si>
  <si>
    <t>Miss Chievous Juniors Printed Raglan-Sleeve Pinot Noir S</t>
  </si>
  <si>
    <t>887854000307</t>
  </si>
  <si>
    <t>Miss Chievous Juniors Printed Raglan-Sleeve Pinot Noir L</t>
  </si>
  <si>
    <t>841060124950</t>
  </si>
  <si>
    <t>Hippie Rose Juniors Long-Sleeve Asymmetri Mountain BlueBlack Strioe XL</t>
  </si>
  <si>
    <t>887648643475</t>
  </si>
  <si>
    <t>Trolls by DreamWorks Juniors Trolls Patch Jogger P Grey Heather S</t>
  </si>
  <si>
    <t>TJSJ110-3L13</t>
  </si>
  <si>
    <t>887854009171</t>
  </si>
  <si>
    <t>Miss Chievous Juniors Embellished High-Low Raspberry L</t>
  </si>
  <si>
    <t>190344429237</t>
  </si>
  <si>
    <t>Hybrid Juniors Fast Food Squad Cropp Pearl XL</t>
  </si>
  <si>
    <t>889901086647</t>
  </si>
  <si>
    <t>Hooked Up by IOT Juniors Sleeveless Mock-Turtl Thyme Green XL</t>
  </si>
  <si>
    <t>695532486462</t>
  </si>
  <si>
    <t>Ultra Flirt Juniors Space-Dyed Tie-Neck T Olive NightBlack Spacedye S</t>
  </si>
  <si>
    <t>695532437518</t>
  </si>
  <si>
    <t>Ultra Flirt Juniors Marled High-Low Pullo Ivory L</t>
  </si>
  <si>
    <t>705143715148</t>
  </si>
  <si>
    <t>Energie Juniors Fiona Tulip-Back Grap Caviarelectric M</t>
  </si>
  <si>
    <t>674153643713</t>
  </si>
  <si>
    <t>Say What Juniors Tie-Dyed Split-Back T Black Tie Dye Combo XS</t>
  </si>
  <si>
    <t>660032587957</t>
  </si>
  <si>
    <t>One Clothing Juniors Sleeveless A-Line Swi Navy XXS</t>
  </si>
  <si>
    <t>CR4615-TC23</t>
  </si>
  <si>
    <t>637677213343</t>
  </si>
  <si>
    <t>Belle Du Jour Juniors Lace-Trim Cage-Front Red Plum XL</t>
  </si>
  <si>
    <t>821942371160</t>
  </si>
  <si>
    <t>Planet Gold Juniors Embellished Shirtdres Zinfandel M</t>
  </si>
  <si>
    <t>AUJD062</t>
  </si>
  <si>
    <t>637677213336</t>
  </si>
  <si>
    <t>Belle Du Jour Juniors Lace-Trim Cage-Front Red Plum L</t>
  </si>
  <si>
    <t>705143700052</t>
  </si>
  <si>
    <t>Energie Juniors Crisscross-Back Illus Olive Night L</t>
  </si>
  <si>
    <t>695532464460</t>
  </si>
  <si>
    <t>Ultra Flirt Juniors Cold-Shoulder Waffle- Black L</t>
  </si>
  <si>
    <t>190344362053</t>
  </si>
  <si>
    <t>Trolls by DreamWorks Juniors Trolls Graphic Sweats WhiteMint XL</t>
  </si>
  <si>
    <t>JL3197JTRL0126</t>
  </si>
  <si>
    <t>705143707808</t>
  </si>
  <si>
    <t>Energie Juniors High-Impact Cross-Bac Medium Purple M</t>
  </si>
  <si>
    <t>190121167833</t>
  </si>
  <si>
    <t>Mighty Fine Juniors Graphic Raglan T-Shir Grey XL</t>
  </si>
  <si>
    <t>190121167826</t>
  </si>
  <si>
    <t>Mighty Fine Juniors Graphic Raglan T-Shir Grey L</t>
  </si>
  <si>
    <t>190121196031</t>
  </si>
  <si>
    <t>Mighty Fine Juniors Unicorn Costume Graph Heather Charcoal M</t>
  </si>
  <si>
    <t>716068570989</t>
  </si>
  <si>
    <t>NTD Juniors Short-Sleeve Graphic WhiteBlack XL</t>
  </si>
  <si>
    <t>BVJG2073-BH</t>
  </si>
  <si>
    <t>716068570972</t>
  </si>
  <si>
    <t>NTD Juniors Short-Sleeve Graphic WhiteBlack L</t>
  </si>
  <si>
    <t>716068571023</t>
  </si>
  <si>
    <t>NTD Juniors Short-Sleeve Graphic BlackWhite L</t>
  </si>
  <si>
    <t>695532487049</t>
  </si>
  <si>
    <t>Ultra Flirt Juniors Waffle-Knit Stripe-Sl Tawny PortGardenia XL</t>
  </si>
  <si>
    <t>637677171452</t>
  </si>
  <si>
    <t>Belle Du Jour Juniors V-Neck Necklace T-Shi Golden Yellow L</t>
  </si>
  <si>
    <t>887648645110</t>
  </si>
  <si>
    <t>Trolls by DreamWorks Juniors Trolls Graphic High-L NavyWhite M</t>
  </si>
  <si>
    <t>887648662155</t>
  </si>
  <si>
    <t>Freeze 24-7 Juniors Snowflakes Graphic Ba True BlackGrey L</t>
  </si>
  <si>
    <t>841060119932</t>
  </si>
  <si>
    <t>Hippie Rose Juniors V-Neck Tank Top Forest M</t>
  </si>
  <si>
    <t>645545931626</t>
  </si>
  <si>
    <t>Material Girl Active Juniors Graphic Tank T Femme Fuschia XS</t>
  </si>
  <si>
    <t>190121167482</t>
  </si>
  <si>
    <t>Mighty Fine Juniors Graphic Football T-Sh Cream XL</t>
  </si>
  <si>
    <t>190121167604</t>
  </si>
  <si>
    <t>Mighty Fine Juniors Star Wars Graphic Rin Vintage Patch S</t>
  </si>
  <si>
    <t>190344363128</t>
  </si>
  <si>
    <t>Trolls by DreamWorks Juniors Trolls Graphic Ringer PearlFuchsia XS</t>
  </si>
  <si>
    <t>190344393910</t>
  </si>
  <si>
    <t>JL2853JSL092</t>
  </si>
  <si>
    <t>190371275777</t>
  </si>
  <si>
    <t>Bioworld Juniors Graphic V-Neck T-Shir Navy XS</t>
  </si>
  <si>
    <t>190371275821</t>
  </si>
  <si>
    <t>Bioworld Juniors Graphic T-Shirt Red XS</t>
  </si>
  <si>
    <t>887648613966</t>
  </si>
  <si>
    <t>NKSJ689-2L89</t>
  </si>
  <si>
    <t>645545929760</t>
  </si>
  <si>
    <t>Rebellious One Juniors Graphic Raglan T-Shir WhiteBlack M</t>
  </si>
  <si>
    <t>190371228179</t>
  </si>
  <si>
    <t>Bioworld Juniors Graphic T-Shirt Black S</t>
  </si>
  <si>
    <t>887648641938</t>
  </si>
  <si>
    <t>Freeze 24-7 Juniors High-Low Graphic T-Sh Black XS</t>
  </si>
  <si>
    <t>645545932876</t>
  </si>
  <si>
    <t>Material Girl Active Juniors Racerback Spor Black L</t>
  </si>
  <si>
    <t>821942425238</t>
  </si>
  <si>
    <t>Planet Gold Juniors Rib-Knit Cold-Shoulde Teardrop Pink L</t>
  </si>
  <si>
    <t>705143709048</t>
  </si>
  <si>
    <t>Energie Energie Juniors Mila V-Neck T Inky Blue XL</t>
  </si>
  <si>
    <t>705143709017</t>
  </si>
  <si>
    <t>Energie Energie Juniors Mila V-Neck T Inky Blue L</t>
  </si>
  <si>
    <t>821942362243</t>
  </si>
  <si>
    <t>Planet Gold Juniors Spaghetti-Strap Tank Kalamata S</t>
  </si>
  <si>
    <t>749709281272</t>
  </si>
  <si>
    <t>749709283665</t>
  </si>
  <si>
    <t>Blondie Nites Juniors Embellished Popover P SilverBlack 7</t>
  </si>
  <si>
    <t>749709281296</t>
  </si>
  <si>
    <t>39373648250</t>
  </si>
  <si>
    <t>S/L COLORBLOCK DRESS</t>
  </si>
  <si>
    <t>889237917523</t>
  </si>
  <si>
    <t>As U Wish Juniors Contrast Lace Fit F BlackIvory 13</t>
  </si>
  <si>
    <t>I576848A37</t>
  </si>
  <si>
    <t>637865185742</t>
  </si>
  <si>
    <t>Calvin Klein Jeans Printed Split-Neck Top Muted Surf XL</t>
  </si>
  <si>
    <t>637865184240</t>
  </si>
  <si>
    <t>Calvin Klein Jeans Printed Pocketed Top Black Night S</t>
  </si>
  <si>
    <t>829092303840</t>
  </si>
  <si>
    <t>XOXO Juniors Velvet Illusion Dress Black XS</t>
  </si>
  <si>
    <t>712683993066</t>
  </si>
  <si>
    <t>s/l btn down shirt</t>
  </si>
  <si>
    <t>42WW107</t>
  </si>
  <si>
    <t>708008363768</t>
  </si>
  <si>
    <t>City Studios Juniors Scallop-Trim Lace Bod NudeBlack 11</t>
  </si>
  <si>
    <t>889351706621</t>
  </si>
  <si>
    <t>Roxy Juniors Wildfire Fleece Hoodi Navy M</t>
  </si>
  <si>
    <t>886542630291</t>
  </si>
  <si>
    <t>WIN/ 2PC RACR BK TOP &amp; SH</t>
  </si>
  <si>
    <t>Q586J483</t>
  </si>
  <si>
    <t>889387991862</t>
  </si>
  <si>
    <t>Trixxi Cold-Shoulder Sheath Dress Black S</t>
  </si>
  <si>
    <t>889387991886</t>
  </si>
  <si>
    <t>Trixxi Cold-Shoulder Sheath Dress Black L</t>
  </si>
  <si>
    <t>886542644243</t>
  </si>
  <si>
    <t>B Darlin Juniors Illusion Fit Flare WineBlack 910</t>
  </si>
  <si>
    <t>D3ZVH694H</t>
  </si>
  <si>
    <t>659337989436</t>
  </si>
  <si>
    <t>BLAC SCUBMETALLICUTOMID</t>
  </si>
  <si>
    <t>637865223789</t>
  </si>
  <si>
    <t>Calvin Klein Jeans Lace-Trim Long-Sleeve Top Napa Rose S</t>
  </si>
  <si>
    <t>826409053979</t>
  </si>
  <si>
    <t>OFF SHLDER CROCHET TRM</t>
  </si>
  <si>
    <t>1191H5A</t>
  </si>
  <si>
    <t>637865192733</t>
  </si>
  <si>
    <t>Calvin Klein Jeans Lace-Trim V-Neck Top Nine Iron XS</t>
  </si>
  <si>
    <t>42ZK257</t>
  </si>
  <si>
    <t>889631049127</t>
  </si>
  <si>
    <t>Crystal Doll Juniors Lace Mock-Neck Shift Navy 7</t>
  </si>
  <si>
    <t>637865194966</t>
  </si>
  <si>
    <t>Calvin Klein Jeans Studded Snake-Graphic Top Classic White L</t>
  </si>
  <si>
    <t>43849267739</t>
  </si>
  <si>
    <t>886680006880</t>
  </si>
  <si>
    <t>Material Girl Juniors Metallic Lace Bodysui Black Combo L</t>
  </si>
  <si>
    <t>829092315980</t>
  </si>
  <si>
    <t>XOXO Juniors Contrast-Trim Halter BlackIvory S</t>
  </si>
  <si>
    <t>889775096575</t>
  </si>
  <si>
    <t>829092258935</t>
  </si>
  <si>
    <t>IV9 WRAP PEPLUM TOP</t>
  </si>
  <si>
    <t>3467NDA3</t>
  </si>
  <si>
    <t>889631061716</t>
  </si>
  <si>
    <t>889775043159</t>
  </si>
  <si>
    <t>RSP SLVLS BND WRP PNTCK</t>
  </si>
  <si>
    <t>5MW99MRRC</t>
  </si>
  <si>
    <t>768594176548</t>
  </si>
  <si>
    <t>619720907720</t>
  </si>
  <si>
    <t>Be Bop Juniors Striped Ringer T-Shir PineRuby XL</t>
  </si>
  <si>
    <t>826422002923</t>
  </si>
  <si>
    <t>BCX Juniors Cropped Wide-Leg Soft Off White XXS</t>
  </si>
  <si>
    <t>887648661424</t>
  </si>
  <si>
    <t>Freeze 24-7 Juniors Cute And Hungry Graph True Black M</t>
  </si>
  <si>
    <t>706256917214</t>
  </si>
  <si>
    <t>Material Girl Juniors Printed Yoga Leggings Flush Feather XL</t>
  </si>
  <si>
    <t>M61200</t>
  </si>
  <si>
    <t>190344450583</t>
  </si>
  <si>
    <t>Hybrid Juniors Peanuts Snoopy Woodst Charcoal XL</t>
  </si>
  <si>
    <t>645545969162</t>
  </si>
  <si>
    <t>645545915374</t>
  </si>
  <si>
    <t>645545915367</t>
  </si>
  <si>
    <t>645545915626</t>
  </si>
  <si>
    <t>BRIG 99 PROBLEMS TANK</t>
  </si>
  <si>
    <t>M6902BW212</t>
  </si>
  <si>
    <t>695532489517</t>
  </si>
  <si>
    <t>695532489524</t>
  </si>
  <si>
    <t>645545959941</t>
  </si>
  <si>
    <t>844620182261</t>
  </si>
  <si>
    <t>American Rag Tiered Crochet-Trim Sleeveless Black M</t>
  </si>
  <si>
    <t>826409497940</t>
  </si>
  <si>
    <t>BCX Juniors Crochet-Trim Asymmetr White S</t>
  </si>
  <si>
    <t>1008V03</t>
  </si>
  <si>
    <t>705143714783</t>
  </si>
  <si>
    <t>Energie Juniors Erica Colorblocked Yo Winter GreyCaviar M</t>
  </si>
  <si>
    <t>889237774904</t>
  </si>
  <si>
    <t>As U Wish Juniors 2-Pc. Crop Top Lace Black 1</t>
  </si>
  <si>
    <t>888825614875</t>
  </si>
  <si>
    <t>Material Girl Juniors Front Keyhole Romper BlackBlue Floral XL</t>
  </si>
  <si>
    <t>70056BC204</t>
  </si>
  <si>
    <t>708008360859</t>
  </si>
  <si>
    <t>City Studios Juniors Double-Strap High-Low Cherry S</t>
  </si>
  <si>
    <t>190121147033</t>
  </si>
  <si>
    <t>Mighty Fine Juniors Graphic Raglan T-Shir White S</t>
  </si>
  <si>
    <t>826409575747</t>
  </si>
  <si>
    <t>BCX Juniors Cold-Shoulder A-Line Navy XL</t>
  </si>
  <si>
    <t>I430786D5</t>
  </si>
  <si>
    <t>829092288741</t>
  </si>
  <si>
    <t>XOXO Juniors High-Low Lace-Up Top Purple L</t>
  </si>
  <si>
    <t>3515SPR5</t>
  </si>
  <si>
    <t>888825958771</t>
  </si>
  <si>
    <t>Tinseltown Juniors Sweater-Sleeve Denim Dark Wash S</t>
  </si>
  <si>
    <t>888825899159</t>
  </si>
  <si>
    <t>Tinseltown Juniors Ripped Black Wash Ski Black 7</t>
  </si>
  <si>
    <t>614015967908</t>
  </si>
  <si>
    <t>Rewash Juniors Pull-On Jeggings Ligh BlueBlack 1</t>
  </si>
  <si>
    <t>619720891364</t>
  </si>
  <si>
    <t>Be Bop Juniors Printed Racerback Sho OliveBlack M</t>
  </si>
  <si>
    <t>JYAE006042</t>
  </si>
  <si>
    <t>190121196147</t>
  </si>
  <si>
    <t>Mighty Fine Juniors Disney Stitch Holiday Heather Grey L</t>
  </si>
  <si>
    <t>695532443526</t>
  </si>
  <si>
    <t>Ultra Flirt Juniors Cocoon-Hem Cardigan Oatmeal XL</t>
  </si>
  <si>
    <t>705143715162</t>
  </si>
  <si>
    <t>Energie Juniors Fiona Tulip-Back Grap Caviarelectric XL</t>
  </si>
  <si>
    <t>ZT8935-8546-MC</t>
  </si>
  <si>
    <t>QE0962YK1613</t>
  </si>
  <si>
    <t>A3142J232</t>
  </si>
  <si>
    <t>190344361827</t>
  </si>
  <si>
    <t>Trolls by DreamWorks Juniors Trolls Poppy Graphic Deep Teal S</t>
  </si>
  <si>
    <t>JB2538JTRL0122</t>
  </si>
  <si>
    <t>645545929869</t>
  </si>
  <si>
    <t>Rebellious One Juniors Printed Long-Sleeve H BlackWhite M</t>
  </si>
  <si>
    <t>IA2985J952</t>
  </si>
  <si>
    <t>887648644588</t>
  </si>
  <si>
    <t>Trolls by DreamWorks Juniors Trolls Graphic Raglan Grey Heather XL</t>
  </si>
  <si>
    <t>RED/ BUTTON FRONT CROPPED</t>
  </si>
  <si>
    <t>829092289588</t>
  </si>
  <si>
    <t>XOXO Juniors Studded Faux-Fur Moto Black M</t>
  </si>
  <si>
    <t>5476CSH5</t>
  </si>
  <si>
    <t>6S014GZG</t>
  </si>
  <si>
    <t>5473DPC3</t>
  </si>
  <si>
    <t>822980879274</t>
  </si>
  <si>
    <t>Jessica Simpson Ripped Acid Wash Straight-Leg Ripped Acid Wash 26</t>
  </si>
  <si>
    <t>829092258706</t>
  </si>
  <si>
    <t>XOXO Juniors Lace-Up Plaid Fit F Navy Plaid M</t>
  </si>
  <si>
    <t>829092250182</t>
  </si>
  <si>
    <t>XOXO Juniors Asymmetrical Embellis Hunter S</t>
  </si>
  <si>
    <t>6FS42</t>
  </si>
  <si>
    <t>6BN03C</t>
  </si>
  <si>
    <t>889775076041</t>
  </si>
  <si>
    <t>American Rag Lace-Up Floral-Print Romper Classic Black Combo M</t>
  </si>
  <si>
    <t>822982511561</t>
  </si>
  <si>
    <t>Jessica Simpson Lace-Up Off-The-Shoulder Sweat Whisper White S</t>
  </si>
  <si>
    <t>822982511578</t>
  </si>
  <si>
    <t>Jessica Simpson Lace-Up Off-The-Shoulder Sweat Whisper White XL</t>
  </si>
  <si>
    <t>822982511608</t>
  </si>
  <si>
    <t>Jessica Simpson Lace-Up Off-The-Shoulder Sweat Whisper White XXS</t>
  </si>
  <si>
    <t>163319F</t>
  </si>
  <si>
    <t>829092244136</t>
  </si>
  <si>
    <t>XOXO Juniors Ruched-Sleeve Lace Ca Black S</t>
  </si>
  <si>
    <t>889237844188</t>
  </si>
  <si>
    <t>As U Wish Juniors Velvet Burnout Slip D Black XXS</t>
  </si>
  <si>
    <t>6MW30CDN</t>
  </si>
  <si>
    <t>889775060118</t>
  </si>
  <si>
    <t>American Rag Juniors Embroidered Dark Rins Dark Rinse 5</t>
  </si>
  <si>
    <t>887043500465</t>
  </si>
  <si>
    <t>Celebrity Pink Juniors Light Wash Skinny Jea Mystic Falls 7</t>
  </si>
  <si>
    <t>ESV2732034</t>
  </si>
  <si>
    <t>4055R9R</t>
  </si>
  <si>
    <t>AO-2162ME</t>
  </si>
  <si>
    <t>1031N80</t>
  </si>
  <si>
    <t>CJ22005H20</t>
  </si>
  <si>
    <t>826409833380</t>
  </si>
  <si>
    <t>BCX Juniors Striped Mock-Neck Pep Stripe Geo Multi XL</t>
  </si>
  <si>
    <t>887043683670</t>
  </si>
  <si>
    <t>Celebrity Pink Juniors High-Waist Black Wash Black 3</t>
  </si>
  <si>
    <t>637677168735</t>
  </si>
  <si>
    <t>Self Esteem Juniors Draped Open-Front Car Chili Pepper Combo S</t>
  </si>
  <si>
    <t>888825991914</t>
  </si>
  <si>
    <t>Tinseltown Juniors Moto Burgundy Wash Sk Grey Plaid 9</t>
  </si>
  <si>
    <t>887043670168</t>
  </si>
  <si>
    <t>Celebrity Pink Juniors Skinny Jeans Festive Fuschia 15</t>
  </si>
  <si>
    <t>888825803620</t>
  </si>
  <si>
    <t>Tinseltown Juniors High-Waist Skinny Jea Gold 11</t>
  </si>
  <si>
    <t>840523180984</t>
  </si>
  <si>
    <t>Indigo Rein Juniors Ripped Light Wash Ski Med Blue 15</t>
  </si>
  <si>
    <t>840523180946</t>
  </si>
  <si>
    <t>Indigo Rein Juniors Ripped Light Wash Ski Med Blue 7</t>
  </si>
  <si>
    <t>190040292968</t>
  </si>
  <si>
    <t>Almost Famous Juniors Graphic Cropped Pullo Heather Grey L</t>
  </si>
  <si>
    <t>840523180960</t>
  </si>
  <si>
    <t>Indigo Rein Juniors Ripped Light Wash Ski Med Blue 11</t>
  </si>
  <si>
    <t>619720896536</t>
  </si>
  <si>
    <t>Be Bop Juniors Faux-Wrap Romper Black L</t>
  </si>
  <si>
    <t>JFSZB004834</t>
  </si>
  <si>
    <t>841413124712</t>
  </si>
  <si>
    <t>OhMG Juniors Drape-Collar Aztec-Pa OatmealToasted Heather L</t>
  </si>
  <si>
    <t>841413124729</t>
  </si>
  <si>
    <t>OhMG Juniors Drape-Collar Aztec-Pa OatmealToasted Heather XL</t>
  </si>
  <si>
    <t>841413124682</t>
  </si>
  <si>
    <t>OhMG Juniors Drape-Collar Aztec-Pa OatmealToasted Heather XS</t>
  </si>
  <si>
    <t>3K30863MC</t>
  </si>
  <si>
    <t>841413124767</t>
  </si>
  <si>
    <t>OhMG Juniors Go Your Own Way Shine Olive L</t>
  </si>
  <si>
    <t>RW2531MC</t>
  </si>
  <si>
    <t>190040325895</t>
  </si>
  <si>
    <t>Almost Famous Juniors Graphic Cropped Pullo Mist Green M</t>
  </si>
  <si>
    <t>PW13828MC</t>
  </si>
  <si>
    <t>887648645066</t>
  </si>
  <si>
    <t>Trolls by DreamWorks Juniors Trolls Patch Sweatshi True Black L</t>
  </si>
  <si>
    <t>M6605NR212</t>
  </si>
  <si>
    <t>887854000444</t>
  </si>
  <si>
    <t>Miss Chievous Juniors Printed Raglan-Sleeve Fading RoseGrey Fog XL</t>
  </si>
  <si>
    <t>689439640591</t>
  </si>
  <si>
    <t>Material Girl Juniors Leopard-Printed Wide- Classic Black XS</t>
  </si>
  <si>
    <t>ZS4690-8317-1663-MC</t>
  </si>
  <si>
    <t>705143715414</t>
  </si>
  <si>
    <t>Energie Juniors Autumn Colorblocked Y Wine TastingCaviar XS</t>
  </si>
  <si>
    <t>887069475341</t>
  </si>
  <si>
    <t>Pink Rose Juniors Ruched-Side Fine-Gaug Heather Beetroot XL</t>
  </si>
  <si>
    <t>887069475327</t>
  </si>
  <si>
    <t>Pink Rose Juniors Ruched-Side Fine-Gaug Heather Beetroot M</t>
  </si>
  <si>
    <t>660032568567</t>
  </si>
  <si>
    <t>One Clothing Juniors Sleeveless A-Line Swi Black S</t>
  </si>
  <si>
    <t>FIRE/TOPSON DOWNS OF CALIFORNIA INC</t>
  </si>
  <si>
    <t>841060118522</t>
  </si>
  <si>
    <t>Hippie Rose Juniors Striped Cowl-Neck Tun IvoryOatmeal S</t>
  </si>
  <si>
    <t>H6S0089M</t>
  </si>
  <si>
    <t>M6800BW212</t>
  </si>
  <si>
    <t>705143715292</t>
  </si>
  <si>
    <t>Energie Juniors Cara Racerback Compre Caviar XS</t>
  </si>
  <si>
    <t>F2613ICW1-MACY</t>
  </si>
  <si>
    <t>F2643IEHA-MACY</t>
  </si>
  <si>
    <t>190344312836</t>
  </si>
  <si>
    <t>Hybrid Juniors Pokemon Pikachu Grap White M</t>
  </si>
  <si>
    <t>2</t>
  </si>
  <si>
    <t>708008341087</t>
  </si>
  <si>
    <t>MBV8269I</t>
  </si>
  <si>
    <t>784645325970</t>
  </si>
  <si>
    <t>INDI SLIDER</t>
  </si>
  <si>
    <t>R2142N3BX</t>
  </si>
  <si>
    <t>841413126426</t>
  </si>
  <si>
    <t>OhMG Juniors Panda Patch Pullover Medium Grey XL</t>
  </si>
  <si>
    <t>826410654011</t>
  </si>
  <si>
    <t>BCX Juniors Lace Crop Top Black L</t>
  </si>
  <si>
    <t>102420T</t>
  </si>
  <si>
    <t>BLK STRP PEPLM</t>
  </si>
  <si>
    <t>1032V49</t>
  </si>
  <si>
    <t>693401705331</t>
  </si>
  <si>
    <t>749709233776</t>
  </si>
  <si>
    <t>Blondie Nites Juniors Embellished Strapless NavyWhite 5</t>
  </si>
  <si>
    <t>708008311943</t>
  </si>
  <si>
    <t>City Studios Juniors Jeweled Illusion Gown Black 3</t>
  </si>
  <si>
    <t>8420CE1BTP</t>
  </si>
  <si>
    <t>42YA71S</t>
  </si>
  <si>
    <t>5FN34OL</t>
  </si>
  <si>
    <t>885608327144</t>
  </si>
  <si>
    <t>Levis 815 Curvy Bootcut Jeans Run Off 30 US 10 R</t>
  </si>
  <si>
    <t>F2623IDMA-MACY</t>
  </si>
  <si>
    <t>2129XZ1C</t>
  </si>
  <si>
    <t>784645067375</t>
  </si>
  <si>
    <t>My Michelle Juniors 2-Pc. Illusion Bodyco Black 5</t>
  </si>
  <si>
    <t>822982511653</t>
  </si>
  <si>
    <t>Jessica Simpson Lace-Up Off-The-Shoulder Sweat Biking Red XS</t>
  </si>
  <si>
    <t>5 S</t>
  </si>
  <si>
    <t>888825936892</t>
  </si>
  <si>
    <t>Material Girl Juniors Burnout Bodycon Dress Zinfandel XL</t>
  </si>
  <si>
    <t>889775083674</t>
  </si>
  <si>
    <t>American Rag Printed Wide-Leg Pants Black Combo M</t>
  </si>
  <si>
    <t>889775030272</t>
  </si>
  <si>
    <t>American Rag Cropped Cuffed Colored Skinny One White 3</t>
  </si>
  <si>
    <t>1110Q06</t>
  </si>
  <si>
    <t>791093318706</t>
  </si>
  <si>
    <t>In Awe of You by AwesomenessTV Juniors Sleeveless A-Line Dre Black XS</t>
  </si>
  <si>
    <t>887043693822</t>
  </si>
  <si>
    <t>Celebrity Pink Juniors Flocked Skinny Jeans Burnt Red 7</t>
  </si>
  <si>
    <t>887043683687</t>
  </si>
  <si>
    <t>Celebrity Pink Juniors High-Waist Black Wash Black 5</t>
  </si>
  <si>
    <t>887043693815</t>
  </si>
  <si>
    <t>Celebrity Pink Juniors Flocked Skinny Jeans Burnt Red 5</t>
  </si>
  <si>
    <t>619720907324</t>
  </si>
  <si>
    <t>Be Bop Juniors High-Waist Bootcut Tr Navy 9</t>
  </si>
  <si>
    <t>614015968202</t>
  </si>
  <si>
    <t>Rewash Juniors Pull-On Jeggings Black 5</t>
  </si>
  <si>
    <t>888825870561</t>
  </si>
  <si>
    <t>Tinseltown Juniors High-Waist Skinny Jea Moss Camo Printed 7</t>
  </si>
  <si>
    <t>5T52601MC</t>
  </si>
  <si>
    <t>889901118027</t>
  </si>
  <si>
    <t>Hooked Up by IOT Juniors Fringed Mixed-Pattern BlackLight Grey HeatherSpiri M</t>
  </si>
  <si>
    <t>705143707761</t>
  </si>
  <si>
    <t>Energie Juniors Colorblocked Hoodie J Black XL</t>
  </si>
  <si>
    <t>887043646521</t>
  </si>
  <si>
    <t>Celebrity Pink Juniors Skinny Ponte Pants Burnt Red 7S</t>
  </si>
  <si>
    <t>645545915756</t>
  </si>
  <si>
    <t>Material Girl Mesh-Pocket Graphic Pullover H Heather Platinum XS</t>
  </si>
  <si>
    <t>M6905HP212</t>
  </si>
  <si>
    <t>841413124866</t>
  </si>
  <si>
    <t>OhMG Juniors Favorites Shine Patch Oatmeal L</t>
  </si>
  <si>
    <t>6V03MC</t>
  </si>
  <si>
    <t>841413124842</t>
  </si>
  <si>
    <t>OhMG Juniors Favorites Shine Patch Oatmeal S</t>
  </si>
  <si>
    <t>791093319109</t>
  </si>
  <si>
    <t>In Awe of You by AwesomenessTV Juniors Ribbed Mock-Neck Top Blue XS</t>
  </si>
  <si>
    <t>705143708515</t>
  </si>
  <si>
    <t>Energie Juniors Colorblocked Sweatpan Black L</t>
  </si>
  <si>
    <t>887409057695</t>
  </si>
  <si>
    <t>Polly Esther Juniors Hooded Plaid Shirt NavyIvory L</t>
  </si>
  <si>
    <t>619720908475</t>
  </si>
  <si>
    <t>Be Bop Juniors Military Shirt Olive M</t>
  </si>
  <si>
    <t>GJ3115ANO</t>
  </si>
  <si>
    <t>887648645424</t>
  </si>
  <si>
    <t>Freeze 24-7 Juniors Minnie Mouse Patch Gr True Black L</t>
  </si>
  <si>
    <t>841060124851</t>
  </si>
  <si>
    <t>Hippie Rose Juniors Long-Sleeve Asymmetri Medium Heather Grey XL</t>
  </si>
  <si>
    <t>841060121959</t>
  </si>
  <si>
    <t>Hippie Rose Juniors Lace-Up Marled Knit T Autumn Rust XL</t>
  </si>
  <si>
    <t>695532437655</t>
  </si>
  <si>
    <t>Ultra Flirt Juniors Marled High-Low Pullo Olive M</t>
  </si>
  <si>
    <t>655998038636</t>
  </si>
  <si>
    <t>Material Girl Juniors Mesh-Detail Sports Br Black XS</t>
  </si>
  <si>
    <t>ZT1006-5582-2173-MC</t>
  </si>
  <si>
    <t>190121167758</t>
  </si>
  <si>
    <t>Mighty Fine Juniors Graphic Ringer T-Shir Linen S</t>
  </si>
  <si>
    <t>695532441157</t>
  </si>
  <si>
    <t>Ultra Flirt Juniors Printed Leggings Calypso Blue XS</t>
  </si>
  <si>
    <t>LNG 2PC LACE BGWN</t>
  </si>
  <si>
    <t>889631053292</t>
  </si>
  <si>
    <t>Crystal Doll Juniors Scalloped Lace Bodyco Red 3</t>
  </si>
  <si>
    <t>889351230980</t>
  </si>
  <si>
    <t>889351230973</t>
  </si>
  <si>
    <t>885779656135</t>
  </si>
  <si>
    <t>1BRXNSVA</t>
  </si>
  <si>
    <t>DROP SHLDR TEE W LACE</t>
  </si>
  <si>
    <t>ZO9525-7379-6359</t>
  </si>
  <si>
    <t>90039MG</t>
  </si>
  <si>
    <t>822982511639</t>
  </si>
  <si>
    <t>Jessica Simpson Lace-Up Off-The-Shoulder Sweat Biking Red S</t>
  </si>
  <si>
    <t>889775066271</t>
  </si>
  <si>
    <t>American Rag High-Waist Trudy Wash Skinny J Trudy Wash 5</t>
  </si>
  <si>
    <t>889775066318</t>
  </si>
  <si>
    <t>American Rag High-Waist Trudy Wash Skinny J Trudy Wash 13</t>
  </si>
  <si>
    <t>826409774980</t>
  </si>
  <si>
    <t>BCX Juniors Plaid Skinny Pants Multi 5</t>
  </si>
  <si>
    <t>0079R51</t>
  </si>
  <si>
    <t>885779637851</t>
  </si>
  <si>
    <t>Vanilla Star Juniors Colored Wash Skinny J Khaki 15</t>
  </si>
  <si>
    <t>888825991815</t>
  </si>
  <si>
    <t>Tinseltown Juniors Moto Burgundy Wash Sk Burgundy 7</t>
  </si>
  <si>
    <t>695532477866</t>
  </si>
  <si>
    <t>Ultra Flirt Juniors Awesome Fine-Gauge Pu Olive S</t>
  </si>
  <si>
    <t>887409057565</t>
  </si>
  <si>
    <t>Polly Esther Juniors Hooded Plaid Shirt BrickNavy M</t>
  </si>
  <si>
    <t>190121196154</t>
  </si>
  <si>
    <t>Mighty Fine Juniors Disney Stitch Holiday Heather Grey XL</t>
  </si>
  <si>
    <t>841060122178</t>
  </si>
  <si>
    <t>Hippie Rose Juniors Printed Pullover Swea Heather Oatmeal S</t>
  </si>
  <si>
    <t>706256570167</t>
  </si>
  <si>
    <t>Material Girl Juniors Side-Cutout Racerback White L</t>
  </si>
  <si>
    <t>H6S0033</t>
  </si>
  <si>
    <t>39373765445</t>
  </si>
  <si>
    <t>CeCe Sequin Fit Flare Dress Fairy Dust 2</t>
  </si>
  <si>
    <t>TATOO OPEN BACK</t>
  </si>
  <si>
    <t>749709276261</t>
  </si>
  <si>
    <t>637865184462</t>
  </si>
  <si>
    <t>Calvin Klein Jeans Printed High-Low Shirt Marshmellow M</t>
  </si>
  <si>
    <t>M6O16NR212</t>
  </si>
  <si>
    <t>N023108</t>
  </si>
  <si>
    <t>713701095991</t>
  </si>
  <si>
    <t>American Rag Printed Waffle-Knit Lace-Trim Dusty Olive XL</t>
  </si>
  <si>
    <t>887043679840</t>
  </si>
  <si>
    <t>Celebrity Pink Juniors Slimming Technology C Black 9</t>
  </si>
  <si>
    <t>841413124705</t>
  </si>
  <si>
    <t>OhMG Juniors Drape-Collar Aztec-Pa OatmealToasted Heather M</t>
  </si>
  <si>
    <t>889602099816</t>
  </si>
  <si>
    <t>Freshman Juniors Marled Colorblock Pul Blank CanvasBerry Wine M</t>
  </si>
  <si>
    <t>887069474818</t>
  </si>
  <si>
    <t>Pink Rose Juniors Striped Cowl-Neck Fin WickedHeather Oatmeal Stripe S</t>
  </si>
  <si>
    <t>841060121980</t>
  </si>
  <si>
    <t>Hippie Rose Juniors Lace-Up Marled Knit T Black M</t>
  </si>
  <si>
    <t>695532477965</t>
  </si>
  <si>
    <t>Ultra Flirt Juniors Rib-Knit Turtleneck T Black S</t>
  </si>
  <si>
    <t>655998048192</t>
  </si>
  <si>
    <t>Material Girl Juniors Ruched Strap-Detail S Pink XS</t>
  </si>
  <si>
    <t>695532481078</t>
  </si>
  <si>
    <t>Ultra Flirt Juniors Cowl-Neck Waffle-Knit Mauve S</t>
  </si>
  <si>
    <t>705143715285</t>
  </si>
  <si>
    <t>Energie Juniors Cara Racerback Compre Caviar XL</t>
  </si>
  <si>
    <t>887648661653</t>
  </si>
  <si>
    <t>Freeze 24-7 Juniors Home Alone Graphic Ba WhiteRed S</t>
  </si>
  <si>
    <t>887648690288</t>
  </si>
  <si>
    <t>Freeze 24-7 Juniors Pokemon Poke Ball G Yellow S</t>
  </si>
  <si>
    <t>42ZD779</t>
  </si>
  <si>
    <t>759880883318</t>
  </si>
  <si>
    <t>886542618022</t>
  </si>
  <si>
    <t>B Darlin Juniors Colorblocked Fit Fl CobaltBlack 56</t>
  </si>
  <si>
    <t>826409970832</t>
  </si>
  <si>
    <t>BCX Juniors Printed Split-Sleeve Patch Print XS</t>
  </si>
  <si>
    <t>889602109751</t>
  </si>
  <si>
    <t>Freshman Juniors One-Button Knit Blaze Jet Black XL</t>
  </si>
  <si>
    <t>841413125276</t>
  </si>
  <si>
    <t>OhMG Juniors Lips Sequin Embroider Grey XS</t>
  </si>
  <si>
    <t>RR5162C48MZ</t>
  </si>
  <si>
    <t>706255832624</t>
  </si>
  <si>
    <t>Material Girl Juniors Lace-Inset Cropped Le Flashmode M</t>
  </si>
  <si>
    <t>M6715FM212</t>
  </si>
  <si>
    <t>RR3016C34MZ</t>
  </si>
  <si>
    <t>705143708430</t>
  </si>
  <si>
    <t>Energie Juniors Liv Colorblocked Legg Electric Strawberry XS</t>
  </si>
  <si>
    <t>1K12617MC</t>
  </si>
  <si>
    <t>190121167741</t>
  </si>
  <si>
    <t>Mighty Fine Juniors Graphic Ringer T-Shir Linen XS</t>
  </si>
  <si>
    <t>637865190463</t>
  </si>
  <si>
    <t>Calvin Klein Jeans Embellished Scoop-Neck T-Shirt Coldstone Heather XL</t>
  </si>
  <si>
    <t>645545917521</t>
  </si>
  <si>
    <t>Material Girl Juniors Long-Sleeve Sweatshir Black S</t>
  </si>
  <si>
    <t>844620199597</t>
  </si>
  <si>
    <t>American Rag Embellished Dip-Dyed Tank Top Zinfandel XXL</t>
  </si>
  <si>
    <t>887043500496</t>
  </si>
  <si>
    <t>Celebrity Pink Juniors Light Wash Skinny Jea Mystic Falls 13</t>
  </si>
  <si>
    <t>829092247045</t>
  </si>
  <si>
    <t>XOXO Juniors Mock-Neck Grommet Top Ivory XS</t>
  </si>
  <si>
    <t>3514SJO5</t>
  </si>
  <si>
    <t>791093319673</t>
  </si>
  <si>
    <t>In Awe of You by AwesomenessTV Juniors Pinstriped Strapless Multi L</t>
  </si>
  <si>
    <t>889775072623</t>
  </si>
  <si>
    <t>American Rag Striped Lace-Trim Top Zinfandel L</t>
  </si>
  <si>
    <t>706256235394</t>
  </si>
  <si>
    <t>Material Girl Foil-Printed Fearless Yoga Leg Black XL</t>
  </si>
  <si>
    <t>887648644793</t>
  </si>
  <si>
    <t>Disney Juniors The Lion King Patch G Grey Heather S</t>
  </si>
  <si>
    <t>PF624121</t>
  </si>
  <si>
    <t>887069475228</t>
  </si>
  <si>
    <t>Pink Rose Juniors Ruched-Side Fine-Gaug Black M</t>
  </si>
  <si>
    <t>705143715360</t>
  </si>
  <si>
    <t>Energie Juniors Autumn Colorblocked Y Electric Strawberry XXL</t>
  </si>
  <si>
    <t>190344429046</t>
  </si>
  <si>
    <t>Hybrid Juniors Despicable Me Fluffy Light Pink XS</t>
  </si>
  <si>
    <t>645545916197</t>
  </si>
  <si>
    <t>Material Girl Mesh-Back Graphic Tank Top Sparkling Pink XL</t>
  </si>
  <si>
    <t>706254986267</t>
  </si>
  <si>
    <t>Material Girl Juniors Active Shorts Flashmode L</t>
  </si>
  <si>
    <t>X34121CJ7</t>
  </si>
  <si>
    <t>1BRXNSVB</t>
  </si>
  <si>
    <t>42WD521</t>
  </si>
  <si>
    <t>I015J511H</t>
  </si>
  <si>
    <t>637865105160</t>
  </si>
  <si>
    <t>Calvin Klein Jeans Button-Front Denim A-Line Skir Authentic 31</t>
  </si>
  <si>
    <t>829092246062</t>
  </si>
  <si>
    <t>XOXO Juniors Zip-Front A-Line Skir Black XS</t>
  </si>
  <si>
    <t>MYJ002938</t>
  </si>
  <si>
    <t>888825958900</t>
  </si>
  <si>
    <t>Tinseltown Juniors Sweater-Sleeve Denim Reflection XL</t>
  </si>
  <si>
    <t>841413124897</t>
  </si>
  <si>
    <t>OhMG Juniors Fruit Shine Patch Swe Black S</t>
  </si>
  <si>
    <t>841060124974</t>
  </si>
  <si>
    <t>Hippie Rose Juniors Long-Sleeve Asymmetri Olive Branch S</t>
  </si>
  <si>
    <t>841060121911</t>
  </si>
  <si>
    <t>Hippie Rose Juniors Lace-Up Marled Knit T Autumn Rust XS</t>
  </si>
  <si>
    <t>841060122093</t>
  </si>
  <si>
    <t>Hippie Rose Juniors Lace-Up Marled Knit T Olive Branch L</t>
  </si>
  <si>
    <t>190040296997</t>
  </si>
  <si>
    <t>Almost Famous Juniors Lattice-Front Ruched Natural S</t>
  </si>
  <si>
    <t>190121146937</t>
  </si>
  <si>
    <t>Mighty Fine Juniors Graphic T-Shirt Gray S</t>
  </si>
  <si>
    <t>645545924918</t>
  </si>
  <si>
    <t>Rebellious One Juniors Striped Tie-Front Top Blackivory Stripes S</t>
  </si>
  <si>
    <t>IA8334J951</t>
  </si>
  <si>
    <t>887648568792</t>
  </si>
  <si>
    <t>Freeze 24-7 Juniors High-Low Graphic Tuni White S</t>
  </si>
  <si>
    <t>NQSJM76-4L79</t>
  </si>
  <si>
    <t>887648614024</t>
  </si>
  <si>
    <t>Freeze 24-7 Juniors High-Low Graphic Tuni White M</t>
  </si>
  <si>
    <t>645545883093</t>
  </si>
  <si>
    <t>Material Girl Juniors Low-Impact Racerback Black S</t>
  </si>
  <si>
    <t>887409061470</t>
  </si>
  <si>
    <t>791093319567</t>
  </si>
  <si>
    <t>In Awe of You by AwesomenessTV Juniors Lace-Up Lace A-Line D Black M</t>
  </si>
  <si>
    <t>SPJ339D1GIMM</t>
  </si>
  <si>
    <t>886542633636</t>
  </si>
  <si>
    <t>B Darlin Juniors Glitter-Lace Illusion Eggplant Silver 12</t>
  </si>
  <si>
    <t>D2WCJ786H</t>
  </si>
  <si>
    <t>652874659848</t>
  </si>
  <si>
    <t>Speechless Juniors Embroidered Mesh Shif Navy M</t>
  </si>
  <si>
    <t>JA87531TGU</t>
  </si>
  <si>
    <t>6SD93ILI</t>
  </si>
  <si>
    <t>H073775</t>
  </si>
  <si>
    <t>888825757619</t>
  </si>
  <si>
    <t>Material Girl Juniors Cutout Lace Fit Fla Pale Blush XL</t>
  </si>
  <si>
    <t>10295PL204</t>
  </si>
  <si>
    <t>886542617995</t>
  </si>
  <si>
    <t>B Darlin Juniors Colorblocked Fit Fl CobaltBlack 0</t>
  </si>
  <si>
    <t>791093319017</t>
  </si>
  <si>
    <t>In Awe of You by AwesomenessTV Juniors Sheer Bell-Sleeve Shi Multi S</t>
  </si>
  <si>
    <t>889387972885</t>
  </si>
  <si>
    <t>Trixxi Juniors Mock-Neck Lace Fit Teal XS</t>
  </si>
  <si>
    <t>888825792818</t>
  </si>
  <si>
    <t>Material Girl Juniors Cutout Lace Sweethear Daffodil XS</t>
  </si>
  <si>
    <t>70078DL204</t>
  </si>
  <si>
    <t>888825792849</t>
  </si>
  <si>
    <t>Material Girl Juniors Cutout Lace Sweethear Daffodil XL</t>
  </si>
  <si>
    <t>10001OP204</t>
  </si>
  <si>
    <t>889387972793</t>
  </si>
  <si>
    <t>Trixxi Juniors Printed Mock-Neck Cut NavyMulti XXL</t>
  </si>
  <si>
    <t>26M080BX9I</t>
  </si>
  <si>
    <t>20159BC204</t>
  </si>
  <si>
    <t>CJ21196SG</t>
  </si>
  <si>
    <t>20154CD204</t>
  </si>
  <si>
    <t>20154LM204</t>
  </si>
  <si>
    <t>50111BC204</t>
  </si>
  <si>
    <t>759880883479</t>
  </si>
  <si>
    <t>REWIND Juniors Skinny Cargo Pants Dark Red 9</t>
  </si>
  <si>
    <t>887409059545</t>
  </si>
  <si>
    <t>Polly Esther Juniors Unicorn Patch Pullove Grey S</t>
  </si>
  <si>
    <t>CC21038H20</t>
  </si>
  <si>
    <t>829826295885</t>
  </si>
  <si>
    <t>Planet Gold Juniors Kiss Me Pullover Swea Black XS</t>
  </si>
  <si>
    <t>637677168711</t>
  </si>
  <si>
    <t>Self Esteem Juniors Draped Open-Front Car Charcoal Blush Combo XL</t>
  </si>
  <si>
    <t>J61162</t>
  </si>
  <si>
    <t>887043642813</t>
  </si>
  <si>
    <t>Celebrity Pink Juniors Denim Overall Dress Indigo Girls S</t>
  </si>
  <si>
    <t>CJ10057H18</t>
  </si>
  <si>
    <t>190040292937</t>
  </si>
  <si>
    <t>Almost Famous Juniors Graphic Cropped Pullo Heather Grey XS</t>
  </si>
  <si>
    <t>619720901230</t>
  </si>
  <si>
    <t>Be Bop Juniors Faux-Wrap Romper BlackGold S</t>
  </si>
  <si>
    <t>695532440525</t>
  </si>
  <si>
    <t>Ultra Flirt Juniors Space-Dyed Mitered-He TawnyBerry M</t>
  </si>
  <si>
    <t>841413124880</t>
  </si>
  <si>
    <t>OhMG Juniors Fruit Shine Patch Swe Black XS</t>
  </si>
  <si>
    <t>JYAO006042</t>
  </si>
  <si>
    <t>619720891265</t>
  </si>
  <si>
    <t>Be Bop Juniors Printed Racerback Sho BlackBurg L</t>
  </si>
  <si>
    <t>889602103391</t>
  </si>
  <si>
    <t>Freshman Juniors High-Low Cold-Shoulde Red Brick Combo S</t>
  </si>
  <si>
    <t>6K60048MC</t>
  </si>
  <si>
    <t>889602108464</t>
  </si>
  <si>
    <t>Jessica Simpson Juniors Compression Tank Top Midnight Floral L</t>
  </si>
  <si>
    <t>889602101366</t>
  </si>
  <si>
    <t>Jessica Simpson Juniors Compression Tank Top Riffle Green S</t>
  </si>
  <si>
    <t>674153669256</t>
  </si>
  <si>
    <t>Say What Juniors Patched Chambray Shir Medium Wash M</t>
  </si>
  <si>
    <t>889153807670</t>
  </si>
  <si>
    <t>Freestyle Juniors Plaid Zip-Front A-Lin Navy Green M</t>
  </si>
  <si>
    <t>889602094187</t>
  </si>
  <si>
    <t>Freshman Juniors Marled Mixed-Knit Swe Berry Wine S</t>
  </si>
  <si>
    <t>889602034312</t>
  </si>
  <si>
    <t>Freshman Juniors Marled Mixed-Knit Swe Jet Black M</t>
  </si>
  <si>
    <t>5T50905MC</t>
  </si>
  <si>
    <t>190040325888</t>
  </si>
  <si>
    <t>Almost Famous Juniors Graphic Cropped Pullo Mist Green S</t>
  </si>
  <si>
    <t>887648644953</t>
  </si>
  <si>
    <t>Trolls by DreamWorks Juniors Trolls Chenille Appli Grey Heather XL</t>
  </si>
  <si>
    <t>887648644946</t>
  </si>
  <si>
    <t>Trolls by DreamWorks Juniors Trolls Chenille Appli Grey Heather L</t>
  </si>
  <si>
    <t>M6716NR212</t>
  </si>
  <si>
    <t>887854000420</t>
  </si>
  <si>
    <t>Miss Chievous Juniors Printed Raglan-Sleeve Fading RoseGrey Fog M</t>
  </si>
  <si>
    <t>887854000314</t>
  </si>
  <si>
    <t>Miss Chievous Juniors Printed Raglan-Sleeve Pinot Noir XL</t>
  </si>
  <si>
    <t>887854000178</t>
  </si>
  <si>
    <t>Miss Chievous Juniors Printed Raglan-Sleeve Dusty Olive L</t>
  </si>
  <si>
    <t>619720897366</t>
  </si>
  <si>
    <t>Be Bop Juniors Printed Cutout-Back B BlackWhite L</t>
  </si>
  <si>
    <t>GJ3239HN</t>
  </si>
  <si>
    <t>887854000468</t>
  </si>
  <si>
    <t>Miss Chievous Juniors Printed Raglan-Sleeve Soft Breeze S</t>
  </si>
  <si>
    <t>887854000321</t>
  </si>
  <si>
    <t>Miss Chievous Juniors Printed Raglan-Sleeve Fading RoseGrey Fog XS</t>
  </si>
  <si>
    <t>887854000192</t>
  </si>
  <si>
    <t>Miss Chievous Juniors Printed Raglan-Sleeve Pinot Noir XS</t>
  </si>
  <si>
    <t>887854000338</t>
  </si>
  <si>
    <t>Miss Chievous Juniors Printed Raglan-Sleeve Fading RoseGrey Fog S</t>
  </si>
  <si>
    <t>655998423739</t>
  </si>
  <si>
    <t>Material Girl Juniors Racerback Sports Bra Sparkling Pink S</t>
  </si>
  <si>
    <t>M6224PT212</t>
  </si>
  <si>
    <t>1CDHELQG</t>
  </si>
  <si>
    <t>1CDHELQE</t>
  </si>
  <si>
    <t>ZU8520-8317-0014-MC</t>
  </si>
  <si>
    <t>637677197483</t>
  </si>
  <si>
    <t>Belle Du Jour Juniors Lace-Trim Pocket Top Clover S</t>
  </si>
  <si>
    <t>0YCZELAC</t>
  </si>
  <si>
    <t>695532477484</t>
  </si>
  <si>
    <t>Ultra Flirt Juniors Turtleneck Cutout Hig Wine XL</t>
  </si>
  <si>
    <t>H6F0109M</t>
  </si>
  <si>
    <t>190040251613</t>
  </si>
  <si>
    <t>Almost Famous Juniors Printed Tunic TaupeBlack S</t>
  </si>
  <si>
    <t>ZU9291-8549-MC</t>
  </si>
  <si>
    <t>ZU9291-8551-MC</t>
  </si>
  <si>
    <t>190040251712</t>
  </si>
  <si>
    <t>Almost Famous Juniors Printed Tunic Burgundy Combo S</t>
  </si>
  <si>
    <t>190040280804</t>
  </si>
  <si>
    <t>Almost Famous Juniors High-Low Plaid-Back T Black L</t>
  </si>
  <si>
    <t>ZT1006-5582-2037-MC</t>
  </si>
  <si>
    <t>841060118546</t>
  </si>
  <si>
    <t>Hippie Rose Juniors Striped Cowl-Neck Tun IvoryOatmeal L</t>
  </si>
  <si>
    <t>841060118539</t>
  </si>
  <si>
    <t>Hippie Rose Juniors Striped Cowl-Neck Tun IvoryOatmeal M</t>
  </si>
  <si>
    <t>190040280897</t>
  </si>
  <si>
    <t>Almost Famous Juniors High-Low Plaid-Back T Natural M</t>
  </si>
  <si>
    <t>841060118515</t>
  </si>
  <si>
    <t>Hippie Rose Juniors Striped Cowl-Neck Tun IvoryOatmeal XS</t>
  </si>
  <si>
    <t>695532441638</t>
  </si>
  <si>
    <t>Ultra Flirt Juniors Sleeveless Cowl-Neck Heather Grey M</t>
  </si>
  <si>
    <t>190121121828</t>
  </si>
  <si>
    <t>Mighty Fine Juniors Relationship Goals Gr Linen M</t>
  </si>
  <si>
    <t>M6312NR212</t>
  </si>
  <si>
    <t>887648645226</t>
  </si>
  <si>
    <t>Trolls by DreamWorks Juniors Trolls Graphic T-Shir Grey Heather S</t>
  </si>
  <si>
    <t>887648645233</t>
  </si>
  <si>
    <t>Trolls by DreamWorks Juniors Trolls Graphic T-Shir Grey Heather M</t>
  </si>
  <si>
    <t>637677171681</t>
  </si>
  <si>
    <t>Belle Du Jour Juniors V-Neck Necklace T-Shi Heather Oatmeal M</t>
  </si>
  <si>
    <t>887648661660</t>
  </si>
  <si>
    <t>Freeze 24-7 Juniors Home Alone Graphic Ba WhiteRed M</t>
  </si>
  <si>
    <t>887409060114</t>
  </si>
  <si>
    <t>Polly Esther Juniors Waffle-Knit Cold-Shou Rust XL</t>
  </si>
  <si>
    <t>PK13564MC</t>
  </si>
  <si>
    <t>190344151572</t>
  </si>
  <si>
    <t>Hybrid Juniors Sleeveless Graphic Cr Heather Charcoal M</t>
  </si>
  <si>
    <t>JT4070JRSO163</t>
  </si>
  <si>
    <t>190344362930</t>
  </si>
  <si>
    <t>Trolls by DreamWorks Juniors Trolls Graphic-Patch Dark Heather Grey S</t>
  </si>
  <si>
    <t>190344362947</t>
  </si>
  <si>
    <t>Trolls by DreamWorks Juniors Trolls Graphic-Patch Dark Heather Grey M</t>
  </si>
  <si>
    <t>695532471871</t>
  </si>
  <si>
    <t>Ultra Flirt Juniors Striped Split-Neck T- OliveBlack M</t>
  </si>
  <si>
    <t>637677158491</t>
  </si>
  <si>
    <t>Belle Du Jour Juniors Smocked Flutter-Sleev BlackTomato Red XS</t>
  </si>
  <si>
    <t>0VXYELKP</t>
  </si>
  <si>
    <t>645545882799</t>
  </si>
  <si>
    <t>Material Girl Juniors Low-Impact Racerback Heather Platinum L</t>
  </si>
  <si>
    <t>190344312812</t>
  </si>
  <si>
    <t>Hybrid Juniors Pokemon Pikachu Grap White XS</t>
  </si>
  <si>
    <t>190344510126</t>
  </si>
  <si>
    <t>Hybrid Juniors Pokemon Characters G Black M</t>
  </si>
  <si>
    <t>NQSJU47-8K61</t>
  </si>
  <si>
    <t>190344510140</t>
  </si>
  <si>
    <t>Hybrid Juniors Pokemon Characters G Black XL</t>
  </si>
  <si>
    <t>887648690318</t>
  </si>
  <si>
    <t>Freeze 24-7 Juniors Pokemon Poke Ball G Yellow XL</t>
  </si>
  <si>
    <t>TEAL 28 1-4" ONE SHOULDER</t>
  </si>
  <si>
    <t>841413126389</t>
  </si>
  <si>
    <t>OhMG Juniors Panda Patch Pullover Medium Grey XS</t>
  </si>
  <si>
    <t>J63316M</t>
  </si>
  <si>
    <t>705143711911</t>
  </si>
  <si>
    <t>Energie Juniors Patty Sweater Dress w Jester Red XS</t>
  </si>
  <si>
    <t>JLB1AD76940</t>
  </si>
  <si>
    <t>619720921597</t>
  </si>
  <si>
    <t>Be Bop Juniors Lace-Paneled Shorts NaturalGold XS</t>
  </si>
  <si>
    <t>190040221661</t>
  </si>
  <si>
    <t>758116060783</t>
  </si>
  <si>
    <t>815972020228</t>
  </si>
  <si>
    <t>Velvet Heart Macy Printed Shirtdress Ikat Print S</t>
  </si>
  <si>
    <t>QKW-5918</t>
  </si>
  <si>
    <t>661414510822</t>
  </si>
  <si>
    <t>Teeze Me Juniors Fit Flare Two-Piece Sage Charcoal 1</t>
  </si>
  <si>
    <t>829092266985</t>
  </si>
  <si>
    <t>XOXO Juniors Button-Trim Faux-Leat Burgundy M</t>
  </si>
  <si>
    <t>5490BPL5</t>
  </si>
  <si>
    <t>886542616400</t>
  </si>
  <si>
    <t>B Darlin Juniors Strapless Floral-Prin Multi Color 910</t>
  </si>
  <si>
    <t>886542616363</t>
  </si>
  <si>
    <t>B Darlin Juniors Strapless Floral-Prin Multi Color 12</t>
  </si>
  <si>
    <t>X28853HJL</t>
  </si>
  <si>
    <t>889237774928</t>
  </si>
  <si>
    <t>As U Wish Juniors 2-Pc. Crop Top Lace Black 5</t>
  </si>
  <si>
    <t>50123ZC204</t>
  </si>
  <si>
    <t>3248TRA3</t>
  </si>
  <si>
    <t>708008341735</t>
  </si>
  <si>
    <t>City Studios Juniors Printed Shine Lace-Ba NavyCoral 3</t>
  </si>
  <si>
    <t>4710NT7BT1</t>
  </si>
  <si>
    <t>829826305003</t>
  </si>
  <si>
    <t>Planet Gold Juniors Advent Calendar Pullo Navy XL</t>
  </si>
  <si>
    <t>J61958</t>
  </si>
  <si>
    <t>889237724459</t>
  </si>
  <si>
    <t>As U Wish Juniors Printed Lace-Up Shift NavyIvory XL</t>
  </si>
  <si>
    <t>888825705184</t>
  </si>
  <si>
    <t>Material Girl Juniors Sleeveless Burnout Ha White L</t>
  </si>
  <si>
    <t>20137BC204</t>
  </si>
  <si>
    <t>26K309W5WI</t>
  </si>
  <si>
    <t>887409059576</t>
  </si>
  <si>
    <t>Polly Esther Juniors Unicorn Patch Pullove Grey XL</t>
  </si>
  <si>
    <t>887840185841</t>
  </si>
  <si>
    <t>Emerald Sundae Juniors Knit Dress with Knot- NavyIvory M</t>
  </si>
  <si>
    <t>841907121234</t>
  </si>
  <si>
    <t>Indigo Rein Juniors Skinny Five-Pocket Co Fig 11</t>
  </si>
  <si>
    <t>614015966734</t>
  </si>
  <si>
    <t>Rewash Juniors Ripped Skinny Ankle J Black Rnse 9</t>
  </si>
  <si>
    <t>829826295878</t>
  </si>
  <si>
    <t>Planet Gold Juniors Kiss Me Pullover Swea Black XL</t>
  </si>
  <si>
    <t>840523199139</t>
  </si>
  <si>
    <t>Indigo Rein Juniors Light Blue Wash Cropp Light Blue 7</t>
  </si>
  <si>
    <t>841907120640</t>
  </si>
  <si>
    <t>Indigo Rein Juniors Light Blue Wash Cropp Light Blue 0</t>
  </si>
  <si>
    <t>840523199122</t>
  </si>
  <si>
    <t>Indigo Rein Juniors Light Blue Wash Cropp Light Blue 5</t>
  </si>
  <si>
    <t>190040292944</t>
  </si>
  <si>
    <t>Almost Famous Juniors Graphic Cropped Pullo Heather Grey S</t>
  </si>
  <si>
    <t>190040292906</t>
  </si>
  <si>
    <t>Almost Famous Juniors Sequin T-Rex Cropped Heather Oatmeal M</t>
  </si>
  <si>
    <t>619720896819</t>
  </si>
  <si>
    <t>Be Bop Juniors Printed Tie-Neck Romp NavyMulti XL</t>
  </si>
  <si>
    <t>JYAD006042</t>
  </si>
  <si>
    <t>887409056902</t>
  </si>
  <si>
    <t>Polly Esther Juniors Patched Plaid Shirt Navy M</t>
  </si>
  <si>
    <t>PW13160MC</t>
  </si>
  <si>
    <t>841413124927</t>
  </si>
  <si>
    <t>OhMG Juniors Fruit Shine Patch Swe Black XL</t>
  </si>
  <si>
    <t>841413124910</t>
  </si>
  <si>
    <t>OhMG Juniors Fruit Shine Patch Swe Black L</t>
  </si>
  <si>
    <t>889602034329</t>
  </si>
  <si>
    <t>Freshman Juniors Marled Mixed-Knit Swe Jet Black L</t>
  </si>
  <si>
    <t>841060119598</t>
  </si>
  <si>
    <t>Hippie Rose Juniors Open-Front Side-Slit Retro Maroon L</t>
  </si>
  <si>
    <t>841060119079</t>
  </si>
  <si>
    <t>Hippie Rose Juniors Handkerchief-Hem Card Black Combo S</t>
  </si>
  <si>
    <t>887648645059</t>
  </si>
  <si>
    <t>Trolls by DreamWorks Juniors Trolls Patch Sweatshi True Black M</t>
  </si>
  <si>
    <t>PW13811MC</t>
  </si>
  <si>
    <t>887648645073</t>
  </si>
  <si>
    <t>Trolls by DreamWorks Juniors Trolls Patch Sweatshi True Black XL</t>
  </si>
  <si>
    <t>655998036564</t>
  </si>
  <si>
    <t>Material Girl Juniors Racerback Sports Bra Black XS</t>
  </si>
  <si>
    <t>706255832655</t>
  </si>
  <si>
    <t>Material Girl Juniors Printed Cropped Leggi Black XS</t>
  </si>
  <si>
    <t>826409537769</t>
  </si>
  <si>
    <t>BCX Juniors Sleeveless Knit Neckl Yellow XL</t>
  </si>
  <si>
    <t>887854000437</t>
  </si>
  <si>
    <t>Miss Chievous Juniors Printed Raglan-Sleeve Fading RoseGrey Fog L</t>
  </si>
  <si>
    <t>887854000574</t>
  </si>
  <si>
    <t>Miss Chievous Juniors Printed Raglan-Sleeve Soft Breeze XL</t>
  </si>
  <si>
    <t>190040296348</t>
  </si>
  <si>
    <t>Almost Famous Juniors Sheer Lace Henley Top Natural M</t>
  </si>
  <si>
    <t>637677144661</t>
  </si>
  <si>
    <t>Belle Du Jour Juniors Lace-Up High-Low Tuni Teal XS</t>
  </si>
  <si>
    <t>JB2740S345</t>
  </si>
  <si>
    <t>JC1309W318</t>
  </si>
  <si>
    <t>ZR2770-7741-MC</t>
  </si>
  <si>
    <t>695532464569</t>
  </si>
  <si>
    <t>Ultra Flirt Juniors Cold-Shoulder Waffle- Burgundy L</t>
  </si>
  <si>
    <t>645545892538</t>
  </si>
  <si>
    <t>M6812NS212</t>
  </si>
  <si>
    <t>645545909069</t>
  </si>
  <si>
    <t>Rebellious One Juniors Mineral-Wash Football Bedrock Black M</t>
  </si>
  <si>
    <t>645545893429</t>
  </si>
  <si>
    <t>Material Girl Juniors Mesh Racerback Tank T Black XL</t>
  </si>
  <si>
    <t>645545882164</t>
  </si>
  <si>
    <t>Material Girl Juniors Crisscross-Back Activ Cosmic Cobalt XL</t>
  </si>
  <si>
    <t>M6507CC212</t>
  </si>
  <si>
    <t>NW109</t>
  </si>
  <si>
    <t>645545882065</t>
  </si>
  <si>
    <t>Material Girl Juniors Braided-Back Active G Flashmode M</t>
  </si>
  <si>
    <t>637677171698</t>
  </si>
  <si>
    <t>Belle Du Jour Juniors V-Neck Necklace T-Shi Heather Oatmeal L</t>
  </si>
  <si>
    <t>M6523OT212</t>
  </si>
  <si>
    <t>M6538SC212</t>
  </si>
  <si>
    <t>Bioworld Juniors Suicide Squad Graphic White M</t>
  </si>
  <si>
    <t>190344393941</t>
  </si>
  <si>
    <t>Hybrid Juniors Graphic Raglan T-Shir WhiteNavy L</t>
  </si>
  <si>
    <t>0VXYELKQ</t>
  </si>
  <si>
    <t>695532458926</t>
  </si>
  <si>
    <t>Ultra Flirt Juniors Striped-Sleeve T-Shir WhiteBlack L</t>
  </si>
  <si>
    <t>695532419774</t>
  </si>
  <si>
    <t>Ultra Flirt Juniors Short-Sleeve Layering White XL</t>
  </si>
  <si>
    <t>PNSJR14-9L52</t>
  </si>
  <si>
    <t>887648690295</t>
  </si>
  <si>
    <t>Freeze 24-7 Juniors Pokemon Poke Ball G Yellow M</t>
  </si>
  <si>
    <t>889387963401</t>
  </si>
  <si>
    <t>MOCK NECK EYELASH LACE S</t>
  </si>
  <si>
    <t>889631050321</t>
  </si>
  <si>
    <t>JADE OFF THE SHOULDER POP</t>
  </si>
  <si>
    <t>V20864-2</t>
  </si>
  <si>
    <t>BLK DBL TNK</t>
  </si>
  <si>
    <t>1060N23</t>
  </si>
  <si>
    <t>619720911673</t>
  </si>
  <si>
    <t>BLAC NTL TROUSR NKL SKNY</t>
  </si>
  <si>
    <t>JACX002495</t>
  </si>
  <si>
    <t>887409061203</t>
  </si>
  <si>
    <t>887409058715</t>
  </si>
  <si>
    <t>712683997743</t>
  </si>
  <si>
    <t>Calvin Klein Jeans Denim Button-Front Dress Destroyed Cobalt XS</t>
  </si>
  <si>
    <t>637865006764</t>
  </si>
  <si>
    <t>Calvin Klein Jeans Classic Blue Wash Ultimate Ski Classic Blue 28</t>
  </si>
  <si>
    <t>652874428208</t>
  </si>
  <si>
    <t>Speechless Juniors Embellished Fit Fla Dark Burgundy 0</t>
  </si>
  <si>
    <t>886542615243</t>
  </si>
  <si>
    <t>B Darlin Juniors Embellished Ruched Fi Red 34</t>
  </si>
  <si>
    <t>886542636163</t>
  </si>
  <si>
    <t>B Darlin Juniors 2-Pc. Embellished Hal Red 56</t>
  </si>
  <si>
    <t>791093319543</t>
  </si>
  <si>
    <t>In Awe of You by AwesomenessTV Juniors Lace-Up Lace A-Line D Black XS</t>
  </si>
  <si>
    <t>791093320624</t>
  </si>
  <si>
    <t>In Awe of You by AwesomenessTV Juniors Tie-Neck Long-Sleeve Black S</t>
  </si>
  <si>
    <t>791093318263</t>
  </si>
  <si>
    <t>In Awe of You by AwesomenessTV Juniors Metallic Foil Moto Ja Silver XS</t>
  </si>
  <si>
    <t>SPJ263J1G8PM</t>
  </si>
  <si>
    <t>637865102640</t>
  </si>
  <si>
    <t>Calvin Klein Jeans Corduroy Skinny Pants Off Cloud 30x32</t>
  </si>
  <si>
    <t>42YA757</t>
  </si>
  <si>
    <t>637865105375</t>
  </si>
  <si>
    <t>Calvin Klein Jeans Button-Front A-Line Skirt Rinse 32</t>
  </si>
  <si>
    <t>637865011263</t>
  </si>
  <si>
    <t>Calvin Klein Jeans Denim Pencil Skirt Bardot Blue 8</t>
  </si>
  <si>
    <t>42WT764</t>
  </si>
  <si>
    <t>886542633704</t>
  </si>
  <si>
    <t>B Darlin Juniors Glitter-Lace Illusion Eggplant Silver 1516</t>
  </si>
  <si>
    <t>886542633674</t>
  </si>
  <si>
    <t>B Darlin Juniors Glitter-Lace Illusion Eggplant Silver 910</t>
  </si>
  <si>
    <t>815972020082</t>
  </si>
  <si>
    <t>Velvet Heart Riley Roll-Tab-Sleeve Button-D Opt White M</t>
  </si>
  <si>
    <t>FWW-2931</t>
  </si>
  <si>
    <t>601350515840</t>
  </si>
  <si>
    <t>Speechless Juniors Sequined Lace Dress Midnight 13</t>
  </si>
  <si>
    <t>39373637476</t>
  </si>
  <si>
    <t>CeCe Floral-Print Flutter-Sleeve Bl Rich Black M</t>
  </si>
  <si>
    <t>829092250625</t>
  </si>
  <si>
    <t>XOXO Juniors Asymmetrical Embellis Black XS</t>
  </si>
  <si>
    <t>829092250564</t>
  </si>
  <si>
    <t>XOXO Juniors Asymmetrical Embellis Black S</t>
  </si>
  <si>
    <t>889387986516</t>
  </si>
  <si>
    <t>Trixxi Juniors Illusion-Back Lace A- BlackNude 0</t>
  </si>
  <si>
    <t>889387986585</t>
  </si>
  <si>
    <t>Trixxi Juniors Illusion-Back Lace A- BlackNude 13</t>
  </si>
  <si>
    <t>889775032702</t>
  </si>
  <si>
    <t>American Rag Ripped Cropped Rory Light Wash Rory Wash 5</t>
  </si>
  <si>
    <t>889775032672</t>
  </si>
  <si>
    <t>American Rag Ripped Cropped Rory Light Wash Rory Wash 0</t>
  </si>
  <si>
    <t>844817098924</t>
  </si>
  <si>
    <t>American Rag Printed Smocked-Waist Dress Small Wonder S</t>
  </si>
  <si>
    <t>5SW85LCKC</t>
  </si>
  <si>
    <t>844817097873</t>
  </si>
  <si>
    <t>American Rag Lace-Trim Printed Slip Dress Falling Floral S</t>
  </si>
  <si>
    <t>5BW74EGC</t>
  </si>
  <si>
    <t>888825707959</t>
  </si>
  <si>
    <t>Material Girl Juniors Strapless Front-Pleat Yellow M</t>
  </si>
  <si>
    <t>70008LM204</t>
  </si>
  <si>
    <t>746194674824</t>
  </si>
  <si>
    <t>Marilyn Monroe Juniors Sleeveless Crocheted- Red S</t>
  </si>
  <si>
    <t>MYD617</t>
  </si>
  <si>
    <t>746194677719</t>
  </si>
  <si>
    <t>Marilyn Monroe Juniors Embellished Cutout-Wa White M</t>
  </si>
  <si>
    <t>MED616</t>
  </si>
  <si>
    <t>713701072428</t>
  </si>
  <si>
    <t>Material Girl Juniors Strappy-Back Lace Ill White Combo XS</t>
  </si>
  <si>
    <t>10271CL204</t>
  </si>
  <si>
    <t>888825757602</t>
  </si>
  <si>
    <t>Material Girl Juniors Cutout Lace Fit Fla Pale Blush L</t>
  </si>
  <si>
    <t>888825705801</t>
  </si>
  <si>
    <t>Material Girl Juniors Sleeveless Printed Bo Black Combo M</t>
  </si>
  <si>
    <t>10270BC204</t>
  </si>
  <si>
    <t>888825872848</t>
  </si>
  <si>
    <t>Material Girl Juniors Halter Plaid-Wrap Bod Charcoal Combo XXS</t>
  </si>
  <si>
    <t>10308MG</t>
  </si>
  <si>
    <t>888825693528</t>
  </si>
  <si>
    <t>Material Girl Juniors Lace-Up Denim Bodycon Dark Wash S</t>
  </si>
  <si>
    <t>661414502568</t>
  </si>
  <si>
    <t>Teeze Me Juniors Embroidered Two-Tone Off WhiteBeige 3</t>
  </si>
  <si>
    <t>889775065465</t>
  </si>
  <si>
    <t>American Rag Crochet-Trim Shift Dress with White S</t>
  </si>
  <si>
    <t>6BW12EG</t>
  </si>
  <si>
    <t>888825792733</t>
  </si>
  <si>
    <t>Material Girl Juniors Faux-Suede Lace-Up Sk Zinfandel Combo XL</t>
  </si>
  <si>
    <t>889623154570</t>
  </si>
  <si>
    <t>Volcom Juniors Back For U Sleeveless Grapefruit L</t>
  </si>
  <si>
    <t>B1321606</t>
  </si>
  <si>
    <t>889631032822</t>
  </si>
  <si>
    <t>Crystal Doll Juniors Illusion Bodycon Halt Black 9</t>
  </si>
  <si>
    <t>JXG8269I</t>
  </si>
  <si>
    <t>826410287448</t>
  </si>
  <si>
    <t>BCX Juniors Lace Bell-Sleeve A-Li Navy 11</t>
  </si>
  <si>
    <t>1154X65</t>
  </si>
  <si>
    <t>652874659688</t>
  </si>
  <si>
    <t>Speechless Juniors Laser-Cut Scuba Fit Red XS</t>
  </si>
  <si>
    <t>888825792825</t>
  </si>
  <si>
    <t>Material Girl Juniors Cutout Lace Sweethear Daffodil S</t>
  </si>
  <si>
    <t>889319496458</t>
  </si>
  <si>
    <t>Levis 501 Cutoff Black Wash Denim Patched Glow 28 US 6 R</t>
  </si>
  <si>
    <t>889237775130</t>
  </si>
  <si>
    <t>As U Wish Juniors 2-Pc. Glitter Crop To SilverBlack 11</t>
  </si>
  <si>
    <t>889775064505</t>
  </si>
  <si>
    <t>American Rag Plus Size Embroidered Handkerc Festival Fuschia 1X</t>
  </si>
  <si>
    <t>P6BQ10FFU</t>
  </si>
  <si>
    <t>889775060132</t>
  </si>
  <si>
    <t>American Rag Juniors Embroidered Dark Rins Dark Rinse 9</t>
  </si>
  <si>
    <t>829092195315</t>
  </si>
  <si>
    <t>XOXO Juniors Embellished Surplice Black M</t>
  </si>
  <si>
    <t>829092213200</t>
  </si>
  <si>
    <t>XOXO Juniors Button-Tab A-Line Ski Black 00</t>
  </si>
  <si>
    <t>6780TPR3</t>
  </si>
  <si>
    <t>889775043029</t>
  </si>
  <si>
    <t>American Rag Juniors Printed Shift Dress Sugar Stripe Print XS</t>
  </si>
  <si>
    <t>5FX02CCWB</t>
  </si>
  <si>
    <t>889387967492</t>
  </si>
  <si>
    <t>Trixxi Juniors Printed Halter Shift BlackRed S</t>
  </si>
  <si>
    <t>829092191225</t>
  </si>
  <si>
    <t>XOXO Juniors Button-Trim Wide-Leg Red 78</t>
  </si>
  <si>
    <t>888825200269</t>
  </si>
  <si>
    <t>Material Girl Juniors Textured Mesh Skater Opal S</t>
  </si>
  <si>
    <t>889775066851</t>
  </si>
  <si>
    <t>American Rag Embroidered Sleeveless Top Rio Red Combo XL</t>
  </si>
  <si>
    <t>883355917236</t>
  </si>
  <si>
    <t>American Rag Denim Shorts Heidi Wash 9</t>
  </si>
  <si>
    <t>3HD61HEI</t>
  </si>
  <si>
    <t>713701088641</t>
  </si>
  <si>
    <t>American Rag Juniors Multi-Print Handkerch Black XL</t>
  </si>
  <si>
    <t>W23904CCKC</t>
  </si>
  <si>
    <t>829092163772</t>
  </si>
  <si>
    <t>XOXO Juniors Embellished One-Shoul Lemon S</t>
  </si>
  <si>
    <t>3348GGS8</t>
  </si>
  <si>
    <t>822240246549</t>
  </si>
  <si>
    <t>BCX Juniors Wide-Leg Pants Sand 11</t>
  </si>
  <si>
    <t>829092263151</t>
  </si>
  <si>
    <t>XOXO Juniors Striped Bell-Sleeve C Multi XL</t>
  </si>
  <si>
    <t>829092263120</t>
  </si>
  <si>
    <t>XOXO Juniors Striped Bell-Sleeve C Multi M</t>
  </si>
  <si>
    <t>829092263168</t>
  </si>
  <si>
    <t>XOXO Juniors Striped Bell-Sleeve C Multi XS</t>
  </si>
  <si>
    <t>889319475095</t>
  </si>
  <si>
    <t>Levis Global Mid-Length Denim Shorts Frosted White 28 US 6 R</t>
  </si>
  <si>
    <t>712683992014</t>
  </si>
  <si>
    <t>Calvin Klein Jeans Short-Sleeve Logo-Graphic Top Skylight L</t>
  </si>
  <si>
    <t>888825705177</t>
  </si>
  <si>
    <t>Material Girl Juniors Sleeveless Burnout Ha White M</t>
  </si>
  <si>
    <t>888825722914</t>
  </si>
  <si>
    <t>Material Girl Juniors High-Rise Zip-Front S White XXS</t>
  </si>
  <si>
    <t>50104CD204</t>
  </si>
  <si>
    <t>885779658450</t>
  </si>
  <si>
    <t>Vanilla Star Juniors Belted Maury Wash Ski Marco 9</t>
  </si>
  <si>
    <t>V20859-2</t>
  </si>
  <si>
    <t>888825803224</t>
  </si>
  <si>
    <t>Tinseltown Juniors Denim Contrast Jacket Green XL</t>
  </si>
  <si>
    <t>888825803217</t>
  </si>
  <si>
    <t>Tinseltown Juniors Denim Contrast Jacket Green L</t>
  </si>
  <si>
    <t>888825803200</t>
  </si>
  <si>
    <t>Tinseltown Juniors Denim Contrast Jacket Green M</t>
  </si>
  <si>
    <t>888825803194</t>
  </si>
  <si>
    <t>Tinseltown Juniors Denim Contrast Jacket Green S</t>
  </si>
  <si>
    <t>822240627324</t>
  </si>
  <si>
    <t>BCX Juniors One-Button Cozy Cardi Navy XXS</t>
  </si>
  <si>
    <t>889456073536</t>
  </si>
  <si>
    <t>Rampage Juniors Braided East Wash Ski East Wash 9</t>
  </si>
  <si>
    <t>826409142659</t>
  </si>
  <si>
    <t>BCX Juniors Printed Necklace Romp Multi XXS</t>
  </si>
  <si>
    <t>0082C7F</t>
  </si>
  <si>
    <t>888650112393</t>
  </si>
  <si>
    <t>Ariya Juniors Curvy Skinny-Leg Jean Bolivia 9S</t>
  </si>
  <si>
    <t>614015974340</t>
  </si>
  <si>
    <t>Rewash Juniors Blue Wash Tulip-Flare Med Wash 7</t>
  </si>
  <si>
    <t>840523174297</t>
  </si>
  <si>
    <t>Indigo Blue Juniors Feltrin Ripped Medium Tanaka Wash 5</t>
  </si>
  <si>
    <t>AN5253C4MZ</t>
  </si>
  <si>
    <t>841907121340</t>
  </si>
  <si>
    <t>Indigo Rein Juniors Skinny Five-Pocket Co Rhubarb 3</t>
  </si>
  <si>
    <t>889775042541</t>
  </si>
  <si>
    <t>American Rag Printed Braided-Strap Top Multi Print S</t>
  </si>
  <si>
    <t>4MK90VCKK</t>
  </si>
  <si>
    <t>889775048857</t>
  </si>
  <si>
    <t>American Rag Printed Braided-Strap Top Ochre Combo S</t>
  </si>
  <si>
    <t>4MK90WOHC</t>
  </si>
  <si>
    <t>889775048888</t>
  </si>
  <si>
    <t>American Rag Printed Braided-Strap Top Ochre Combo XL</t>
  </si>
  <si>
    <t>710816291683</t>
  </si>
  <si>
    <t>BCX Juniors Pleated Illusion Scub Black L</t>
  </si>
  <si>
    <t>889775057125</t>
  </si>
  <si>
    <t>American Rag Juniors Lace-Trim Eyelet Blou Aqua XS</t>
  </si>
  <si>
    <t>6MK86CYA</t>
  </si>
  <si>
    <t>887840185834</t>
  </si>
  <si>
    <t>Emerald Sundae Juniors Knit Dress with Knot- NavyIvory S</t>
  </si>
  <si>
    <t>841907121203</t>
  </si>
  <si>
    <t>Indigo Rein Juniors Skinny Five-Pocket Co Fig 5</t>
  </si>
  <si>
    <t>614015973428</t>
  </si>
  <si>
    <t>Rewash Juniors High-Waist Black Rins Black Rinse 7</t>
  </si>
  <si>
    <t>887043645111</t>
  </si>
  <si>
    <t>Celebrity Pink Juniors Curvy Honeymood Ave W Stay Noir 1</t>
  </si>
  <si>
    <t>826409105814</t>
  </si>
  <si>
    <t>BCX Juniors Embroidered Pleated T Red XL</t>
  </si>
  <si>
    <t>1058H83</t>
  </si>
  <si>
    <t>887043642929</t>
  </si>
  <si>
    <t>Celebrity Pink Juniors Denim Overall Dress Blue Lagoon S</t>
  </si>
  <si>
    <t>CJ10057H21</t>
  </si>
  <si>
    <t>829826313572</t>
  </si>
  <si>
    <t>Planet Gold Juniors Naughty Nice Pullover Green L</t>
  </si>
  <si>
    <t>M2JP021</t>
  </si>
  <si>
    <t>637677168759</t>
  </si>
  <si>
    <t>Self Esteem Juniors Draped Open-Front Car Chili Pepper Combo L</t>
  </si>
  <si>
    <t>619720896802</t>
  </si>
  <si>
    <t>Be Bop Juniors Printed Tie-Neck Romp NavyMulti L</t>
  </si>
  <si>
    <t>704624497245</t>
  </si>
  <si>
    <t>Jessica Simpson Juniors Kiss Me Denim Leggings OD Black 28</t>
  </si>
  <si>
    <t>619720896437</t>
  </si>
  <si>
    <t>Be Bop Juniors Faux-Wrap Romper PurpleFuschia M</t>
  </si>
  <si>
    <t>JFSET004834</t>
  </si>
  <si>
    <t>889602097751</t>
  </si>
  <si>
    <t>Jessica Simpson Juniors Mesh-Back Sports Bra Midnight Floral XS</t>
  </si>
  <si>
    <t>190121131971</t>
  </si>
  <si>
    <t>Lisa Frank Juniors Rainbow Tiger Graphic Heather Grey M</t>
  </si>
  <si>
    <t>889901118102</t>
  </si>
  <si>
    <t>Hooked Up by IOT Juniors Fringed Mixed-Pattern True OliveBlackLight Linen C XS</t>
  </si>
  <si>
    <t>695532440518</t>
  </si>
  <si>
    <t>Ultra Flirt Juniors Space-Dyed Mitered-He TawnyBerry S</t>
  </si>
  <si>
    <t>695532440150</t>
  </si>
  <si>
    <t>Ultra Flirt Juniors Striped Mitered-Hem T WineBlue XS</t>
  </si>
  <si>
    <t>889901118119</t>
  </si>
  <si>
    <t>Hooked Up by IOT Juniors Fringed Mixed-Pattern True OliveBlackLight Linen C S</t>
  </si>
  <si>
    <t>695532440501</t>
  </si>
  <si>
    <t>Ultra Flirt Juniors Space-Dyed Mitered-He TawnyBerry XS</t>
  </si>
  <si>
    <t>614015975330</t>
  </si>
  <si>
    <t>Rewash Juniors Elastic-Waist Ponte-K Burgundy L</t>
  </si>
  <si>
    <t>614015975415</t>
  </si>
  <si>
    <t>Rewash Juniors Elastic-Waist Ponte-K Olive L</t>
  </si>
  <si>
    <t>889602104794</t>
  </si>
  <si>
    <t>Jessica Simpson Chevron-Printed Mesh Sports Br Black XS</t>
  </si>
  <si>
    <t>889237590603</t>
  </si>
  <si>
    <t>As U Wish Juniors Printed Asymmetrical NavyCoral XS</t>
  </si>
  <si>
    <t>I163792L6</t>
  </si>
  <si>
    <t>190040324669</t>
  </si>
  <si>
    <t>Almost Famous Juniors Antler Penguin Pullov Dark Heath XL</t>
  </si>
  <si>
    <t>RV2720MC</t>
  </si>
  <si>
    <t>887409056889</t>
  </si>
  <si>
    <t>Polly Esther Juniors Patched Plaid Shirt Navy XS</t>
  </si>
  <si>
    <t>826409276392</t>
  </si>
  <si>
    <t>BCX Juniors Sleeveless Necklace B Yellow S</t>
  </si>
  <si>
    <t>1060N1N</t>
  </si>
  <si>
    <t>826409195334</t>
  </si>
  <si>
    <t>BCX Juniors Sleeveless Layered Ne Orange XXS</t>
  </si>
  <si>
    <t>637677136697</t>
  </si>
  <si>
    <t>Belle Du Jour Juniors Snowman Pullover Swea Black L</t>
  </si>
  <si>
    <t>889602094217</t>
  </si>
  <si>
    <t>Freshman Juniors Marled Mixed-Knit Swe Berry Wine XL</t>
  </si>
  <si>
    <t>190040325871</t>
  </si>
  <si>
    <t>Almost Famous Juniors Graphic Cropped Pullo Mist Green XS</t>
  </si>
  <si>
    <t>619720908499</t>
  </si>
  <si>
    <t>Be Bop Juniors Military Shirt Olive XL</t>
  </si>
  <si>
    <t>887043641212</t>
  </si>
  <si>
    <t>Celebrity Pink Juniors Corduroy Pencil Skirt Burnt Red XS</t>
  </si>
  <si>
    <t>887043641007</t>
  </si>
  <si>
    <t>Celebrity Pink Juniors Button-Front Mini A-L Iron Gate L</t>
  </si>
  <si>
    <t>841060119413</t>
  </si>
  <si>
    <t>Hippie Rose Juniors Open-Front Side-Slit Coyote Blue XS</t>
  </si>
  <si>
    <t>619720908086</t>
  </si>
  <si>
    <t>Be Bop Juniors Military Shirt Black S</t>
  </si>
  <si>
    <t>GJ3115ADL</t>
  </si>
  <si>
    <t>887648644915</t>
  </si>
  <si>
    <t>Trolls by DreamWorks Juniors Trolls Chenille Appli Grey Heather XS</t>
  </si>
  <si>
    <t>705143651231</t>
  </si>
  <si>
    <t>Energie Juniors Metallic Cowl-Neck Sw Barbados Red S</t>
  </si>
  <si>
    <t>706255626940</t>
  </si>
  <si>
    <t>Material Girl Juniors Two-In-One Graphic Ta Black XL</t>
  </si>
  <si>
    <t>M6534NR212</t>
  </si>
  <si>
    <t>706256026978</t>
  </si>
  <si>
    <t>Material Girl Juniors Cropped Graphic Leggi Classic Black L</t>
  </si>
  <si>
    <t>M6826BK212</t>
  </si>
  <si>
    <t>706256026954</t>
  </si>
  <si>
    <t>Material Girl Juniors Cropped Graphic Leggi Classic Black S</t>
  </si>
  <si>
    <t>706256027005</t>
  </si>
  <si>
    <t>Material Girl Juniors Cropped Graphic Leggi Classic Black XXS</t>
  </si>
  <si>
    <t>706256026930</t>
  </si>
  <si>
    <t>Material Girl Juniors Cropped Graphic Leggi Classic Black XS</t>
  </si>
  <si>
    <t>706255607826</t>
  </si>
  <si>
    <t>DRAFT - juniors dump page Heather Gray XS</t>
  </si>
  <si>
    <t>706255830026</t>
  </si>
  <si>
    <t>Material Girl Juniors Cropped Leggings Brushed Leo XS</t>
  </si>
  <si>
    <t>706255830224</t>
  </si>
  <si>
    <t>Material Girl Juniors Lace-Band Cropped Leg Classic Black XXS</t>
  </si>
  <si>
    <t>M6720BK212</t>
  </si>
  <si>
    <t>706255830200</t>
  </si>
  <si>
    <t>Material Girl Juniors Cropped Leggings Striped Skin XXS</t>
  </si>
  <si>
    <t>M6719BK212</t>
  </si>
  <si>
    <t>706255830187</t>
  </si>
  <si>
    <t>Material Girl Juniors Cropped Leggings Brushed Leo XXS</t>
  </si>
  <si>
    <t>705143697871</t>
  </si>
  <si>
    <t>Energie Juniors Paulette Pull-On Crop Charcoal Heather GreyPunchy P XS</t>
  </si>
  <si>
    <t>660032551972</t>
  </si>
  <si>
    <t>One Clothing Juniors Sequin Ruffle-Hem Tan Black M</t>
  </si>
  <si>
    <t>705143697673</t>
  </si>
  <si>
    <t>Energie Juniors Alexia Strappy Printe Star GazingPunchy Purple S</t>
  </si>
  <si>
    <t>841060121515</t>
  </si>
  <si>
    <t>Pink Rose Juniors Raglan-Sleeve Fine-Ga BlackHeather Oatmeal XS</t>
  </si>
  <si>
    <t>841060121706</t>
  </si>
  <si>
    <t>Pink Rose Juniors Raglan-Sleeve Fine-Ga Twilight BlueIvory XL</t>
  </si>
  <si>
    <t>619720897564</t>
  </si>
  <si>
    <t>Be Bop Juniors Printed Cutout-Back B Taupe XL</t>
  </si>
  <si>
    <t>GJ3239HO</t>
  </si>
  <si>
    <t>190040297444</t>
  </si>
  <si>
    <t>Almost Famous Juniors Mock-Neck Lace Top wi Olive S</t>
  </si>
  <si>
    <t>887648643550</t>
  </si>
  <si>
    <t>Trolls by DreamWorks Juniors Trolls Graphic Jogger True Black L</t>
  </si>
  <si>
    <t>190040297246</t>
  </si>
  <si>
    <t>Almost Famous Juniors Mock-Neck Lace Top wi Black XS</t>
  </si>
  <si>
    <t>637677194574</t>
  </si>
  <si>
    <t>Belle Du Jour Juniors Lace-Yoke Pocket Top Red Plum S</t>
  </si>
  <si>
    <t>887648643567</t>
  </si>
  <si>
    <t>Trolls by DreamWorks Juniors Trolls Graphic Jogger True Black XL</t>
  </si>
  <si>
    <t>637677144678</t>
  </si>
  <si>
    <t>Belle Du Jour Juniors Lace-Up High-Low Tuni Teal S</t>
  </si>
  <si>
    <t>695532453686</t>
  </si>
  <si>
    <t>Ultra Flirt Juniors Belted Lace-Back Tuni Light Pink L</t>
  </si>
  <si>
    <t>695532453693</t>
  </si>
  <si>
    <t>Ultra Flirt Juniors Belted Lace-Back Tuni Light Pink XL</t>
  </si>
  <si>
    <t>645545881754</t>
  </si>
  <si>
    <t>Material Girl Juniors Mesh Racerback Sheath Black L</t>
  </si>
  <si>
    <t>M6624NR212</t>
  </si>
  <si>
    <t>645545881747</t>
  </si>
  <si>
    <t>Material Girl Juniors Mesh Racerback Sheath Black M</t>
  </si>
  <si>
    <t>843561079432</t>
  </si>
  <si>
    <t>Miss Chievous Juniors Jogger Pants Drab OliveBlack M</t>
  </si>
  <si>
    <t>843561079425</t>
  </si>
  <si>
    <t>Miss Chievous Juniors Jogger Pants Drab OliveBlack S</t>
  </si>
  <si>
    <t>190040164197</t>
  </si>
  <si>
    <t>Almost Famous Juniors Sleeveless Tie-Neck B Blushblack Dot S</t>
  </si>
  <si>
    <t>TT9011-1906-MC</t>
  </si>
  <si>
    <t>843561067101</t>
  </si>
  <si>
    <t>Miss Chievous Juniors Printed Crochet-Trim WhiteCamelia Rose XS</t>
  </si>
  <si>
    <t>JC1800W322</t>
  </si>
  <si>
    <t>843561067132</t>
  </si>
  <si>
    <t>Miss Chievous Juniors Printed Crochet-Trim WhiteCamelia Rose L</t>
  </si>
  <si>
    <t>843561068054</t>
  </si>
  <si>
    <t>Miss Chievous Juniors Printed Crochet-Trim Black L</t>
  </si>
  <si>
    <t>JC1800W317</t>
  </si>
  <si>
    <t>887409046637</t>
  </si>
  <si>
    <t>Polly Esther Juniors Plaid Button-Down Tun Rednavy XS</t>
  </si>
  <si>
    <t>PW12057MC</t>
  </si>
  <si>
    <t>695532431806</t>
  </si>
  <si>
    <t>Ultra Flirt Juniors Lace-Up Rib-Knit T-Sh Pink XS</t>
  </si>
  <si>
    <t>5Q40MC</t>
  </si>
  <si>
    <t>695532477439</t>
  </si>
  <si>
    <t>Ultra Flirt Juniors Turtleneck Cutout Hig Natural XL</t>
  </si>
  <si>
    <t>889602095368</t>
  </si>
  <si>
    <t>Freshman Juniors Side-Slit Mock-Neck T Burgundy Merlot L</t>
  </si>
  <si>
    <t>841060121027</t>
  </si>
  <si>
    <t>Hippie Rose Juniors Off-The-Shoulder Knit Blackwhitered Stripe S</t>
  </si>
  <si>
    <t>841060121010</t>
  </si>
  <si>
    <t>Hippie Rose Juniors Off-The-Shoulder Knit Blackwhitered Stripe XS</t>
  </si>
  <si>
    <t>190040251521</t>
  </si>
  <si>
    <t>Almost Famous Juniors Printed High-Low Tank Wine M</t>
  </si>
  <si>
    <t>841060121034</t>
  </si>
  <si>
    <t>Hippie Rose Juniors Off-The-Shoulder Knit Blackwhitered Stripe M</t>
  </si>
  <si>
    <t>887411987201</t>
  </si>
  <si>
    <t>Almost Famous Juniors Lace-Trim Henley Tuni Bordeaux S</t>
  </si>
  <si>
    <t>190040228455</t>
  </si>
  <si>
    <t>Almost Famous Juniors Striped Mock-Neck Tan Black XL</t>
  </si>
  <si>
    <t>190040228554</t>
  </si>
  <si>
    <t>Almost Famous Juniors Striped Mock-Neck Tan Light Olive XL</t>
  </si>
  <si>
    <t>190040228608</t>
  </si>
  <si>
    <t>Almost Famous Juniors Striped Mock-Neck Tan Burnt Orange XL</t>
  </si>
  <si>
    <t>190040280880</t>
  </si>
  <si>
    <t>Almost Famous Juniors High-Low Plaid-Back T Natural S</t>
  </si>
  <si>
    <t>705143693187</t>
  </si>
  <si>
    <t>Energie Juniors Sunny Printed Compres Capri Breeze M</t>
  </si>
  <si>
    <t>190040280903</t>
  </si>
  <si>
    <t>Almost Famous Juniors High-Low Plaid-Back T Natural L</t>
  </si>
  <si>
    <t>190040280835</t>
  </si>
  <si>
    <t>Almost Famous Juniors High-Low Plaid-Back T Olive S</t>
  </si>
  <si>
    <t>ZT1006-5582-2172-MC</t>
  </si>
  <si>
    <t>190040280859</t>
  </si>
  <si>
    <t>Almost Famous Juniors High-Low Plaid-Back T Olive L</t>
  </si>
  <si>
    <t>190040280798</t>
  </si>
  <si>
    <t>Almost Famous Juniors High-Low Plaid-Back T Black M</t>
  </si>
  <si>
    <t>695532442963</t>
  </si>
  <si>
    <t>Ultra Flirt Juniors Off-the-Shoulder Lace Black L</t>
  </si>
  <si>
    <t>841060117952</t>
  </si>
  <si>
    <t>Hippie Rose Juniors Sleeveless Lace-Up To Black XL</t>
  </si>
  <si>
    <t>841060118201</t>
  </si>
  <si>
    <t>Hippie Rose Juniors Sleeveless Lace-Up To Mustard Seed XL</t>
  </si>
  <si>
    <t>841060118300</t>
  </si>
  <si>
    <t>Hippie Rose Juniors Sleeveless Lace-Up To Hempseed XL</t>
  </si>
  <si>
    <t>695532432261</t>
  </si>
  <si>
    <t>Ultra Flirt Juniors Tank Top with Printed CoralChevron S</t>
  </si>
  <si>
    <t>190040280569</t>
  </si>
  <si>
    <t>Almost Famous Juniors Printed High-Low Neck Berry Combo XL</t>
  </si>
  <si>
    <t>ZV3530-8765-MC</t>
  </si>
  <si>
    <t>695532432353</t>
  </si>
  <si>
    <t>Ultra Flirt Juniors Tank Top with Printed MintRock Tile XS</t>
  </si>
  <si>
    <t>645545892446</t>
  </si>
  <si>
    <t>Material Girl Juniors Graphic Tank Top Flashmode M</t>
  </si>
  <si>
    <t>716068571214</t>
  </si>
  <si>
    <t>NTD Juniors Graphic Raglan T-Shir WhiteBlack M</t>
  </si>
  <si>
    <t>716068571238</t>
  </si>
  <si>
    <t>NTD Juniors Graphic Raglan T-Shir WhiteBlack XL</t>
  </si>
  <si>
    <t>706255811933</t>
  </si>
  <si>
    <t>Material Girl Juniors Printed Shorts Noir Space Dye L</t>
  </si>
  <si>
    <t>706255626780</t>
  </si>
  <si>
    <t>Material Girl Juniors Printed Active Shorts Snakeskin XS</t>
  </si>
  <si>
    <t>M6521SS212</t>
  </si>
  <si>
    <t>190121121965</t>
  </si>
  <si>
    <t>Mighty Fine Juniors Furby Graphic Basebal Black S</t>
  </si>
  <si>
    <t>F2618IAV1-MACY</t>
  </si>
  <si>
    <t>190121121811</t>
  </si>
  <si>
    <t>Mighty Fine Juniors Relationship Goals Gr Linen S</t>
  </si>
  <si>
    <t>190121121804</t>
  </si>
  <si>
    <t>Mighty Fine Juniors Relationship Goals Gr Linen XS</t>
  </si>
  <si>
    <t>674153662820</t>
  </si>
  <si>
    <t>Say What Juniors Sleeveless Mock-Turtl Black S</t>
  </si>
  <si>
    <t>59-BP000</t>
  </si>
  <si>
    <t>706255626704</t>
  </si>
  <si>
    <t>Material Girl Juniors Contrast-Trim Active Black XL</t>
  </si>
  <si>
    <t>M6520NR212</t>
  </si>
  <si>
    <t>645545893498</t>
  </si>
  <si>
    <t>Material Girl Juniors Mesh Racerback Tank T Bright White L</t>
  </si>
  <si>
    <t>706254986175</t>
  </si>
  <si>
    <t>Material Girl Juniors Active Shorts Black XS</t>
  </si>
  <si>
    <t>706255688184</t>
  </si>
  <si>
    <t>Material Girl Juniors Printed Pull-On Short Ombre Tribal XXS</t>
  </si>
  <si>
    <t>706255688139</t>
  </si>
  <si>
    <t>Material Girl Juniors Printed Pull-On Short Ombre Tribal XS</t>
  </si>
  <si>
    <t>706255607680</t>
  </si>
  <si>
    <t>Material Girl Juniors Printed Pull-On Short Chevron XL</t>
  </si>
  <si>
    <t>637677168421</t>
  </si>
  <si>
    <t>Belle Du Jour Juniors Graphic Raglan T-Shir Teal RiverHeather Grey L</t>
  </si>
  <si>
    <t>0QVNNRXY</t>
  </si>
  <si>
    <t>637677168407</t>
  </si>
  <si>
    <t>Belle Du Jour Juniors Graphic Raglan T-Shir Teal RiverHeather Grey S</t>
  </si>
  <si>
    <t>695532446190</t>
  </si>
  <si>
    <t>Ultra Flirt Juniors Rib-Knit Lace-Up T-Sh Bordeux M</t>
  </si>
  <si>
    <t>190344363050</t>
  </si>
  <si>
    <t>Trolls by DreamWorks Juniors Trolls Graphic Raglan WhiteBlue L</t>
  </si>
  <si>
    <t>190344460094</t>
  </si>
  <si>
    <t>Hybrid Juniors Graphic Ringer T-Shir Heather GreyBlack XS</t>
  </si>
  <si>
    <t>JS3126JRSP850</t>
  </si>
  <si>
    <t>190344240511</t>
  </si>
  <si>
    <t>Hybrid Juniors High-Low Graphic T-Sh Heather Grey S</t>
  </si>
  <si>
    <t>JS3641USX813</t>
  </si>
  <si>
    <t>695532471888</t>
  </si>
  <si>
    <t>Ultra Flirt Juniors Striped Split-Neck T- OliveBlack L</t>
  </si>
  <si>
    <t>637677158576</t>
  </si>
  <si>
    <t>Belle Du Jour Juniors Smocked Flutter-Sleev Black CloverBasil L</t>
  </si>
  <si>
    <t>645545908437</t>
  </si>
  <si>
    <t>Pretty Rebellious Juniors Varsity Nap Team Grap Heather Oatmeal Olive L</t>
  </si>
  <si>
    <t>IA2593JX6446</t>
  </si>
  <si>
    <t>645545908420</t>
  </si>
  <si>
    <t>Pretty Rebellious Juniors Varsity Nap Team Grap Heather Oatmeal Olive M</t>
  </si>
  <si>
    <t>637677158651</t>
  </si>
  <si>
    <t>Belle Du Jour Juniors Smocked Flutter-Sleev Black Egret Chrysanthemum S</t>
  </si>
  <si>
    <t>637677151218</t>
  </si>
  <si>
    <t>Belle Du Jour Juniors Love Foil Graphic Rin Olive S</t>
  </si>
  <si>
    <t>0VUHNRSG</t>
  </si>
  <si>
    <t>693401668063</t>
  </si>
  <si>
    <t>2-Kuhl Juniors Cuffed-Sleeve Sunset Grey Mix XS</t>
  </si>
  <si>
    <t>190371228018</t>
  </si>
  <si>
    <t>Bioworld Juniors Graphic Tank Top White XS</t>
  </si>
  <si>
    <t>695532419071</t>
  </si>
  <si>
    <t>Ultra Flirt Juniors Short-Sleeve Layering Blackwhite Stripe XS</t>
  </si>
  <si>
    <t>190371228025</t>
  </si>
  <si>
    <t>Bioworld Juniors Graphic Tank Top White S</t>
  </si>
  <si>
    <t>655998351544</t>
  </si>
  <si>
    <t>Material Girl Printed Lace Bandeau Bra Black M</t>
  </si>
  <si>
    <t>M5411BK212</t>
  </si>
  <si>
    <t>706254775823</t>
  </si>
  <si>
    <t>Material Girl Juniors Shadow-Stripe Tank To Flashmode L</t>
  </si>
  <si>
    <t>645545883123</t>
  </si>
  <si>
    <t>Material Girl Juniors Low-Impact Racerback Black XL</t>
  </si>
  <si>
    <t>645545883109</t>
  </si>
  <si>
    <t>Material Girl Juniors Low-Impact Racerback Black M</t>
  </si>
  <si>
    <t>695532419125</t>
  </si>
  <si>
    <t>Ultra Flirt Juniors Short-Sleeve Layering Black XS</t>
  </si>
  <si>
    <t>887648643598</t>
  </si>
  <si>
    <t>Trolls by DreamWorks Juniors Trolls Printed Ringer WhiteRed S</t>
  </si>
  <si>
    <t>887648643604</t>
  </si>
  <si>
    <t>Trolls by DreamWorks Juniors Trolls Printed Ringer WhiteRed M</t>
  </si>
  <si>
    <t>821942334820</t>
  </si>
  <si>
    <t>Planet Gold Juniors Sleeveless Racerback Red Icing M</t>
  </si>
  <si>
    <t>705143692012</t>
  </si>
  <si>
    <t>Energie Juniors Rose Reversible Cami Blue Radiance L</t>
  </si>
  <si>
    <t>705143701714</t>
  </si>
  <si>
    <t>Energie Juniors Rose Reversible Cami Royal Purple M</t>
  </si>
  <si>
    <t>637865189818</t>
  </si>
  <si>
    <t>Calvin Klein Jeans Belted Denim Shirtdress Light Fade M</t>
  </si>
  <si>
    <t>637865182581</t>
  </si>
  <si>
    <t>Calvin Klein Jeans Textured Metallic-Threaded Swe Silver Gray L</t>
  </si>
  <si>
    <t>889237483295</t>
  </si>
  <si>
    <t>BLK SLVLESS DRESS</t>
  </si>
  <si>
    <t>889351231000</t>
  </si>
  <si>
    <t>889351191793</t>
  </si>
  <si>
    <t>WINDY FLY AWAY TOP</t>
  </si>
  <si>
    <t>841413126419</t>
  </si>
  <si>
    <t>OhMG Juniors Panda Patch Pullover Medium Grey L</t>
  </si>
  <si>
    <t>841413126396</t>
  </si>
  <si>
    <t>OhMG Juniors Panda Patch Pullover Medium Grey S</t>
  </si>
  <si>
    <t>826409534225</t>
  </si>
  <si>
    <t>GLD SCRF TNK</t>
  </si>
  <si>
    <t>1027V1A</t>
  </si>
  <si>
    <t>826409534119</t>
  </si>
  <si>
    <t>826409534096</t>
  </si>
  <si>
    <t>660032592869</t>
  </si>
  <si>
    <t>One Clothing Juniors Off-the-Shoulder Romp Chambray XL</t>
  </si>
  <si>
    <t>660032593156</t>
  </si>
  <si>
    <t>One Clothing Juniors Lace-Trim Romper Eggplant L</t>
  </si>
  <si>
    <t>841060125827</t>
  </si>
  <si>
    <t>Hippie Rose Juniors Lace-Trim Asymmetrica Black S</t>
  </si>
  <si>
    <t>841060125841</t>
  </si>
  <si>
    <t>Hippie Rose Juniors Lace-Trim Asymmetrica Black L</t>
  </si>
  <si>
    <t>841060125858</t>
  </si>
  <si>
    <t>Hippie Rose Juniors Lace-Trim Asymmetrica Black XL</t>
  </si>
  <si>
    <t>841060125810</t>
  </si>
  <si>
    <t>Hippie Rose Juniors Lace-Trim Asymmetrica Black XS</t>
  </si>
  <si>
    <t>826409513602</t>
  </si>
  <si>
    <t>841060123861</t>
  </si>
  <si>
    <t>Hippie Rose Juniors Striped Joggers Olive Bran XS</t>
  </si>
  <si>
    <t>841060123687</t>
  </si>
  <si>
    <t>Hippie Rose Juniors Cable-Front High-Low Mountain Blue M</t>
  </si>
  <si>
    <t>887409061425</t>
  </si>
  <si>
    <t>BLK/ LS RAYON HERRINGBONE</t>
  </si>
  <si>
    <t>887409061418</t>
  </si>
  <si>
    <t>887409061012</t>
  </si>
  <si>
    <t>OLV/ BUTTON FRONT CROPPED</t>
  </si>
  <si>
    <t>887409058708</t>
  </si>
  <si>
    <t>706254963992</t>
  </si>
  <si>
    <t>791093319710</t>
  </si>
  <si>
    <t>In Awe of You by AwesomenessTV Juniors Ruffled-Cuff Blazer Black M</t>
  </si>
  <si>
    <t>D8TWF288H</t>
  </si>
  <si>
    <t>ARJSW03196</t>
  </si>
  <si>
    <t>791093319055</t>
  </si>
  <si>
    <t>In Awe of You by AwesomenessTV Juniors Printed Ruffled Shift Multi XS</t>
  </si>
  <si>
    <t>888825223060</t>
  </si>
  <si>
    <t>Material Girl Juniors Crochet-Knit Dress Limelight M</t>
  </si>
  <si>
    <t>888825706655</t>
  </si>
  <si>
    <t>Material Girl Juniors Printed High-Waisted Black Combo XXS</t>
  </si>
  <si>
    <t>887043639929</t>
  </si>
  <si>
    <t>Celebrity Pink Juniors Vintage Dark Wash Ski Never Easy 5</t>
  </si>
  <si>
    <t>CJ21043H24</t>
  </si>
  <si>
    <t>887409059538</t>
  </si>
  <si>
    <t>Polly Esther Juniors Unicorn Patch Pullove Grey XS</t>
  </si>
  <si>
    <t>619720907355</t>
  </si>
  <si>
    <t>Be Bop Juniors High-Waist Bootcut Tr Navy 15</t>
  </si>
  <si>
    <t>FAN7178BD2</t>
  </si>
  <si>
    <t>887043418760</t>
  </si>
  <si>
    <t>Celebrity Pink Juniors Colored Skinny Jeans White Smoke 3</t>
  </si>
  <si>
    <t>889602104824</t>
  </si>
  <si>
    <t>Jessica Simpson Chevron-Printed Mesh Sports Br Black L</t>
  </si>
  <si>
    <t>190040325901</t>
  </si>
  <si>
    <t>Almost Famous Juniors Graphic Cropped Pullo Mist Green L</t>
  </si>
  <si>
    <t>705143651224</t>
  </si>
  <si>
    <t>Energie Juniors Metallic Cowl-Neck Sw Barbados Red M</t>
  </si>
  <si>
    <t>655998036540</t>
  </si>
  <si>
    <t>Material Girl Juniors Racerback Sports Bra Black S</t>
  </si>
  <si>
    <t>645545938694</t>
  </si>
  <si>
    <t>Rebellious One Juniors Squad Sequin Reverse Black XS</t>
  </si>
  <si>
    <t>645545938724</t>
  </si>
  <si>
    <t>Rebellious One Juniors Squad Sequin Reverse Black L</t>
  </si>
  <si>
    <t>637677197308</t>
  </si>
  <si>
    <t>Belle Du Jour Juniors Lace-Trim Pocket Top Heather Grey S</t>
  </si>
  <si>
    <t>821942396095</t>
  </si>
  <si>
    <t>Planet Gold Juniors Scoop-Neck Fit Flar Black L</t>
  </si>
  <si>
    <t>889901086661</t>
  </si>
  <si>
    <t>Hooked Up by IOT Juniors Sleeveless Mock-Turtl Vino S</t>
  </si>
  <si>
    <t>190040251262</t>
  </si>
  <si>
    <t>Almost Famous Juniors Printed High-Low Tank AquaberryNavy S</t>
  </si>
  <si>
    <t>705143706351</t>
  </si>
  <si>
    <t>Energie Juniors Robbie Reversible Rac Galaxy PrintBlack XS</t>
  </si>
  <si>
    <t>645545892392</t>
  </si>
  <si>
    <t>Material Girl Juniors Graphic Tank Top Island Cobalt XXL</t>
  </si>
  <si>
    <t>645545892385</t>
  </si>
  <si>
    <t>Material Girl Juniors Graphic Tank Top Island Cobalt XL</t>
  </si>
  <si>
    <t>3C772MC</t>
  </si>
  <si>
    <t>645545893405</t>
  </si>
  <si>
    <t>Material Girl Juniors Mesh Racerback Tank T Black M</t>
  </si>
  <si>
    <t>190344362954</t>
  </si>
  <si>
    <t>Trolls by DreamWorks Juniors Trolls Graphic-Patch Dark Heather Grey L</t>
  </si>
  <si>
    <t>190344363043</t>
  </si>
  <si>
    <t>Trolls by DreamWorks Juniors Trolls Graphic Raglan WhiteBlue M</t>
  </si>
  <si>
    <t>190371275739</t>
  </si>
  <si>
    <t>Bioworld Juniors Graphic T-Shirt White S</t>
  </si>
  <si>
    <t>190371228032</t>
  </si>
  <si>
    <t>Bioworld Juniors Graphic Tank Top White M</t>
  </si>
  <si>
    <t>887648310209</t>
  </si>
  <si>
    <t>Freeze 24-7 Juniors Spain Graphic T-Shirt Redwhite XS</t>
  </si>
  <si>
    <t>829864220122</t>
  </si>
  <si>
    <t>Planet Gold Juniors Printed Holiday Leggi Black Present Combo S</t>
  </si>
  <si>
    <t>829864220115</t>
  </si>
  <si>
    <t>Planet Gold Juniors Printed Holiday Leggi Black Present Combo M</t>
  </si>
  <si>
    <t>ONE SHLDER SDE ILLUSION</t>
  </si>
  <si>
    <t>7488KM3CT3</t>
  </si>
  <si>
    <t>LUXE 19" BOOTCUT W/COIN P</t>
  </si>
  <si>
    <t>3/4 SLV WRAP TOP</t>
  </si>
  <si>
    <t>ZV2370-3707-CF</t>
  </si>
  <si>
    <t>708008262009</t>
  </si>
  <si>
    <t>City Studios Juniors Illusion Embellished Silver 5</t>
  </si>
  <si>
    <t>791093319499</t>
  </si>
  <si>
    <t>In Awe of You by AwesomenessTV Juniors Tiered Lace Dress Ruby XS</t>
  </si>
  <si>
    <t>791093318270</t>
  </si>
  <si>
    <t>In Awe of You by AwesomenessTV Juniors Metallic Foil Moto Ja Silver S</t>
  </si>
  <si>
    <t>886542616356</t>
  </si>
  <si>
    <t>B Darlin Juniors Strapless Floral-Prin Multi Color 0</t>
  </si>
  <si>
    <t>886602237422</t>
  </si>
  <si>
    <t>Levis 711 Skinny Jeans Grey Shore 28 US 6 R</t>
  </si>
  <si>
    <t>190427393110</t>
  </si>
  <si>
    <t>G.H. Bass Co. Plaid-Front Roll-Cuff Shirt Plum Gem Combo XL</t>
  </si>
  <si>
    <t>GS694078</t>
  </si>
  <si>
    <t>822980863815</t>
  </si>
  <si>
    <t>Jessica Simpson Cerena Printed Peasant Blouse Black XXS</t>
  </si>
  <si>
    <t>822980577071</t>
  </si>
  <si>
    <t>Jessica Simpson Narnia Printed Surplice Romper Brown L</t>
  </si>
  <si>
    <t>746194677573</t>
  </si>
  <si>
    <t>Marilyn Monroe Juniors Grommet-Embellished J Black S</t>
  </si>
  <si>
    <t>889775039251</t>
  </si>
  <si>
    <t>American Rag Chambray Button-Front Fit Fl Denim L</t>
  </si>
  <si>
    <t>661414496515</t>
  </si>
  <si>
    <t>Teeze Me Juniors Floral-Print Halter F Turquoise 3</t>
  </si>
  <si>
    <t>829092250212</t>
  </si>
  <si>
    <t>XOXO Juniors Asymmetrical Embellis Hunter XL</t>
  </si>
  <si>
    <t>822982511646</t>
  </si>
  <si>
    <t>Jessica Simpson Lace-Up Off-The-Shoulder Sweat Biking Red XL</t>
  </si>
  <si>
    <t>889775066561</t>
  </si>
  <si>
    <t>American Rag Snap-Front Chambray Dress Odeda Wash XL</t>
  </si>
  <si>
    <t>888825872862</t>
  </si>
  <si>
    <t>Material Girl Juniors Halter Plaid-Wrap Bod Charcoal Combo S</t>
  </si>
  <si>
    <t>813280023306</t>
  </si>
  <si>
    <t>Velvet Heart Kaelyn Scoop-Neck Sleeveless T 164 Tie Dye M</t>
  </si>
  <si>
    <t>WTT-20770</t>
  </si>
  <si>
    <t>813280023283</t>
  </si>
  <si>
    <t>Velvet Heart Kaelyn Scoop-Neck Sleeveless T 164 Tie Dye XS</t>
  </si>
  <si>
    <t>652874117423</t>
  </si>
  <si>
    <t>Speechless Juniors Embellished Shift Dre BlackSilver S</t>
  </si>
  <si>
    <t>JA86591W64</t>
  </si>
  <si>
    <t>829092179926</t>
  </si>
  <si>
    <t>XOXO Juniors Bootcut Pants Silver 12</t>
  </si>
  <si>
    <t>889775079394</t>
  </si>
  <si>
    <t>American Rag Juniors Cold-Shoulder Turtlen Black L</t>
  </si>
  <si>
    <t>6TSR06CKC</t>
  </si>
  <si>
    <t>889319498162</t>
  </si>
  <si>
    <t>Levis 501 Cutoff Black Wash Denim White Tumble 32 US 14 R</t>
  </si>
  <si>
    <t>889775060149</t>
  </si>
  <si>
    <t>American Rag Juniors Embroidered Dark Rins Dark Rinse 11</t>
  </si>
  <si>
    <t>887840191606</t>
  </si>
  <si>
    <t>Emerald Sundae Juniors Printed Split-Sleeve Eggplant Multi XS</t>
  </si>
  <si>
    <t>601350895027</t>
  </si>
  <si>
    <t>Speechless Juniors Lace-Trim Swing Tank Navy M</t>
  </si>
  <si>
    <t>888825223039</t>
  </si>
  <si>
    <t>Material Girl Juniors Crochet-Knit Dress Limelight XXS</t>
  </si>
  <si>
    <t>888825223053</t>
  </si>
  <si>
    <t>Material Girl Juniors Crochet-Knit Dress Limelight S</t>
  </si>
  <si>
    <t>708008354841</t>
  </si>
  <si>
    <t>City Studios Juniors Pleated Lace Shift Dr Black M</t>
  </si>
  <si>
    <t>KDJ7418BT1</t>
  </si>
  <si>
    <t>889237609916</t>
  </si>
  <si>
    <t>As U Wish Juniors Embellished Halter Sh Black XL</t>
  </si>
  <si>
    <t>I342295A7</t>
  </si>
  <si>
    <t>889775062426</t>
  </si>
  <si>
    <t>American Rag Juniors Crocheted Drawstring Sodalite Blue M</t>
  </si>
  <si>
    <t>5MN49SOB</t>
  </si>
  <si>
    <t>791093318720</t>
  </si>
  <si>
    <t>In Awe of You by AwesomenessTV Juniors Sleeveless A-Line Dre Black M</t>
  </si>
  <si>
    <t>706255464313</t>
  </si>
  <si>
    <t>Material Girl Juniors Hooded Mesh Jacket Black XS</t>
  </si>
  <si>
    <t>M6537NR212</t>
  </si>
  <si>
    <t>829092233451</t>
  </si>
  <si>
    <t>XOXO Juniors Cold-Shoulder Cutout Ivory L</t>
  </si>
  <si>
    <t>708008341766</t>
  </si>
  <si>
    <t>City Studios Juniors Printed Shine Lace-Ba NavyCoral 9</t>
  </si>
  <si>
    <t>708008341728</t>
  </si>
  <si>
    <t>City Studios Juniors Printed Shine Lace-Ba NavyCoral 1</t>
  </si>
  <si>
    <t>708008341711</t>
  </si>
  <si>
    <t>City Studios Juniors Printed Shine Lace-Ba NavyCoral 0</t>
  </si>
  <si>
    <t>791093318973</t>
  </si>
  <si>
    <t>In Awe of You by AwesomenessTV Juniors Printed A-Line Mini S Multi M</t>
  </si>
  <si>
    <t>791093320181</t>
  </si>
  <si>
    <t>In Awe of You by AwesomenessTV Juniors Metallic Mini Skirt Silver XS</t>
  </si>
  <si>
    <t>791093320211</t>
  </si>
  <si>
    <t>In Awe of You by AwesomenessTV Juniors Metallic Mini Skirt Silver L</t>
  </si>
  <si>
    <t>637865077061</t>
  </si>
  <si>
    <t>Calvin Klein Jeans Cropped Graphic T-Shirt Dark Grey Heather L</t>
  </si>
  <si>
    <t>42YK915</t>
  </si>
  <si>
    <t>713701080720</t>
  </si>
  <si>
    <t>Material Girl Juniors Bell-Sleeve Lattice-B Caviar Black XS</t>
  </si>
  <si>
    <t>713701080713</t>
  </si>
  <si>
    <t>Material Girl Juniors Bell-Sleeve Lattice-B Caviar Black XXS</t>
  </si>
  <si>
    <t>888825705962</t>
  </si>
  <si>
    <t>Material Girl Juniors Sleeveless Burnout Ha Yellow XL</t>
  </si>
  <si>
    <t>888825613748</t>
  </si>
  <si>
    <t>Material Girl Juniors Floral-Print Peplum T Black Combo S</t>
  </si>
  <si>
    <t>759880883424</t>
  </si>
  <si>
    <t>REWIND Juniors Skinny Cargo Pants Dark Red 0</t>
  </si>
  <si>
    <t>759880883455</t>
  </si>
  <si>
    <t>REWIND Juniors Skinny Cargo Pants Dark Red 5</t>
  </si>
  <si>
    <t>826409150524</t>
  </si>
  <si>
    <t>BCX Juniors High-Low Scarf Tank T Olive XL</t>
  </si>
  <si>
    <t>826409906015</t>
  </si>
  <si>
    <t>BCX Juniors Split-Sleeve Popover Blush XS</t>
  </si>
  <si>
    <t>822240864804</t>
  </si>
  <si>
    <t>BCX Juniors Sleeveless Embroidere Navy XXS</t>
  </si>
  <si>
    <t>1085F7K</t>
  </si>
  <si>
    <t>840523181226</t>
  </si>
  <si>
    <t>Indigo Rein Juniors Ripped Light Wash Ski Light Wash 9</t>
  </si>
  <si>
    <t>RR5162C34MZ</t>
  </si>
  <si>
    <t>841907121098</t>
  </si>
  <si>
    <t>Indigo Rein Juniors Skinny Five-Pocket Co Avocado 11</t>
  </si>
  <si>
    <t>791093337677</t>
  </si>
  <si>
    <t>Trolls by DreamWorks Juniors Printed Cold-Shoulder Grey S</t>
  </si>
  <si>
    <t>JK1160T1W33M</t>
  </si>
  <si>
    <t>614015944275</t>
  </si>
  <si>
    <t>Rewash Juniors Ripped Natural Wash S Natural 9</t>
  </si>
  <si>
    <t>841907121241</t>
  </si>
  <si>
    <t>Indigo Rein Juniors Skinny Five-Pocket Co Fig 13</t>
  </si>
  <si>
    <t>887840185858</t>
  </si>
  <si>
    <t>Emerald Sundae Juniors Knit Dress with Knot- NavyIvory L</t>
  </si>
  <si>
    <t>829092198880</t>
  </si>
  <si>
    <t>XOXO Juniors Smocked-Neck Asymmetr Olive XS</t>
  </si>
  <si>
    <t>3451KCR3</t>
  </si>
  <si>
    <t>614015973381</t>
  </si>
  <si>
    <t>Rewash Juniors High-Waist Black Rins Black Rinse 0</t>
  </si>
  <si>
    <t>614015966888</t>
  </si>
  <si>
    <t>Rewash Juniors Ripped Skinny Ankle J Medium Brown 9</t>
  </si>
  <si>
    <t>614015966840</t>
  </si>
  <si>
    <t>Rewash Juniors Ripped Skinny Ankle J Medium Brown 1</t>
  </si>
  <si>
    <t>637677168780</t>
  </si>
  <si>
    <t>Self Esteem Juniors Draped Open-Front Car NavyChambray Combo S</t>
  </si>
  <si>
    <t>887043643056</t>
  </si>
  <si>
    <t>Celebrity Pink Juniors Denim Overall Dress Burnt Red M</t>
  </si>
  <si>
    <t>887043033550</t>
  </si>
  <si>
    <t>Celebrity Pink Juniors Pants, Skinny Black 13</t>
  </si>
  <si>
    <t>619720898349</t>
  </si>
  <si>
    <t>FISHBOWL Juniors Printed Tie-Neck Shif RustBurgundy Combo L</t>
  </si>
  <si>
    <t>826409530852</t>
  </si>
  <si>
    <t>BCX Juniors Ruffled Cold-Shoulder Yellow XXS</t>
  </si>
  <si>
    <t>190040324652</t>
  </si>
  <si>
    <t>Almost Famous Juniors Antler Penguin Pullov Dark Heath L</t>
  </si>
  <si>
    <t>889602101380</t>
  </si>
  <si>
    <t>Jessica Simpson Juniors Compression Tank Top Riffle Green L</t>
  </si>
  <si>
    <t>889602034305</t>
  </si>
  <si>
    <t>Freshman Juniors Marled Mixed-Knit Swe Jet Black S</t>
  </si>
  <si>
    <t>889602094606</t>
  </si>
  <si>
    <t>Freshman Juniors Marled Colorblock Pul Blank CanvasWoodland Hike XS</t>
  </si>
  <si>
    <t>887409057626</t>
  </si>
  <si>
    <t>Polly Esther Juniors Hooded Plaid Shirt BurgundyTan XL</t>
  </si>
  <si>
    <t>889602094170</t>
  </si>
  <si>
    <t>Freshman Juniors Marled Mixed-Knit Swe Berry Wine XS</t>
  </si>
  <si>
    <t>889602034336</t>
  </si>
  <si>
    <t>Freshman Juniors Marled Mixed-Knit Swe Jet Black XL</t>
  </si>
  <si>
    <t>841060119420</t>
  </si>
  <si>
    <t>Hippie Rose Juniors Open-Front Side-Slit Coyote Blue S</t>
  </si>
  <si>
    <t>619720908482</t>
  </si>
  <si>
    <t>Be Bop Juniors Military Shirt Olive L</t>
  </si>
  <si>
    <t>887409058333</t>
  </si>
  <si>
    <t>Polly Esther Juniors Plaid Flannel Sweater IvoryBlack XS</t>
  </si>
  <si>
    <t>706256504117</t>
  </si>
  <si>
    <t>Material Girl Love Contrast Yoga Leggings BlackFlashmode M</t>
  </si>
  <si>
    <t>M6930NR212</t>
  </si>
  <si>
    <t>706255624847</t>
  </si>
  <si>
    <t>Material Girl Juniors Cropped Yoga Leggings Heather Charcoal XS</t>
  </si>
  <si>
    <t>M6517HC212</t>
  </si>
  <si>
    <t>840523188928</t>
  </si>
  <si>
    <t>Indigo Rein Juniors Frayed Hunwick Wash D Lucas 15</t>
  </si>
  <si>
    <t>705143697840</t>
  </si>
  <si>
    <t>Energie Juniors Paulette Pull-On Crop Charcoal Heather GreyPunchy P M</t>
  </si>
  <si>
    <t>674153672805</t>
  </si>
  <si>
    <t>Say What Juniors Off-The-Shoulder Blou Dress Blues XS</t>
  </si>
  <si>
    <t>645545895683</t>
  </si>
  <si>
    <t>Material Girl Juniors Printed Racerback Rom Ombre Tribal XS</t>
  </si>
  <si>
    <t>M6528OT212</t>
  </si>
  <si>
    <t>841060124608</t>
  </si>
  <si>
    <t>Hippie Rose Juniors Crochet-Contrast Pull Olive Branch XL</t>
  </si>
  <si>
    <t>887409049294</t>
  </si>
  <si>
    <t>Polly Esther Juniors Buffalo-Plaid Roll-Sl NavyBrick L</t>
  </si>
  <si>
    <t>843561081411</t>
  </si>
  <si>
    <t>Miss Chievous Juniors Crochet-Trim Tie-Fron Silver Pink M</t>
  </si>
  <si>
    <t>637677197513</t>
  </si>
  <si>
    <t>Belle Du Jour Juniors Lace-Trim Pocket Top Clover XL</t>
  </si>
  <si>
    <t>695532453600</t>
  </si>
  <si>
    <t>Ultra Flirt Juniors Belted Lace-Back Tuni Black XS</t>
  </si>
  <si>
    <t>889901086579</t>
  </si>
  <si>
    <t>Hooked Up by IOT Juniors Sleeveless Mock-Turtl Spiritual Vanilla M</t>
  </si>
  <si>
    <t>821942396101</t>
  </si>
  <si>
    <t>Planet Gold Juniors Scoop-Neck Fit Flar Black M</t>
  </si>
  <si>
    <t>841060121935</t>
  </si>
  <si>
    <t>Hippie Rose Juniors Lace-Up Marled Knit T Autumn Rust M</t>
  </si>
  <si>
    <t>695532443519</t>
  </si>
  <si>
    <t>Ultra Flirt Juniors Cocoon-Hem Cardigan Oatmeal L</t>
  </si>
  <si>
    <t>829826285121</t>
  </si>
  <si>
    <t>Planet Gold Juniors Striped Sweater Dress GreenBlack L</t>
  </si>
  <si>
    <t>190040297024</t>
  </si>
  <si>
    <t>Almost Famous Juniors Lattice-Front Ruched Natural XL</t>
  </si>
  <si>
    <t>190040251279</t>
  </si>
  <si>
    <t>Almost Famous Juniors Printed High-Low Tank AquaberryNavy M</t>
  </si>
  <si>
    <t>660032568550</t>
  </si>
  <si>
    <t>One Clothing Juniors Sleeveless A-Line Swi Black XS</t>
  </si>
  <si>
    <t>660032568628</t>
  </si>
  <si>
    <t>One Clothing Juniors Sleeveless A-Line Swi Olive M</t>
  </si>
  <si>
    <t>841060119680</t>
  </si>
  <si>
    <t>Hippie Rose Juniors Colorblocked Leggings BlackGrey M</t>
  </si>
  <si>
    <t>695532456595</t>
  </si>
  <si>
    <t>Ultra Flirt Juniors Moto Leggings Navy XL</t>
  </si>
  <si>
    <t>695532431127</t>
  </si>
  <si>
    <t>Ultra Flirt Juniors Printed Asymmetrical- BlackWhite S</t>
  </si>
  <si>
    <t>886680074322</t>
  </si>
  <si>
    <t>Fire Juniors Striped A-Line T-Shir Grey L</t>
  </si>
  <si>
    <t>MYFDK5440</t>
  </si>
  <si>
    <t>655998038629</t>
  </si>
  <si>
    <t>Material Girl Juniors Mesh-Detail Sports Br Black XL</t>
  </si>
  <si>
    <t>655998038575</t>
  </si>
  <si>
    <t>Material Girl Juniors Mesh-Detail Sports Br Black L</t>
  </si>
  <si>
    <t>841060118553</t>
  </si>
  <si>
    <t>Hippie Rose Juniors Striped Cowl-Neck Tun IvoryOatmeal XL</t>
  </si>
  <si>
    <t>190040141143</t>
  </si>
  <si>
    <t>Almost Famous Juniors Plaid Sleeveless V-Ne Melonnavy M</t>
  </si>
  <si>
    <t>ZR3840-7933-MC</t>
  </si>
  <si>
    <t>706255688979</t>
  </si>
  <si>
    <t>Material Girl Juniors Crisscross Cutout Sho Black XXS</t>
  </si>
  <si>
    <t>M6542NR212</t>
  </si>
  <si>
    <t>190121167932</t>
  </si>
  <si>
    <t>Mighty Fine Juniors Graphic T-Shirt Linen XL</t>
  </si>
  <si>
    <t>645545946125</t>
  </si>
  <si>
    <t>Rebellious One Juniors Asymmetrical-Hem Pock Olive Fatigue M</t>
  </si>
  <si>
    <t>637677171247</t>
  </si>
  <si>
    <t>Belle Du Jour Juniors V-Neck Necklace T-Shi Army Green S</t>
  </si>
  <si>
    <t>815333025732</t>
  </si>
  <si>
    <t>NTD Juniors New Kids On The Block BlackWhite XL</t>
  </si>
  <si>
    <t>841060119949</t>
  </si>
  <si>
    <t>Hippie Rose Juniors V-Neck Tank Top Forest L</t>
  </si>
  <si>
    <t>190121147002</t>
  </si>
  <si>
    <t>Mighty Fine Juniors Graphic T-Shirt Cement L</t>
  </si>
  <si>
    <t>F2632ICW1-MACY</t>
  </si>
  <si>
    <t>190121122214</t>
  </si>
  <si>
    <t>Mighty Fine Juniors Graphic Ringer T-Shir CreamRed S</t>
  </si>
  <si>
    <t>190121091008</t>
  </si>
  <si>
    <t>Mighty Fine Juniors Stitch Contrast Graph Linen XL</t>
  </si>
  <si>
    <t>F2566AWM1-MACY</t>
  </si>
  <si>
    <t>190121122221</t>
  </si>
  <si>
    <t>Mighty Fine Juniors Graphic Ringer T-Shir CreamRed M</t>
  </si>
  <si>
    <t>190121122238</t>
  </si>
  <si>
    <t>Mighty Fine Juniors Graphic Ringer T-Shir CreamRed L</t>
  </si>
  <si>
    <t>190344312263</t>
  </si>
  <si>
    <t>Hybrid Juniors Graphic Scoop-Neck T- Indigo M</t>
  </si>
  <si>
    <t>JS3674USX829</t>
  </si>
  <si>
    <t>190344151879</t>
  </si>
  <si>
    <t>Hybrid Juniors Graphic Racerback T-S Navy M</t>
  </si>
  <si>
    <t>JT2627JRSM482</t>
  </si>
  <si>
    <t>190344151589</t>
  </si>
  <si>
    <t>Hybrid Juniors Sleeveless Graphic Cr Heather Charcoal L</t>
  </si>
  <si>
    <t>645545926301</t>
  </si>
  <si>
    <t>Rebellious One Juniors Tie-Front Top Ivory S</t>
  </si>
  <si>
    <t>645545908482</t>
  </si>
  <si>
    <t>Pretty Rebellious Juniors LA NY Graphic T-Shirt Malbec Heather Grey L</t>
  </si>
  <si>
    <t>IA2593JX6249</t>
  </si>
  <si>
    <t>693401667844</t>
  </si>
  <si>
    <t>2-Kuhl Juniors Cuffed Graphic T-Shir Light Grey Mix L</t>
  </si>
  <si>
    <t>190371228148</t>
  </si>
  <si>
    <t>Bioworld Juniors Graphic Tank Top Black L</t>
  </si>
  <si>
    <t>TK2MC2BMW</t>
  </si>
  <si>
    <t>190371228162</t>
  </si>
  <si>
    <t>Bioworld Juniors Graphic T-Shirt Black XS</t>
  </si>
  <si>
    <t>829826296035</t>
  </si>
  <si>
    <t>Planet Gold Juniors Light-Up Candy Cane B BlackRedGreen ONE SIZE</t>
  </si>
  <si>
    <t>M2JZ472</t>
  </si>
  <si>
    <t>190371228193</t>
  </si>
  <si>
    <t>Bioworld Juniors Graphic T-Shirt Black L</t>
  </si>
  <si>
    <t>645545882812</t>
  </si>
  <si>
    <t>Material Girl Juniors Low-Impact Racerback Heather Platinum XXL</t>
  </si>
  <si>
    <t>887648310216</t>
  </si>
  <si>
    <t>Freeze 24-7 Juniors Spain Graphic T-Shirt Redwhite S</t>
  </si>
  <si>
    <t>695532441195</t>
  </si>
  <si>
    <t>Ultra Flirt Juniors Printed Leggings Calypso Blue XL</t>
  </si>
  <si>
    <t>695532441171</t>
  </si>
  <si>
    <t>Ultra Flirt Juniors Printed Leggings Calypso Blue M</t>
  </si>
  <si>
    <t>695532441058</t>
  </si>
  <si>
    <t>Ultra Flirt Juniors Printed Leggings Canne Chevron XS</t>
  </si>
  <si>
    <t>695532441164</t>
  </si>
  <si>
    <t>Ultra Flirt Juniors Printed Leggings Calypso Blue S</t>
  </si>
  <si>
    <t>705143701653</t>
  </si>
  <si>
    <t>Energie Juniors Rose Reversible Cami Mauve Mist M</t>
  </si>
  <si>
    <t>829092256689</t>
  </si>
  <si>
    <t>IVBK RUFFLE FRONT JUMPSUI</t>
  </si>
  <si>
    <t>9692RCC3</t>
  </si>
  <si>
    <t>829092256719</t>
  </si>
  <si>
    <t>708008363188</t>
  </si>
  <si>
    <t>City Studios Juniors Embellished Lace-Fron Black 11</t>
  </si>
  <si>
    <t>889237626623</t>
  </si>
  <si>
    <t>NVY STRP DRESS W/NECK CR</t>
  </si>
  <si>
    <t>759880883301</t>
  </si>
  <si>
    <t>759880883257</t>
  </si>
  <si>
    <t>888701748649</t>
  </si>
  <si>
    <t>GET FREE CROISEE WCD0</t>
  </si>
  <si>
    <t>ERJZT03369</t>
  </si>
  <si>
    <t>885779656111</t>
  </si>
  <si>
    <t>637677222567</t>
  </si>
  <si>
    <t>Belle Du Jour Juniors Fuzzy Hoodie Graphi Black L</t>
  </si>
  <si>
    <t>619720911635</t>
  </si>
  <si>
    <t>841060123397</t>
  </si>
  <si>
    <t>Hippie Rose Juniors Mixed-Knit Pullover S Olive Branch L</t>
  </si>
  <si>
    <t>829092257518</t>
  </si>
  <si>
    <t>XOXO Juniors Embellished Blazer Cranberry XS</t>
  </si>
  <si>
    <t>822980863891</t>
  </si>
  <si>
    <t>Jessica Simpson Cerena Printed Peasant Blouse Red S</t>
  </si>
  <si>
    <t>637865205624</t>
  </si>
  <si>
    <t>Calvin Klein Jeans Graphic-Logo Pleated Sweatshir Light Heather XL</t>
  </si>
  <si>
    <t>886542611924</t>
  </si>
  <si>
    <t>B Darlin Juniors Colorblocked Fit Fl BlackRed 1314</t>
  </si>
  <si>
    <t>X4REJ246H</t>
  </si>
  <si>
    <t>886542618220</t>
  </si>
  <si>
    <t>B Darlin Juniors Lace Pleated Fit Fl Red 910</t>
  </si>
  <si>
    <t>826410497328</t>
  </si>
  <si>
    <t>BCX Juniors Crochet-Trim Surplice Black XXS</t>
  </si>
  <si>
    <t>0092J2R</t>
  </si>
  <si>
    <t>888825757893</t>
  </si>
  <si>
    <t>Material Girl Juniors Lace Cutout Peplum To Pale Blush L</t>
  </si>
  <si>
    <t>888825757909</t>
  </si>
  <si>
    <t>Material Girl Juniors Lace Cutout Peplum To Pale Blush XL</t>
  </si>
  <si>
    <t>20211MG</t>
  </si>
  <si>
    <t>886680003308</t>
  </si>
  <si>
    <t>Material Girl Juniors Striped Cutout Bodysu Black L</t>
  </si>
  <si>
    <t>887840191798</t>
  </si>
  <si>
    <t>Emerald Sundae Juniors Printed Mock-Neck Bod BlackBlue L</t>
  </si>
  <si>
    <t>RR5229C5MZ</t>
  </si>
  <si>
    <t>MYB018616</t>
  </si>
  <si>
    <t>889387779767</t>
  </si>
  <si>
    <t>Trixxi Juniors Flared Cutout Dress Royal 11</t>
  </si>
  <si>
    <t>619720891357</t>
  </si>
  <si>
    <t>Be Bop Juniors Printed Racerback Sho OliveBlack S</t>
  </si>
  <si>
    <t>889602099809</t>
  </si>
  <si>
    <t>Freshman Juniors Marled Colorblock Pul Blank CanvasBerry Wine S</t>
  </si>
  <si>
    <t>619720908666</t>
  </si>
  <si>
    <t>Be Bop Juniors Military Shirt Ivory M</t>
  </si>
  <si>
    <t>695532460233</t>
  </si>
  <si>
    <t>Ultra Flirt Juniors Plaid Raglan-Sleeve L NavyWhite M</t>
  </si>
  <si>
    <t>706255832662</t>
  </si>
  <si>
    <t>Material Girl Juniors Printed Cropped Leggi Black S</t>
  </si>
  <si>
    <t>887854009188</t>
  </si>
  <si>
    <t>Miss Chievous Juniors Embellished High-Low Raspberry XL</t>
  </si>
  <si>
    <t>841060122239</t>
  </si>
  <si>
    <t>Hippie Rose Juniors Printed Pullover Swea Peach Floral M</t>
  </si>
  <si>
    <t>841060121966</t>
  </si>
  <si>
    <t>Hippie Rose Juniors Lace-Up Marled Knit T Black XS</t>
  </si>
  <si>
    <t>695532443496</t>
  </si>
  <si>
    <t>Ultra Flirt Juniors Cocoon-Hem Cardigan Oatmeal S</t>
  </si>
  <si>
    <t>695532443502</t>
  </si>
  <si>
    <t>Ultra Flirt Juniors Cocoon-Hem Cardigan Oatmeal M</t>
  </si>
  <si>
    <t>695532437723</t>
  </si>
  <si>
    <t>Ultra Flirt Juniors Marled High-Low Pullo Tawny Port XL</t>
  </si>
  <si>
    <t>695532477408</t>
  </si>
  <si>
    <t>Ultra Flirt Juniors Turtleneck Cutout Hig Natural S</t>
  </si>
  <si>
    <t>695532478085</t>
  </si>
  <si>
    <t>Ultra Flirt Juniors Rib-Knit Turtleneck T Heather GreyIvory L</t>
  </si>
  <si>
    <t>190040297109</t>
  </si>
  <si>
    <t>Almost Famous Juniors Lattice-Front Ruched Red M</t>
  </si>
  <si>
    <t>190371272363</t>
  </si>
  <si>
    <t>Bioworld Juniors DC Comics Batman Fren BlackHeather Grey XL</t>
  </si>
  <si>
    <t>841060118638</t>
  </si>
  <si>
    <t>Hippie Rose Juniors Striped Cowl-Neck Tun OatmealBrandywine Combo M</t>
  </si>
  <si>
    <t>645545893344</t>
  </si>
  <si>
    <t>Material Girl Mesh-Back Printed Tank Top Static Flashmode XL</t>
  </si>
  <si>
    <t>841060116924</t>
  </si>
  <si>
    <t>Hippie Rose Juniors Ultra-Soft Printed Le Navy Coral Tile S</t>
  </si>
  <si>
    <t>821942362267</t>
  </si>
  <si>
    <t>Planet Gold Juniors Spaghetti-Strap Tank Kalamata XS</t>
  </si>
  <si>
    <t>889237615955</t>
  </si>
  <si>
    <t>889631050291</t>
  </si>
  <si>
    <t>BLAC OFF THE SHOULDER POP</t>
  </si>
  <si>
    <t>645545915398</t>
  </si>
  <si>
    <t>886998477433</t>
  </si>
  <si>
    <t>American Rag Crochet-Back Plaid Shirt-Jacke Classic Black Combo S</t>
  </si>
  <si>
    <t>American Rag Crocheted Faux-Suede A-Line Sk Midnight Blue M</t>
  </si>
  <si>
    <t>889602109911</t>
  </si>
  <si>
    <t>Freshman Juniors One-Button Knit Blaze Secluded L</t>
  </si>
  <si>
    <t>888825958863</t>
  </si>
  <si>
    <t>Tinseltown Juniors Sweater-Sleeve Denim Reflection XS</t>
  </si>
  <si>
    <t>888825958887</t>
  </si>
  <si>
    <t>Tinseltown Juniors Sweater-Sleeve Denim Reflection M</t>
  </si>
  <si>
    <t>826409900181</t>
  </si>
  <si>
    <t>BCX Juniors Layered-Look Sweater Black L</t>
  </si>
  <si>
    <t>888825991921</t>
  </si>
  <si>
    <t>Tinseltown Juniors Moto Burgundy Wash Sk Grey Plaid 11</t>
  </si>
  <si>
    <t>888825991945</t>
  </si>
  <si>
    <t>Tinseltown Juniors Moto Burgundy Wash Sk Grey Plaid 15</t>
  </si>
  <si>
    <t>841060120228</t>
  </si>
  <si>
    <t>Pink Rose Juniors Lace-Up Shift Dress Navy S</t>
  </si>
  <si>
    <t>887409057534</t>
  </si>
  <si>
    <t>Polly Esther Juniors Hooded Plaid Shirt BlueDark Blue L</t>
  </si>
  <si>
    <t>887069474863</t>
  </si>
  <si>
    <t>Pink Rose Juniors Striped Rib-Knit Fine Bandana BlueBrandy WineMusta S</t>
  </si>
  <si>
    <t>841060125322</t>
  </si>
  <si>
    <t>Hippie Rose Juniors Striped Pullover Hood Mountain Blue S</t>
  </si>
  <si>
    <t>841060124462</t>
  </si>
  <si>
    <t>Hippie Rose Juniors Crochet-Contrast Pull Medium Heather Grey XS</t>
  </si>
  <si>
    <t>843561095807</t>
  </si>
  <si>
    <t>Miss Chievous Juniors Ice Cream Sequin Waff Washed Oatmeal S</t>
  </si>
  <si>
    <t>843561096286</t>
  </si>
  <si>
    <t>Miss Chievous Juniors Love Sequin Waffle-Kn Forest Ridge S</t>
  </si>
  <si>
    <t>JA9625S353</t>
  </si>
  <si>
    <t>887409049744</t>
  </si>
  <si>
    <t>Polly Esther Juniors Plaid Roll-Sleeve Shi NavyGreen L</t>
  </si>
  <si>
    <t>889901093935</t>
  </si>
  <si>
    <t>Hooked Up by IOT Juniors Sleeveless Mock-Turtl BlackSilver Grey L</t>
  </si>
  <si>
    <t>695532443564</t>
  </si>
  <si>
    <t>Ultra Flirt Juniors Cocoon-Hem Cardigan Olive Night L</t>
  </si>
  <si>
    <t>695532443540</t>
  </si>
  <si>
    <t>Ultra Flirt Juniors Cocoon-Hem Cardigan Olive Night S</t>
  </si>
  <si>
    <t>695532477316</t>
  </si>
  <si>
    <t>Ultra Flirt Juniors Turtleneck Cutout Hig Black M</t>
  </si>
  <si>
    <t>190040298328</t>
  </si>
  <si>
    <t>Almost Famous Juniors Lace-Trim Roll-Sleeve Black L</t>
  </si>
  <si>
    <t>705143664521</t>
  </si>
  <si>
    <t>Energie Juniors Scoop-Neck Top Medieval Blue XS</t>
  </si>
  <si>
    <t>42ZW134</t>
  </si>
  <si>
    <t>829092270302</t>
  </si>
  <si>
    <t>JA85631HTM</t>
  </si>
  <si>
    <t>826409604645</t>
  </si>
  <si>
    <t>42YT790</t>
  </si>
  <si>
    <t>BA68151</t>
  </si>
  <si>
    <t>BCX/COMINT APPAREL GROUP</t>
  </si>
  <si>
    <t>888825936724</t>
  </si>
  <si>
    <t>Material Girl Juniors Lace-Up Bomber Jacket Black S</t>
  </si>
  <si>
    <t>90043MG</t>
  </si>
  <si>
    <t>889775052793</t>
  </si>
  <si>
    <t>American Rag Faux-Suede Bucket Bag Glazed Gin ONE SIZE</t>
  </si>
  <si>
    <t>6AB08GZG</t>
  </si>
  <si>
    <t>889775052779</t>
  </si>
  <si>
    <t>American Rag Embroidered Mirror Backpack Black Combo ONE SIZE</t>
  </si>
  <si>
    <t>6AB17CKC</t>
  </si>
  <si>
    <t>889631045310</t>
  </si>
  <si>
    <t>Crystal Doll Juniors Embellished High-Low BlackRoyal 3</t>
  </si>
  <si>
    <t>637677178055</t>
  </si>
  <si>
    <t>Material Girl Juniors Striped Slip Dress wi Black M</t>
  </si>
  <si>
    <t>708008360873</t>
  </si>
  <si>
    <t>City Studios Juniors Double-Strap High-Low Cherry L</t>
  </si>
  <si>
    <t>888825197903</t>
  </si>
  <si>
    <t>Material Girl Juniors Crochet-Knit Dress Cloud Dancer XL</t>
  </si>
  <si>
    <t>10015CD204</t>
  </si>
  <si>
    <t>887043693945</t>
  </si>
  <si>
    <t>Celebrity Pink Juniors Paisley Metallic-Prin BlackPaisley Metallic Print 1</t>
  </si>
  <si>
    <t>888825958870</t>
  </si>
  <si>
    <t>Tinseltown Juniors Sweater-Sleeve Denim Reflection S</t>
  </si>
  <si>
    <t>826409702808</t>
  </si>
  <si>
    <t>BCX Juniors Cutout Plaid Peplum T Black Plaid S</t>
  </si>
  <si>
    <t>M6837PP212</t>
  </si>
  <si>
    <t>889901118041</t>
  </si>
  <si>
    <t>Hooked Up by IOT Juniors Fringed Mixed-Pattern BlackLight Grey HeatherSpiri XL</t>
  </si>
  <si>
    <t>889901060067</t>
  </si>
  <si>
    <t>Hooked Up by IOT Juniors Ombre Mixed-Knit Tuni Shearl TanSpiritual Vanilla M</t>
  </si>
  <si>
    <t>841060125681</t>
  </si>
  <si>
    <t>Hippie Rose Juniors Roll-Sleeve Woven Top Tapestry Blue M</t>
  </si>
  <si>
    <t>887069475365</t>
  </si>
  <si>
    <t>Pink Rose Juniors Ruched-Side Fine-Gaug Heather OatmealBlack S</t>
  </si>
  <si>
    <t>695532443533</t>
  </si>
  <si>
    <t>Ultra Flirt Juniors Cocoon-Hem Cardigan Olive Night XS</t>
  </si>
  <si>
    <t>190040297000</t>
  </si>
  <si>
    <t>Almost Famous Juniors Lattice-Front Ruched Natural M</t>
  </si>
  <si>
    <t>H6F0112M</t>
  </si>
  <si>
    <t>637677215835</t>
  </si>
  <si>
    <t>Belle Du Jour Juniors Raglan-Sleeve Friday Alloy Grey M</t>
  </si>
  <si>
    <t>887648645103</t>
  </si>
  <si>
    <t>Trolls by DreamWorks Juniors Trolls Graphic High-L NavyWhite S</t>
  </si>
  <si>
    <t>Bioworld Juniors Suicide Squad Graphic White L</t>
  </si>
  <si>
    <t>645545924987</t>
  </si>
  <si>
    <t>Rebellious One Juniors Striped Tie-Front Top Patriot BlueHeather Grey Stri M</t>
  </si>
  <si>
    <t>190371275845</t>
  </si>
  <si>
    <t>Bioworld Juniors Graphic T-Shirt Red M</t>
  </si>
  <si>
    <t>637865191842</t>
  </si>
  <si>
    <t>Calvin Klein Jeans Marled High-Low-Hem Top Blueberry Dust M</t>
  </si>
  <si>
    <t>889667171861</t>
  </si>
  <si>
    <t>JFSFE004060</t>
  </si>
  <si>
    <t>889319496618</t>
  </si>
  <si>
    <t>Levis Lightweight Chambray Rain Deni Chambray Rain S</t>
  </si>
  <si>
    <t>822982507298</t>
  </si>
  <si>
    <t>Jessica Simpson Draped Faux-Leather Jacket Black M</t>
  </si>
  <si>
    <t>637865095911</t>
  </si>
  <si>
    <t>Calvin Klein Jeans Colorblocked V-Neck Top Black XL</t>
  </si>
  <si>
    <t>601350764477</t>
  </si>
  <si>
    <t>Speechless Juniors Sequin Bodycon Dress Black 9</t>
  </si>
  <si>
    <t>D58913HVS</t>
  </si>
  <si>
    <t>889775088990</t>
  </si>
  <si>
    <t>American Rag Printed High-Low Maxi Dress Dark Denim M</t>
  </si>
  <si>
    <t>889775089010</t>
  </si>
  <si>
    <t>American Rag Printed High-Low Maxi Dress Dark Denim XL</t>
  </si>
  <si>
    <t>889775082936</t>
  </si>
  <si>
    <t>American Rag Denim Skirtalls Sorrento Wash XS</t>
  </si>
  <si>
    <t>889775082974</t>
  </si>
  <si>
    <t>American Rag Denim Skirtalls Sorrento Wash XL</t>
  </si>
  <si>
    <t>637865205617</t>
  </si>
  <si>
    <t>Calvin Klein Jeans Graphic-Logo Pleated Sweatshir Light Heather L</t>
  </si>
  <si>
    <t>713701105447</t>
  </si>
  <si>
    <t>American Rag Striped Mock-Neck Bell-Sleeve Multi XL</t>
  </si>
  <si>
    <t>889775065519</t>
  </si>
  <si>
    <t>American Rag Three-Quarter-Sleeve Printed M Blue Print Combo XXS</t>
  </si>
  <si>
    <t>6BW17BBPC</t>
  </si>
  <si>
    <t>822980944705</t>
  </si>
  <si>
    <t>Jessica Simpson KissMe Coated-Denim Jeans Black 26</t>
  </si>
  <si>
    <t>829092258737</t>
  </si>
  <si>
    <t>XOXO Juniors Lace-Up Plaid Fit F Navy Plaid S</t>
  </si>
  <si>
    <t>708008348413</t>
  </si>
  <si>
    <t>City Studios Juniors Embellished Open-Back Black 1</t>
  </si>
  <si>
    <t>889775084091</t>
  </si>
  <si>
    <t>American Rag Printed Crochet-Trim Smocked-W Black Combo M</t>
  </si>
  <si>
    <t>713701103795</t>
  </si>
  <si>
    <t>American Rag Ruffled Cold-Shoulder Fit Fl Zinfandel S</t>
  </si>
  <si>
    <t>822982511585</t>
  </si>
  <si>
    <t>Jessica Simpson Lace-Up Off-The-Shoulder Sweat Whisper White XS</t>
  </si>
  <si>
    <t>889775066417</t>
  </si>
  <si>
    <t>American Rag High-Waist Trudy Wash Skinny J Trudy Wash 15S</t>
  </si>
  <si>
    <t>829092249667</t>
  </si>
  <si>
    <t>XOXO Juniors Ruffled-Neck Printed Multi L</t>
  </si>
  <si>
    <t>9670CJH3</t>
  </si>
  <si>
    <t>889775077161</t>
  </si>
  <si>
    <t>American Rag Juniors Printed Shift Dress Pale Pink Multi M</t>
  </si>
  <si>
    <t>637865088135</t>
  </si>
  <si>
    <t>Calvin Klein Jeans Colorblocked Printed Top Deep Green L</t>
  </si>
  <si>
    <t>42YK212</t>
  </si>
  <si>
    <t>637865088074</t>
  </si>
  <si>
    <t>Calvin Klein Jeans Colorblocked Printed Top Classic White XL</t>
  </si>
  <si>
    <t>637865088760</t>
  </si>
  <si>
    <t>Calvin Klein Jeans High-Low-Hem V-Neck Top Black L</t>
  </si>
  <si>
    <t>889237774898</t>
  </si>
  <si>
    <t>As U Wish Juniors 2-Pc. Crop Top Lace Black 0</t>
  </si>
  <si>
    <t>888825958184</t>
  </si>
  <si>
    <t>American Rag Off-The-Shoulder Lace-Trim Pea Off White S</t>
  </si>
  <si>
    <t>713701103344</t>
  </si>
  <si>
    <t>American Rag Cold-Shoulder High-Low Peasant Off White XS</t>
  </si>
  <si>
    <t>W23557AR</t>
  </si>
  <si>
    <t>889775069791</t>
  </si>
  <si>
    <t>American Rag Printed Tie-Front Blouse White Combo XS</t>
  </si>
  <si>
    <t>3BIW01PEGC</t>
  </si>
  <si>
    <t>889775049427</t>
  </si>
  <si>
    <t>American Rag Plus Size Solid Short-Sleeve T Classic Black 2X</t>
  </si>
  <si>
    <t>P6SQ73CBK</t>
  </si>
  <si>
    <t>889387972779</t>
  </si>
  <si>
    <t>Trixxi Juniors Printed Mock-Neck Cut NavyMulti L</t>
  </si>
  <si>
    <t>889775085432</t>
  </si>
  <si>
    <t>American Rag Crocheted Peasant Top Off White XXL</t>
  </si>
  <si>
    <t>829092224824</t>
  </si>
  <si>
    <t>XOXO Juniors Pull-On Slim-Leg Pant Navy XXL</t>
  </si>
  <si>
    <t>8516MG</t>
  </si>
  <si>
    <t>889775052809</t>
  </si>
  <si>
    <t>American Rag Mixed-Print Fringe Scarf Raspberry Combo ONE SIZE</t>
  </si>
  <si>
    <t>6ASC001CCO</t>
  </si>
  <si>
    <t>637865195376</t>
  </si>
  <si>
    <t>Calvin Klein Jeans Metallic CK-Graphic T-Shirt Toreado M</t>
  </si>
  <si>
    <t>637865195383</t>
  </si>
  <si>
    <t>Calvin Klein Jeans Metallic CK-Graphic T-Shirt Toreado L</t>
  </si>
  <si>
    <t>826409496103</t>
  </si>
  <si>
    <t>BCX Juniors High-Low Layered-Look White M</t>
  </si>
  <si>
    <t>888825705252</t>
  </si>
  <si>
    <t>Material Girl Juniors Floral-Print Halter T Black Combo L</t>
  </si>
  <si>
    <t>20155BC204</t>
  </si>
  <si>
    <t>759880883462</t>
  </si>
  <si>
    <t>REWIND Juniors Skinny Cargo Pants Dark Red 7</t>
  </si>
  <si>
    <t>887043639752</t>
  </si>
  <si>
    <t>Celebrity Pink Juniors Vintage Dark Wash Ski Vintage Dark 5</t>
  </si>
  <si>
    <t>CJ21043H18</t>
  </si>
  <si>
    <t>826409680687</t>
  </si>
  <si>
    <t>BCX Juniors Skinny Pants Black 1</t>
  </si>
  <si>
    <t>889602109928</t>
  </si>
  <si>
    <t>Freshman Juniors One-Button Knit Blaze Secluded XL</t>
  </si>
  <si>
    <t>887043694010</t>
  </si>
  <si>
    <t>Celebrity Pink Juniors Paisley Metallic-Prin BlackPaisley Metallic Print 15</t>
  </si>
  <si>
    <t>614015974357</t>
  </si>
  <si>
    <t>Rewash Juniors Blue Wash Tulip-Flare Med Wash 9</t>
  </si>
  <si>
    <t>841907121647</t>
  </si>
  <si>
    <t>Indigo Rein Juniors Ripped Light Wash Ski Lt Blue Wash 0</t>
  </si>
  <si>
    <t>RR5162C42MZ</t>
  </si>
  <si>
    <t>826409590405</t>
  </si>
  <si>
    <t>BCX Juniors Faux-Leather-Pocket C Bordeaux XL</t>
  </si>
  <si>
    <t>826409973840</t>
  </si>
  <si>
    <t>BCX Juniors Marled Layered-Look T Black Tweed XS</t>
  </si>
  <si>
    <t>744199625964</t>
  </si>
  <si>
    <t>Dollhouse Juniors Color Denim Ripped Sk Moss 11</t>
  </si>
  <si>
    <t>619720907331</t>
  </si>
  <si>
    <t>Be Bop Juniors High-Waist Bootcut Tr Navy 11</t>
  </si>
  <si>
    <t>826409582141</t>
  </si>
  <si>
    <t>BCX Juniors Colorblocked Sweater Black S</t>
  </si>
  <si>
    <t>614015973831</t>
  </si>
  <si>
    <t>Rewash Juniors High-Waist Black Rins Dark Wash 5</t>
  </si>
  <si>
    <t>841060123007</t>
  </si>
  <si>
    <t>Hippie Rose Juniors Patches Cardigan Swea Olive XL</t>
  </si>
  <si>
    <t>887043601230</t>
  </si>
  <si>
    <t>Celebrity Pink Juniors Skinny Jeans Eiffel Tower 15</t>
  </si>
  <si>
    <t>190344411409</t>
  </si>
  <si>
    <t>Trolls by DreamWorks Juniors Trolls Twins Graphic GreyBlack L</t>
  </si>
  <si>
    <t>JJ4500JTRL0123</t>
  </si>
  <si>
    <t>840523181011</t>
  </si>
  <si>
    <t>Indigo Rein Juniors Ripped Light Wash Ski Dark Blue 3</t>
  </si>
  <si>
    <t>889602093883</t>
  </si>
  <si>
    <t>Freshman Juniors Ribbed Open-Front Car Berry Wine XL</t>
  </si>
  <si>
    <t>768594098420</t>
  </si>
  <si>
    <t>American Rag Sleeveless Mock-Neck Top Black Combo XXL</t>
  </si>
  <si>
    <t>768594098451</t>
  </si>
  <si>
    <t>American Rag Sleeveless Mock-Neck Top Zinfandel XS</t>
  </si>
  <si>
    <t>619720845213</t>
  </si>
  <si>
    <t>Be Bop Juniors Tie-Waist Blouson Dre Wine XL</t>
  </si>
  <si>
    <t>889602097805</t>
  </si>
  <si>
    <t>Jessica Simpson Juniors Mesh-Back Sports Bra Forest CamoJet Black XS</t>
  </si>
  <si>
    <t>645545894662</t>
  </si>
  <si>
    <t>Material Girl Juniors Zipper-Front Contrast Purple Party XS</t>
  </si>
  <si>
    <t>887043628282</t>
  </si>
  <si>
    <t>Celebrity Pink Juniors Skinny Ponte Pants Burnt Red 1</t>
  </si>
  <si>
    <t>710816359307</t>
  </si>
  <si>
    <t>BCX Juniors High-Waist Pencil Skir Black 11</t>
  </si>
  <si>
    <t>841413124781</t>
  </si>
  <si>
    <t>OhMG Juniors Love Sequin Marled Sw Charcoal Grey XS</t>
  </si>
  <si>
    <t>887069474924</t>
  </si>
  <si>
    <t>Pink Rose Juniors Rib-Knit Fine-Gauge S Forest Olive M</t>
  </si>
  <si>
    <t>887069475600</t>
  </si>
  <si>
    <t>Pink Rose Juniors Rib-Knit Fine-Gauge S Mustard Seed XS</t>
  </si>
  <si>
    <t>887069474900</t>
  </si>
  <si>
    <t>Pink Rose Juniors Rib-Knit Fine-Gauge S Forest Olive XS</t>
  </si>
  <si>
    <t>887069475648</t>
  </si>
  <si>
    <t>Pink Rose Juniors Rib-Knit Fine-Gauge S Mustard Seed XL</t>
  </si>
  <si>
    <t>841060125230</t>
  </si>
  <si>
    <t>Hippie Rose Juniors Striped Pullover Hood BlackIvory M</t>
  </si>
  <si>
    <t>826409537479</t>
  </si>
  <si>
    <t>BCX Juniors Sleeveless Knit Neckl Black XXS</t>
  </si>
  <si>
    <t>841060125346</t>
  </si>
  <si>
    <t>Hippie Rose Juniors Striped Pullover Hood Mountain Blue L</t>
  </si>
  <si>
    <t>841060125360</t>
  </si>
  <si>
    <t>Hippie Rose Juniors Striped Pullover Hood Olive Branch XS</t>
  </si>
  <si>
    <t>841060125292</t>
  </si>
  <si>
    <t>Hippie Rose Juniors Striped Pullover Hood Moonstone L</t>
  </si>
  <si>
    <t>674153672744</t>
  </si>
  <si>
    <t>Say What Juniors Off-The-Shoulder Blou Olive XL</t>
  </si>
  <si>
    <t>889901064157</t>
  </si>
  <si>
    <t>Hooked Up by IOT Juniors Rib-Knit Zipper-Back Fall Rust L</t>
  </si>
  <si>
    <t>190121196178</t>
  </si>
  <si>
    <t>Mighty Fine Juniors Disney Mickey Minni Cream S</t>
  </si>
  <si>
    <t>841060124639</t>
  </si>
  <si>
    <t>Hippie Rose Juniors Long-Sleeve Zip Hoodi Light Heather Grey M</t>
  </si>
  <si>
    <t>887854012485</t>
  </si>
  <si>
    <t>Miss Chievous Juniors Embellished Pleated C Candy Apple M</t>
  </si>
  <si>
    <t>695532437792</t>
  </si>
  <si>
    <t>Ultra Flirt Juniors Sleeveless Striped Sh Blue Combo S</t>
  </si>
  <si>
    <t>5R22MC</t>
  </si>
  <si>
    <t>637677212544</t>
  </si>
  <si>
    <t>Belle Du Jour Juniors Lace-Trim Hoodie Tuni Ivory L</t>
  </si>
  <si>
    <t>841060122277</t>
  </si>
  <si>
    <t>Hippie Rose Juniors Printed Pullover Swea Tapestry S</t>
  </si>
  <si>
    <t>695532486554</t>
  </si>
  <si>
    <t>Ultra Flirt Juniors Space-Dyed Tie-Neck T Tawny Port Black Spacedye XS</t>
  </si>
  <si>
    <t>841060122055</t>
  </si>
  <si>
    <t>Hippie Rose Juniors Lace-Up Marled Knit T Heather Grey XL</t>
  </si>
  <si>
    <t>841060121454</t>
  </si>
  <si>
    <t>Hippie Rose Juniors Pullover Hoodie Olive BranchIvory XL</t>
  </si>
  <si>
    <t>887069475396</t>
  </si>
  <si>
    <t>Pink Rose Juniors Ruched-Side Fine-Gaug Heather OatmealBlack XL</t>
  </si>
  <si>
    <t>190344429244</t>
  </si>
  <si>
    <t>Hybrid Juniors Donut Sequin Cropped Heather Charcoal XS</t>
  </si>
  <si>
    <t>190344429091</t>
  </si>
  <si>
    <t>Hybrid Juniors Wink Sequin Graphic S Pearl XS</t>
  </si>
  <si>
    <t>695532437556</t>
  </si>
  <si>
    <t>Ultra Flirt Juniors Marled High-Low Pullo Mustard M</t>
  </si>
  <si>
    <t>705143716169</t>
  </si>
  <si>
    <t>Energie Juniors Britney Foldover Jogg Caviar XXS</t>
  </si>
  <si>
    <t>887069330640</t>
  </si>
  <si>
    <t>Material Girl Juniors Rib-Knit-Trimmed Legg Black L</t>
  </si>
  <si>
    <t>40022BK204</t>
  </si>
  <si>
    <t>887069330633</t>
  </si>
  <si>
    <t>Material Girl Juniors Rib-Knit-Trimmed Legg Black M</t>
  </si>
  <si>
    <t>190040298366</t>
  </si>
  <si>
    <t>Almost Famous Juniors Lace-Trim Roll-Sleeve Burgundy M</t>
  </si>
  <si>
    <t>190040251347</t>
  </si>
  <si>
    <t>Almost Famous Juniors Printed High-Low Tank BlackWhiteGrey XL</t>
  </si>
  <si>
    <t>190040280385</t>
  </si>
  <si>
    <t>Almost Famous Juniors Lace-Back Waffle-Knit Cream S</t>
  </si>
  <si>
    <t>705143707938</t>
  </si>
  <si>
    <t>Energie Juniors Bree Mesh-Back Sports GreyBerry S</t>
  </si>
  <si>
    <t>695532489197</t>
  </si>
  <si>
    <t>Ultra Flirt Juniors Lace-Up Pullover Top Heather Grey L</t>
  </si>
  <si>
    <t>645545923645</t>
  </si>
  <si>
    <t>Trolls by DreamWorks Juniors Trolls Graphic Tank T Black M</t>
  </si>
  <si>
    <t>645545892743</t>
  </si>
  <si>
    <t>Material Girl Juniors Cutout-Back Graphic T Limearita XS</t>
  </si>
  <si>
    <t>887648644366</t>
  </si>
  <si>
    <t>Trolls by DreamWorks Juniors Trolls Graphic Raglan WhitePurple Heather XS</t>
  </si>
  <si>
    <t>695532486868</t>
  </si>
  <si>
    <t>Ultra Flirt Juniors Waffle-Knit Stripe-Sl BlackWhite S</t>
  </si>
  <si>
    <t>695532393890</t>
  </si>
  <si>
    <t>Ultra Flirt Juniors Scoop-Neck Top Blackwhite Stripe M</t>
  </si>
  <si>
    <t>695532409683</t>
  </si>
  <si>
    <t>Ultra Flirt Juniors Printed Pullover Top Hippie Stripe S</t>
  </si>
  <si>
    <t>645545954076</t>
  </si>
  <si>
    <t>Rebellious One Rebellious One Juniors Patche Olive Ivory XL</t>
  </si>
  <si>
    <t>693401567946</t>
  </si>
  <si>
    <t>NTD Juniors St. Patricks Graphic WhiteGrey Mix S</t>
  </si>
  <si>
    <t>887648661585</t>
  </si>
  <si>
    <t>Freeze 24-7 Juniors Marvel Heroes Metalli WhiteBlack XS</t>
  </si>
  <si>
    <t>190344411553</t>
  </si>
  <si>
    <t>Trolls by DreamWorks Juniors Trolls Lace-Up Graphi Crystal Pink L</t>
  </si>
  <si>
    <t>190371275852</t>
  </si>
  <si>
    <t>Bioworld Juniors Graphic T-Shirt Red L</t>
  </si>
  <si>
    <t>758315007770</t>
  </si>
  <si>
    <t>645545882935</t>
  </si>
  <si>
    <t>Material Girl Juniors Printed Pull-On Short Flashmode S</t>
  </si>
  <si>
    <t>M6502FS212</t>
  </si>
  <si>
    <t>705143602721</t>
  </si>
  <si>
    <t>Energie Juniors Scoop-Neck Top Antique White L</t>
  </si>
  <si>
    <t>705143664453</t>
  </si>
  <si>
    <t>Energie Juniors Scoop-Neck Top Jester Red XL</t>
  </si>
  <si>
    <t>829864220597</t>
  </si>
  <si>
    <t>Planet Gold Juniors Printed Holiday Leggi Red LightsReindeer Combo M</t>
  </si>
  <si>
    <t>749709252869</t>
  </si>
  <si>
    <t>749709283641</t>
  </si>
  <si>
    <t>Blondie Nites Juniors Embellished Popover P SilverBlack 3</t>
  </si>
  <si>
    <t>637865184042</t>
  </si>
  <si>
    <t>Calvin Klein Jeans Lace-Up-Shoulder Denim Shirt Alexa Midblue Wash M</t>
  </si>
  <si>
    <t>637865199053</t>
  </si>
  <si>
    <t>Calvin Klein Jeans Denim Pencil Skirt Rinse 33</t>
  </si>
  <si>
    <t>637865186688</t>
  </si>
  <si>
    <t>Calvin Klein Jeans High Rise Ankle Skinny Jeans Rinse 33</t>
  </si>
  <si>
    <t>637865223727</t>
  </si>
  <si>
    <t>Calvin Klein Jeans Lace-Trim Long-Sleeve Top Lead M</t>
  </si>
  <si>
    <t>822980611805</t>
  </si>
  <si>
    <t>LEED JD CHARLESTON WIDE L</t>
  </si>
  <si>
    <t>637865192917</t>
  </si>
  <si>
    <t>Calvin Klein Jeans Lace-Trim V-Neck Top Pucker Pink XL</t>
  </si>
  <si>
    <t>889237824913</t>
  </si>
  <si>
    <t>BLK STRP DRESS</t>
  </si>
  <si>
    <t>I5704T29Q3</t>
  </si>
  <si>
    <t>841907136528</t>
  </si>
  <si>
    <t>Indigo Rein Juniors Cuffed Fischer Wash S Fischer Wash 5</t>
  </si>
  <si>
    <t>784645326021</t>
  </si>
  <si>
    <t>BLUE 27-10 SLIDER WITH FR</t>
  </si>
  <si>
    <t>R2143N3FY</t>
  </si>
  <si>
    <t>784645325833</t>
  </si>
  <si>
    <t>887043721709</t>
  </si>
  <si>
    <t>Celebrity Pink Juniors Skinny Jeans Everglade 11</t>
  </si>
  <si>
    <t>887043733801</t>
  </si>
  <si>
    <t>Celebrity Pink Juniors Skinny Jeans Spectra Yellow 7</t>
  </si>
  <si>
    <t>826410676136</t>
  </si>
  <si>
    <t>BCX Juniors Lace Cold-Shoulder To BlackPink L</t>
  </si>
  <si>
    <t>619720919662</t>
  </si>
  <si>
    <t>Be Bop Juniors Floral-Print Romper BlueViolet XL</t>
  </si>
  <si>
    <t>JFSFD004060</t>
  </si>
  <si>
    <t>886542631694</t>
  </si>
  <si>
    <t>B Darlin Juniors Open-Back Rhinestone- GoldBlack 910</t>
  </si>
  <si>
    <t>W33149OW</t>
  </si>
  <si>
    <t>784645069850</t>
  </si>
  <si>
    <t>American Rag Crocheted Faux-Suede A-Line Sk Midnight Blue L</t>
  </si>
  <si>
    <t>822980915583</t>
  </si>
  <si>
    <t>Jessica Simpson Binx Bodycon Tank Dress Black XS</t>
  </si>
  <si>
    <t>6BK03LGC</t>
  </si>
  <si>
    <t>759880685325</t>
  </si>
  <si>
    <t>American Rag Juniors Button-Down Faux-Sued Tan 9</t>
  </si>
  <si>
    <t>42ZK913</t>
  </si>
  <si>
    <t>826409520365</t>
  </si>
  <si>
    <t>BCX Juniors High-Low Cowl-Neck Sw Black S</t>
  </si>
  <si>
    <t>829092247076</t>
  </si>
  <si>
    <t>XOXO Juniors Mock-Neck Grommet Top Ivory XL</t>
  </si>
  <si>
    <t>826409630125</t>
  </si>
  <si>
    <t>BCX Juniors Belted Cutout Fit F Red XL</t>
  </si>
  <si>
    <t>889602109881</t>
  </si>
  <si>
    <t>Freshman Juniors One-Button Knit Blaze Secluded XS</t>
  </si>
  <si>
    <t>791093337684</t>
  </si>
  <si>
    <t>Trolls by DreamWorks Juniors Printed Cold-Shoulder Grey M</t>
  </si>
  <si>
    <t>887840185988</t>
  </si>
  <si>
    <t>Emerald Sundae Juniors Knit Dress with Knot- BlackRed XS</t>
  </si>
  <si>
    <t>619720907294</t>
  </si>
  <si>
    <t>Be Bop Juniors High-Waist Bootcut Tr Navy 3</t>
  </si>
  <si>
    <t>887043646514</t>
  </si>
  <si>
    <t>Celebrity Pink Juniors Skinny Ponte Pants Burnt Red 5S</t>
  </si>
  <si>
    <t>705143707686</t>
  </si>
  <si>
    <t>Energie Juniors Colorblocked Hoodie J Light Pastel Grey M</t>
  </si>
  <si>
    <t>887043661258</t>
  </si>
  <si>
    <t>Celebrity Pink Juniors Skinny Ponte Pants Heather Charcoal 7</t>
  </si>
  <si>
    <t>889602133350</t>
  </si>
  <si>
    <t>Jessica Simpson Juniors High-Impact Printed S Midnight Garden XL</t>
  </si>
  <si>
    <t>3K31965MC</t>
  </si>
  <si>
    <t>1115- JS215</t>
  </si>
  <si>
    <t>887409049843</t>
  </si>
  <si>
    <t>Polly Esther Juniors Plaid Roll-Sleeve Shi RedGrey L</t>
  </si>
  <si>
    <t>645545892361</t>
  </si>
  <si>
    <t>Material Girl Juniors Graphic Tank Top Island Cobalt M</t>
  </si>
  <si>
    <t>190344361841</t>
  </si>
  <si>
    <t>Trolls by DreamWorks Juniors Trolls Poppy Graphic Deep Teal L</t>
  </si>
  <si>
    <t>190344393927</t>
  </si>
  <si>
    <t>Hybrid Juniors Graphic Raglan T-Shir WhiteNavy S</t>
  </si>
  <si>
    <t>190344393934</t>
  </si>
  <si>
    <t>693401668087</t>
  </si>
  <si>
    <t>2-Kuhl Juniors Cuffed-Sleeve Sunset Grey Mix M</t>
  </si>
  <si>
    <t>I8277J907</t>
  </si>
  <si>
    <t>645545873643</t>
  </si>
  <si>
    <t>Pretty Rebellious Juniors High-Low Tie-Front Ta Whiteblack L</t>
  </si>
  <si>
    <t>645545873629</t>
  </si>
  <si>
    <t>Pretty Rebellious Juniors High-Low Tie-Front Ta Whiteblack S</t>
  </si>
  <si>
    <t>708008341049</t>
  </si>
  <si>
    <t>GS689080</t>
  </si>
  <si>
    <t>KAJ8269I</t>
  </si>
  <si>
    <t>661414494795</t>
  </si>
  <si>
    <t>Teeze Me Juniors Embellished Illusion Black 5</t>
  </si>
  <si>
    <t>H162946</t>
  </si>
  <si>
    <t>826410256802</t>
  </si>
  <si>
    <t>BCX Juniors Sequin-Lace Illusion BlackSilver 11</t>
  </si>
  <si>
    <t>844620199566</t>
  </si>
  <si>
    <t>American Rag Embellished Dip-Dyed Tank Top Zinfandel M</t>
  </si>
  <si>
    <t>889775066707</t>
  </si>
  <si>
    <t>American Rag Crocheted-Back Handkerchief-He Light Gray Combo M</t>
  </si>
  <si>
    <t>6MK08CDN</t>
  </si>
  <si>
    <t>6MK04EG</t>
  </si>
  <si>
    <t>888825958894</t>
  </si>
  <si>
    <t>Tinseltown Juniors Sweater-Sleeve Denim Reflection L</t>
  </si>
  <si>
    <t>1075T39</t>
  </si>
  <si>
    <t>ABR7221BD2</t>
  </si>
  <si>
    <t>826410469264</t>
  </si>
  <si>
    <t>BCX Juniors Lace Cold-Shoulder To Black XL</t>
  </si>
  <si>
    <t>1058Y1H</t>
  </si>
  <si>
    <t>889602133312</t>
  </si>
  <si>
    <t>Jessica Simpson Juniors High-Impact Printed S Midnight Garden XS</t>
  </si>
  <si>
    <t>889901093980</t>
  </si>
  <si>
    <t>Hooked Up by IOT Juniors Sleeveless Mock-Turtl VinoMood Indigo L</t>
  </si>
  <si>
    <t>841060120525</t>
  </si>
  <si>
    <t>Hippie Rose Juniors Crocheted-Back Handke Dusty Pink S</t>
  </si>
  <si>
    <t>695532478030</t>
  </si>
  <si>
    <t>Ultra Flirt Juniors Rib-Knit Turtleneck T Burgundy L</t>
  </si>
  <si>
    <t>887648644427</t>
  </si>
  <si>
    <t>Trolls by DreamWorks Juniors Trolls Graphic Raglan WhiteOlive XS</t>
  </si>
  <si>
    <t>695532482006</t>
  </si>
  <si>
    <t>Ultra Flirt Juniors Rugby T-Shirt Dress Maroon M</t>
  </si>
  <si>
    <t>637865184264</t>
  </si>
  <si>
    <t>Calvin Klein Jeans Printed Pocketed Top Black Night L</t>
  </si>
  <si>
    <t>889775074429</t>
  </si>
  <si>
    <t>889775074375</t>
  </si>
  <si>
    <t>637865105276</t>
  </si>
  <si>
    <t>Calvin Klein Jeans Coated Button-Front Denim Skir Black on Black 14</t>
  </si>
  <si>
    <t>791093337738</t>
  </si>
  <si>
    <t>Trolls by DreamWorks Juniors Faux-Leather- Moto Ja Black M</t>
  </si>
  <si>
    <t>JK1167J1GADM</t>
  </si>
  <si>
    <t>829092263021</t>
  </si>
  <si>
    <t>XOXO Juniors Faux-Leather Pencil S Burgundy L</t>
  </si>
  <si>
    <t>713701103399</t>
  </si>
  <si>
    <t>American Rag Cold-Shoulder High-Low Peasant Off White XXL</t>
  </si>
  <si>
    <t>784645069829</t>
  </si>
  <si>
    <t>American Rag Crocheted Faux-Suede A-Line Sk Midnight Blue XS</t>
  </si>
  <si>
    <t>784645069836</t>
  </si>
  <si>
    <t>American Rag Crocheted Faux-Suede A-Line Sk Midnight Blue XXL</t>
  </si>
  <si>
    <t>889387972755</t>
  </si>
  <si>
    <t>Trixxi Juniors Printed Mock-Neck Cut NavyMulti S</t>
  </si>
  <si>
    <t>EGC2630006</t>
  </si>
  <si>
    <t>0096V9H</t>
  </si>
  <si>
    <t>695532459398</t>
  </si>
  <si>
    <t>Ultra Flirt Juniors Drop-Shoulder Jacquar Tawny PortGardenia S</t>
  </si>
  <si>
    <t>887069476362</t>
  </si>
  <si>
    <t>Pink Rose Juniors Striped Fine-Gauge Sw Heather OatmealIvoryDried ka S</t>
  </si>
  <si>
    <t>887409049720</t>
  </si>
  <si>
    <t>Polly Esther Juniors Plaid Roll-Sleeve Shi NavyGreen S</t>
  </si>
  <si>
    <t>JC1940W369</t>
  </si>
  <si>
    <t>705143715346</t>
  </si>
  <si>
    <t>Energie Juniors Autumn Colorblocked Y Electric Strawberry XL</t>
  </si>
  <si>
    <t>705143715384</t>
  </si>
  <si>
    <t>Energie Juniors Autumn Colorblocked Y Wine TastingCaviar M</t>
  </si>
  <si>
    <t>637677171308</t>
  </si>
  <si>
    <t>Belle Du Jour Juniors V-Neck Necklace T-Shi Heather Grey M</t>
  </si>
  <si>
    <t>693401668094</t>
  </si>
  <si>
    <t>2-Kuhl Juniors Cuffed-Sleeve Sunset Grey Mix L</t>
  </si>
  <si>
    <t>190371228131</t>
  </si>
  <si>
    <t>Bioworld Juniors Graphic Tank Top Black M</t>
  </si>
  <si>
    <t>749709218605</t>
  </si>
  <si>
    <t>SHT 2TNE LUB</t>
  </si>
  <si>
    <t>211R192DINC</t>
  </si>
  <si>
    <t>759880883271</t>
  </si>
  <si>
    <t>784645325819</t>
  </si>
  <si>
    <t>INDI GUT BUSTER LEGGING</t>
  </si>
  <si>
    <t>R1344F9RW</t>
  </si>
  <si>
    <t>661414481023</t>
  </si>
  <si>
    <t>Teeze Me Juniors Shine Corset-Bodice G ChampagneLilac 3</t>
  </si>
  <si>
    <t>N373130</t>
  </si>
  <si>
    <t>39373642197</t>
  </si>
  <si>
    <t>CeCe Floral Graphic T-Shirt Dress Rich Black 2</t>
  </si>
  <si>
    <t>815224023168</t>
  </si>
  <si>
    <t>M1858 Kristen Ripped Ballard Wash Sk Ballard 25</t>
  </si>
  <si>
    <t>50X41</t>
  </si>
  <si>
    <t>637865105221</t>
  </si>
  <si>
    <t>Calvin Klein Jeans Coated Button-Front Denim Skir Black on Black 4</t>
  </si>
  <si>
    <t>708008331422</t>
  </si>
  <si>
    <t>City Studios Juniors Embellished Pleated-B White 11</t>
  </si>
  <si>
    <t>9560ZG4CT3</t>
  </si>
  <si>
    <t>637865185643</t>
  </si>
  <si>
    <t>Calvin Klein Jeans Drop-Waist Peasant Top Shell Pink S</t>
  </si>
  <si>
    <t>829092164366</t>
  </si>
  <si>
    <t>XOXO Juniors Embellished Cutout Ju Ivory XL</t>
  </si>
  <si>
    <t>9532HVT8</t>
  </si>
  <si>
    <t>885608668070</t>
  </si>
  <si>
    <t>Levis 710 Super Skinny Jeans, Tranqu Golden Daze 26 US 2 R</t>
  </si>
  <si>
    <t>659337592667</t>
  </si>
  <si>
    <t>Jump Juniors Lattice-Lace Fit Fl BlackNude S</t>
  </si>
  <si>
    <t>659337592681</t>
  </si>
  <si>
    <t>Jump Juniors Lattice-Lace Fit Fl BlackNude L</t>
  </si>
  <si>
    <t>829092248165</t>
  </si>
  <si>
    <t>XOXO Juniors Beaded V-Back Fit-and Ivory M</t>
  </si>
  <si>
    <t>822980864218</t>
  </si>
  <si>
    <t>Jessica Simpson Darlanne Mixed-Knit Illusion S Wine XL</t>
  </si>
  <si>
    <t>746194682652</t>
  </si>
  <si>
    <t>Marilyn Monroe Juniors Hardware-Trim Fit F White XS</t>
  </si>
  <si>
    <t>MLD607</t>
  </si>
  <si>
    <t>889387986561</t>
  </si>
  <si>
    <t>Trixxi Juniors Illusion-Back Lace A- BlackNude 9</t>
  </si>
  <si>
    <t>889775066622</t>
  </si>
  <si>
    <t>American Rag Denim Overall Jumper Rosalee Wash 7</t>
  </si>
  <si>
    <t>889775044088</t>
  </si>
  <si>
    <t>American Rag White Denim Jacket White XS</t>
  </si>
  <si>
    <t>6SD56OW</t>
  </si>
  <si>
    <t>826410223149</t>
  </si>
  <si>
    <t>BCX Juniors Crocheted Lace Fit Wine 9</t>
  </si>
  <si>
    <t>822982628054</t>
  </si>
  <si>
    <t>Jessica Simpson Lise Lace-Up Embroidered Top Sky Captain Blue XL</t>
  </si>
  <si>
    <t>829092269818</t>
  </si>
  <si>
    <t>XOXO Juniors Wide-Leg Sailor Trous Navy 910</t>
  </si>
  <si>
    <t>886542590021</t>
  </si>
  <si>
    <t>B Darlin Juniors Printed Strapless She WhiteBlack 1314</t>
  </si>
  <si>
    <t>I362F580</t>
  </si>
  <si>
    <t>637865223468</t>
  </si>
  <si>
    <t>Calvin Klein Jeans Elbow-Sleeve Sequined Top Spanish Vanilla XL</t>
  </si>
  <si>
    <t>637865088883</t>
  </si>
  <si>
    <t>Calvin Klein Jeans High-Low-Hem V-Neck Top Plum Cherry S</t>
  </si>
  <si>
    <t>889775086767</t>
  </si>
  <si>
    <t>American Rag Printed Tie-Front Blouse Oatmeal Combo XXL</t>
  </si>
  <si>
    <t>889775076324</t>
  </si>
  <si>
    <t>American Rag Printed Tassel-Tie Peasant Blo Black Combo M</t>
  </si>
  <si>
    <t>713701103351</t>
  </si>
  <si>
    <t>American Rag Cold-Shoulder High-Low Peasant Off White S</t>
  </si>
  <si>
    <t>889775069807</t>
  </si>
  <si>
    <t>American Rag Printed Tie-Front Blouse White Combo S</t>
  </si>
  <si>
    <t>784645069843</t>
  </si>
  <si>
    <t>822982676055</t>
  </si>
  <si>
    <t>Jessica Simpson Regine Floral Burnout Peplum T Beet Red S</t>
  </si>
  <si>
    <t>822980913596</t>
  </si>
  <si>
    <t>Jessica Simpson Binx Bodycon Tank Dress Brown S</t>
  </si>
  <si>
    <t>822980913619</t>
  </si>
  <si>
    <t>Jessica Simpson Binx Bodycon Tank Dress Brown XS</t>
  </si>
  <si>
    <t>822980915552</t>
  </si>
  <si>
    <t>Jessica Simpson Binx Bodycon Tank Dress Black M</t>
  </si>
  <si>
    <t>822980913572</t>
  </si>
  <si>
    <t>Jessica Simpson Binx Bodycon Tank Dress Brown L</t>
  </si>
  <si>
    <t>889775058290</t>
  </si>
  <si>
    <t>American Rag Printed Palazzo Pants Orange Multi L</t>
  </si>
  <si>
    <t>6MN44BVC</t>
  </si>
  <si>
    <t>889775062624</t>
  </si>
  <si>
    <t>American Rag Plus Size Pintucked Tee Jacoranda 0X</t>
  </si>
  <si>
    <t>P5MQ59JCR</t>
  </si>
  <si>
    <t>887840191620</t>
  </si>
  <si>
    <t>Emerald Sundae Juniors Printed Split-Sleeve Eggplant Multi M</t>
  </si>
  <si>
    <t>601350933743</t>
  </si>
  <si>
    <t>Speechless Juniors Lace Ruffled-Neck Shi Jade XS</t>
  </si>
  <si>
    <t>JA84801HTL</t>
  </si>
  <si>
    <t>829092235165</t>
  </si>
  <si>
    <t>XOXO Juniors Plaid Button-Front Mi Navy L</t>
  </si>
  <si>
    <t>889901068322</t>
  </si>
  <si>
    <t>Hooked Up by IOT Juniors Santa Light-Up Pullov Grey Marl S</t>
  </si>
  <si>
    <t>J60908</t>
  </si>
  <si>
    <t>889351234957</t>
  </si>
  <si>
    <t>Roxy Juniors Printed T-Back Shift Bright Purple XL</t>
  </si>
  <si>
    <t>887043618795</t>
  </si>
  <si>
    <t>Celebrity Pink Juniors Light Wash Skinny Jea Free Spirit 0</t>
  </si>
  <si>
    <t>887043622860</t>
  </si>
  <si>
    <t>Celebrity Pink Juniors Light Wash Skinny Jea Rumba Red 5</t>
  </si>
  <si>
    <t>887043500434</t>
  </si>
  <si>
    <t>Celebrity Pink Juniors Light Wash Skinny Jea Mystic Falls 1</t>
  </si>
  <si>
    <t>889775060194</t>
  </si>
  <si>
    <t>American Rag Embroidered Smocked-Waist Peas White Combo S</t>
  </si>
  <si>
    <t>889775060224</t>
  </si>
  <si>
    <t>American Rag Embroidered Smocked-Waist Peas White Combo XL</t>
  </si>
  <si>
    <t>889387960967</t>
  </si>
  <si>
    <t>Trixxi Juniors Sleeveless Striped Fi BlackWhite XL</t>
  </si>
  <si>
    <t>829092247069</t>
  </si>
  <si>
    <t>XOXO Juniors Mock-Neck Grommet Top Ivory M</t>
  </si>
  <si>
    <t>791093294239</t>
  </si>
  <si>
    <t>Alice Through The Looking Glas Juniors High-Waist Military S White L</t>
  </si>
  <si>
    <t>744199722076</t>
  </si>
  <si>
    <t>Dollhouse Juniors Paint Splatter Dark W Light Wash 13</t>
  </si>
  <si>
    <t>744199720409</t>
  </si>
  <si>
    <t>Dollhouse Juniors Paint Splatter Dark W Tina Wash 11</t>
  </si>
  <si>
    <t>744199722052</t>
  </si>
  <si>
    <t>Dollhouse Juniors Paint Splatter Dark W Light Wash 9</t>
  </si>
  <si>
    <t>744199720393</t>
  </si>
  <si>
    <t>Dollhouse Juniors Paint Splatter Dark W Tina Wash 9</t>
  </si>
  <si>
    <t>791093319864</t>
  </si>
  <si>
    <t>In Awe of You by AwesomenessTV Juniors Tie-Neck High-Low Shi White L</t>
  </si>
  <si>
    <t>826409142697</t>
  </si>
  <si>
    <t>BCX Juniors Printed Necklace Romp Multi L</t>
  </si>
  <si>
    <t>887840191712</t>
  </si>
  <si>
    <t>Emerald Sundae Juniors Mock-Neck Colorblock OliveBlack L</t>
  </si>
  <si>
    <t>841907122507</t>
  </si>
  <si>
    <t>Indigo Rein Juniors Reverse-Selvedge Ligh Light Blue 9</t>
  </si>
  <si>
    <t>RR5403C8MZ</t>
  </si>
  <si>
    <t>841907122712</t>
  </si>
  <si>
    <t>Indigo Rein Juniors Reverse-Selvedge Dark Medium Blue 3</t>
  </si>
  <si>
    <t>841907104022</t>
  </si>
  <si>
    <t>Indigo Rein Juniors White Wash Ripped Ski Light Blue 9</t>
  </si>
  <si>
    <t>826409893469</t>
  </si>
  <si>
    <t>BCX Juniors Contrast Lace-Trim Pe White M</t>
  </si>
  <si>
    <t>887043693846</t>
  </si>
  <si>
    <t>Celebrity Pink Juniors Flocked Skinny Jeans Burnt Red 11</t>
  </si>
  <si>
    <t>826409939549</t>
  </si>
  <si>
    <t>BCX Juniors Printed Cold-Shoulder Zig Zag Multi L</t>
  </si>
  <si>
    <t>887840185735</t>
  </si>
  <si>
    <t>Emerald Sundae Juniors Knit Dress with Knot- BlackWhite XXS</t>
  </si>
  <si>
    <t>614015973848</t>
  </si>
  <si>
    <t>Rewash Juniors High-Waist Black Rins Dark Wash 7</t>
  </si>
  <si>
    <t>887043632883</t>
  </si>
  <si>
    <t>Celebrity Pink Juniors Super-Soft Skinny Jea Bystander 15</t>
  </si>
  <si>
    <t>822240283063</t>
  </si>
  <si>
    <t>BCX Juniors Sleeveless Necklace B Coral XL</t>
  </si>
  <si>
    <t>1059A84</t>
  </si>
  <si>
    <t>826409604966</t>
  </si>
  <si>
    <t>BCX Juniors Rib-Knit Sweater Dres Dark Gray L</t>
  </si>
  <si>
    <t>826409929397</t>
  </si>
  <si>
    <t>BCX Juniors Plaid Tiered Tie-Neck Plaid S</t>
  </si>
  <si>
    <t>1088T8J</t>
  </si>
  <si>
    <t>614015967182</t>
  </si>
  <si>
    <t>Rewash Juniors Ripped Skinny Ankle J Wine 11</t>
  </si>
  <si>
    <t>826410973013</t>
  </si>
  <si>
    <t>BCX Juniors Cropped Bootcut Trous Black 0</t>
  </si>
  <si>
    <t>889901068490</t>
  </si>
  <si>
    <t>Hooked Up by IOT Juniors Elf Reindeer Pullov Grey Marl XS</t>
  </si>
  <si>
    <t>888825991983</t>
  </si>
  <si>
    <t>Tinseltown Juniors Moto Burgundy Wash Sk RedBlack 5</t>
  </si>
  <si>
    <t>887043643032</t>
  </si>
  <si>
    <t>Celebrity Pink Juniors Denim Overall Dress Burnt Red XS</t>
  </si>
  <si>
    <t>888825991969</t>
  </si>
  <si>
    <t>Tinseltown Juniors Moto Burgundy Wash Sk RedBlack 1</t>
  </si>
  <si>
    <t>887043615596</t>
  </si>
  <si>
    <t>Celebrity Pink Juniors Skinny Jeans Desert Sun 7</t>
  </si>
  <si>
    <t>614015968370</t>
  </si>
  <si>
    <t>Rewash Juniors Pull-On Jeggings Super Dark BlueBlack 11</t>
  </si>
  <si>
    <t>889602077494</t>
  </si>
  <si>
    <t>Freshman Juniors Striped Ponte-Knit Bl SlackWhite Chocolate XL</t>
  </si>
  <si>
    <t>1K11562MC</t>
  </si>
  <si>
    <t>695532487759</t>
  </si>
  <si>
    <t>Ultra Flirt Juniors Bae Pullover Sweater Ivory L</t>
  </si>
  <si>
    <t>6AE32MC</t>
  </si>
  <si>
    <t>889602077470</t>
  </si>
  <si>
    <t>Freshman Juniors Striped Ponte-Knit Bl SlackWhite Chocolate M</t>
  </si>
  <si>
    <t>650868920363</t>
  </si>
  <si>
    <t>BCX Juniors Pull-On Skinny Pants Black L</t>
  </si>
  <si>
    <t>840523181073</t>
  </si>
  <si>
    <t>Indigo Rein Juniors Ripped Light Wash Ski Dark Blue 15</t>
  </si>
  <si>
    <t>619720888616</t>
  </si>
  <si>
    <t>Be Bop Juniors Crochet-Trim Shift Dr Chambray S</t>
  </si>
  <si>
    <t>JFY26Y14745</t>
  </si>
  <si>
    <t>889602093142</t>
  </si>
  <si>
    <t>Freshman Juniors Hooded Drawstring-Hem Coffee MilkBlank Canvas L</t>
  </si>
  <si>
    <t>708008319277</t>
  </si>
  <si>
    <t>City Studios Juniors Printed Maxi Dress Blue S</t>
  </si>
  <si>
    <t>4901GZ1BT1</t>
  </si>
  <si>
    <t>645545917477</t>
  </si>
  <si>
    <t>Material Girl Juniors Graphic Pullover Hood Flashmode XL</t>
  </si>
  <si>
    <t>841413124828</t>
  </si>
  <si>
    <t>OhMG Juniors Love Sequin Marled Sw Charcoal Grey XL</t>
  </si>
  <si>
    <t>887648644854</t>
  </si>
  <si>
    <t>Disney Juniors Sleepy Patch Graphic Burgundy S</t>
  </si>
  <si>
    <t>887043640994</t>
  </si>
  <si>
    <t>Celebrity Pink Juniors Button-Front Mini A-L Iron Gate M</t>
  </si>
  <si>
    <t>841413124569</t>
  </si>
  <si>
    <t>OhMG Juniors Lace-Up High-Low Swea Medieval Blue L</t>
  </si>
  <si>
    <t>841413124583</t>
  </si>
  <si>
    <t>OhMG Juniors Lace-Up High-Low Swea Oatmeal XS</t>
  </si>
  <si>
    <t>706256026787</t>
  </si>
  <si>
    <t>Material Girl Juniors Printed Foldover-Wais Limearita XS</t>
  </si>
  <si>
    <t>841060121553</t>
  </si>
  <si>
    <t>Pink Rose Juniors Raglan-Sleeve Fine-Ga BlackHeather Oatmeal XL</t>
  </si>
  <si>
    <t>885615497786</t>
  </si>
  <si>
    <t>Jenni Sports Bra Natural Leopard XL</t>
  </si>
  <si>
    <t>64135P212</t>
  </si>
  <si>
    <t>843561081305</t>
  </si>
  <si>
    <t>Miss Chievous Juniors Crochet-Trim Tie-Fron Black S</t>
  </si>
  <si>
    <t>843561081404</t>
  </si>
  <si>
    <t>Miss Chievous Juniors Crochet-Trim Tie-Fron Silver Pink S</t>
  </si>
  <si>
    <t>705143715407</t>
  </si>
  <si>
    <t>Energie Juniors Autumn Colorblocked Y Wine TastingCaviar XL</t>
  </si>
  <si>
    <t>705143715322</t>
  </si>
  <si>
    <t>Energie Juniors Autumn Colorblocked Y Electric Strawberry M</t>
  </si>
  <si>
    <t>843561067972</t>
  </si>
  <si>
    <t>Miss Chievous Juniors Printed Crochet-Trim Pool Party S</t>
  </si>
  <si>
    <t>887409046545</t>
  </si>
  <si>
    <t>Polly Esther Juniors Plaid Button-Down Tun Coralolive S</t>
  </si>
  <si>
    <t>705143714875</t>
  </si>
  <si>
    <t>Energie Juniors Erica Colorblocked Yo CaviarWine Tasting XS</t>
  </si>
  <si>
    <t>695532431837</t>
  </si>
  <si>
    <t>Ultra Flirt Juniors Lace-Up Rib-Knit T-Sh Pink L</t>
  </si>
  <si>
    <t>190040298397</t>
  </si>
  <si>
    <t>Almost Famous Juniors Lace-Trim Roll-Sleeve Ivory XS</t>
  </si>
  <si>
    <t>705143705569</t>
  </si>
  <si>
    <t>Energie Juniors Winnie Crisscross-Bac Heather Grey L</t>
  </si>
  <si>
    <t>841060117914</t>
  </si>
  <si>
    <t>Hippie Rose Juniors Sleeveless Lace-Up To Black XS</t>
  </si>
  <si>
    <t>841060117983</t>
  </si>
  <si>
    <t>Hippie Rose Juniors Sleeveless Lace-Up To BurgundyGold Tile Combo M</t>
  </si>
  <si>
    <t>705143708010</t>
  </si>
  <si>
    <t>Energie Juniors Bree Mesh-Back Sports BlackStrawberry XS</t>
  </si>
  <si>
    <t>695532485915</t>
  </si>
  <si>
    <t>Ultra Flirt Juniors Striped Surplice T-Sh Olive Night L</t>
  </si>
  <si>
    <t>3B639MC</t>
  </si>
  <si>
    <t>645545946163</t>
  </si>
  <si>
    <t>Rebellious One Juniors Asymmetrical-Hem Pock Heather Grey XS</t>
  </si>
  <si>
    <t>645545931428</t>
  </si>
  <si>
    <t>Material Girl Active Juniors Graphic Tank T Black XL</t>
  </si>
  <si>
    <t>887409047368</t>
  </si>
  <si>
    <t>Polly Esther Juniors Striped Scoop-Neck Cr Blackwhite XS</t>
  </si>
  <si>
    <t>887409058616</t>
  </si>
  <si>
    <t>Polly Esther Juniors Waffle-Knit Cold-Shou Rubber L</t>
  </si>
  <si>
    <t>190121167352</t>
  </si>
  <si>
    <t>Mighty Fine Juniors Peanuts Snoopy Appliq Heather Ash S</t>
  </si>
  <si>
    <t>F2641IEHA-MACY</t>
  </si>
  <si>
    <t>887648662063</t>
  </si>
  <si>
    <t>Disney Juniors Minnie Mouse Metallic True Black XS</t>
  </si>
  <si>
    <t>695532487308</t>
  </si>
  <si>
    <t>Ultra Flirt Juniors Scoop-Back Pullover T Tawny Port XS</t>
  </si>
  <si>
    <t>190344312218</t>
  </si>
  <si>
    <t>Hybrid Hybrid Juniors As If Handkerc Ash Grey M</t>
  </si>
  <si>
    <t>JS3416JPMT130</t>
  </si>
  <si>
    <t>190344363111</t>
  </si>
  <si>
    <t>Trolls by DreamWorks Juniors Trolls Graphic Ringer Mint Blue XL</t>
  </si>
  <si>
    <t>J10212JTRL0083</t>
  </si>
  <si>
    <t>190371197680</t>
  </si>
  <si>
    <t>TS4EVBSSQ</t>
  </si>
  <si>
    <t>695532471765</t>
  </si>
  <si>
    <t>Ultra Flirt Juniors Striped Split-Neck T- BurgundyBlack S</t>
  </si>
  <si>
    <t>190371197666</t>
  </si>
  <si>
    <t>Bioworld Juniors Suicide Squad Graphic White S</t>
  </si>
  <si>
    <t>190371197659</t>
  </si>
  <si>
    <t>Bioworld Juniors Suicide Squad Graphic White XS</t>
  </si>
  <si>
    <t>190371197673</t>
  </si>
  <si>
    <t>645545926233</t>
  </si>
  <si>
    <t>Rebellious One Juniors Tie-Front Top Heather Grey XS</t>
  </si>
  <si>
    <t>695532458858</t>
  </si>
  <si>
    <t>Ultra Flirt Juniors Striped-Sleeve T-Shir Tawny PortGardenia S</t>
  </si>
  <si>
    <t>695532458865</t>
  </si>
  <si>
    <t>Ultra Flirt Juniors Striped-Sleeve T-Shir Tawny PortGardenia M</t>
  </si>
  <si>
    <t>695532472243</t>
  </si>
  <si>
    <t>Ultra Flirt Juniors Striped Ringer T-Shir Olive NightBlack XL</t>
  </si>
  <si>
    <t>706254775557</t>
  </si>
  <si>
    <t>Material Girl Juniors Shadow-Stripe Tank To Bright White XL</t>
  </si>
  <si>
    <t>749709218612</t>
  </si>
  <si>
    <t>39373762987</t>
  </si>
  <si>
    <t>S/L BOWS DRESS</t>
  </si>
  <si>
    <t>637865225660</t>
  </si>
  <si>
    <t>Calvin Klein Jeans Low-Rise Skinny Jeans, Mid Use Windsor 27</t>
  </si>
  <si>
    <t>637865225721</t>
  </si>
  <si>
    <t>Calvin Klein Jeans Low-Rise Skinny Jeans, Mid Use Windsor 33</t>
  </si>
  <si>
    <t>637865225677</t>
  </si>
  <si>
    <t>Calvin Klein Jeans Low-Rise Skinny Jeans, Mid Use Windsor 28</t>
  </si>
  <si>
    <t>708008363195</t>
  </si>
  <si>
    <t>City Studios Juniors Embellished Lace-Fron Black 13</t>
  </si>
  <si>
    <t>889387991893</t>
  </si>
  <si>
    <t>Trixxi Cold-Shoulder Sheath Dress Black XL</t>
  </si>
  <si>
    <t>889631053612</t>
  </si>
  <si>
    <t>Crystal Doll Juniors Embellished Pleated P Fuchsia 7</t>
  </si>
  <si>
    <t>MLX13076I</t>
  </si>
  <si>
    <t>637865191422</t>
  </si>
  <si>
    <t>Calvin Klein Jeans Mixed-Media Sleeveless Top Gray M</t>
  </si>
  <si>
    <t>889387994825</t>
  </si>
  <si>
    <t>Trixxi Juniors Embroidered Shift Dre BlackWhite Combo L</t>
  </si>
  <si>
    <t>26N059HG9I</t>
  </si>
  <si>
    <t>886998480358</t>
  </si>
  <si>
    <t>886998463344</t>
  </si>
  <si>
    <t>886998480341</t>
  </si>
  <si>
    <t>886998480372</t>
  </si>
  <si>
    <t>886998463351</t>
  </si>
  <si>
    <t>614015985896</t>
  </si>
  <si>
    <t>Rewash Juniors Embroidered Colored S NavyTeal 15</t>
  </si>
  <si>
    <t>614015985728</t>
  </si>
  <si>
    <t>Rewash Juniors Ripped Blue Wash Skin Blue Wash 5</t>
  </si>
  <si>
    <t>614015985865</t>
  </si>
  <si>
    <t>Rewash Juniors Embroidered Colored S NavyTeal 9</t>
  </si>
  <si>
    <t>889775027241</t>
  </si>
  <si>
    <t>CERA RBN STRP MOLD CUP</t>
  </si>
  <si>
    <t>4MK90RCMC</t>
  </si>
  <si>
    <t>784645325895</t>
  </si>
  <si>
    <t>784645325918</t>
  </si>
  <si>
    <t>887043729859</t>
  </si>
  <si>
    <t>Celebrity Pink Juniors Dark Wash Skinny Jean Salinas 3</t>
  </si>
  <si>
    <t>CJ22003SS</t>
  </si>
  <si>
    <t>887043721648</t>
  </si>
  <si>
    <t>Celebrity Pink Juniors Skinny Jeans Everglade 0</t>
  </si>
  <si>
    <t>645545917279</t>
  </si>
  <si>
    <t>Material Girl Juniors Graphic Pullover Hood Heather Charcoal XS</t>
  </si>
  <si>
    <t>637677222406</t>
  </si>
  <si>
    <t>Belle Du Jour Juniors Fuzzy Hoodie Graphi Ivory M</t>
  </si>
  <si>
    <t>1BRXNSUY</t>
  </si>
  <si>
    <t>889901156760</t>
  </si>
  <si>
    <t>Hooked Up by IOT Juniors Cold-Shoulder Pullove Mood Indigo XS</t>
  </si>
  <si>
    <t>889602129063</t>
  </si>
  <si>
    <t>Freshman Juniors Open-Stitch Pullover Sage Green XS</t>
  </si>
  <si>
    <t>889667171595</t>
  </si>
  <si>
    <t>KINDERED</t>
  </si>
  <si>
    <t>SU6423002</t>
  </si>
  <si>
    <t>706256570709</t>
  </si>
  <si>
    <t>Material Girl Juniors Mesh-Trim Yoga Leggin Classic Black S</t>
  </si>
  <si>
    <t>619720919730</t>
  </si>
  <si>
    <t>Be Bop Juniors Floral-Print Romper VintageRose M</t>
  </si>
  <si>
    <t>887854083461</t>
  </si>
  <si>
    <t>Miss Chievous Joggers Black S</t>
  </si>
  <si>
    <t>JB2672S311</t>
  </si>
  <si>
    <t>841060123670</t>
  </si>
  <si>
    <t>Hippie Rose Juniors Cable-Front High-Low Mountain Blue S</t>
  </si>
  <si>
    <t>190040308331</t>
  </si>
  <si>
    <t>190040271482</t>
  </si>
  <si>
    <t>887409061067</t>
  </si>
  <si>
    <t>637865078266</t>
  </si>
  <si>
    <t>Calvin Klein Jeans Faux-Suede Moto Jacket Canoe XL</t>
  </si>
  <si>
    <t>42YO411</t>
  </si>
  <si>
    <t>708008311936</t>
  </si>
  <si>
    <t>City Studios Juniors Jeweled Illusion Gown Black 1</t>
  </si>
  <si>
    <t>39373695452</t>
  </si>
  <si>
    <t>CeCe Ruffled Turtleneck Sweater Light Cream M</t>
  </si>
  <si>
    <t>708008299357</t>
  </si>
  <si>
    <t>City Studios Juniors Embellished Cutout Ru Aqua 7</t>
  </si>
  <si>
    <t>8420EP1BTP</t>
  </si>
  <si>
    <t>708008299364</t>
  </si>
  <si>
    <t>City Studios Juniors Embellished Cutout Ru Aqua 9</t>
  </si>
  <si>
    <t>661414510877</t>
  </si>
  <si>
    <t>Teeze Me Juniors Fit Flare Two-Piece Sage Charcoal 11</t>
  </si>
  <si>
    <t>637865105269</t>
  </si>
  <si>
    <t>Calvin Klein Jeans Coated Button-Front Denim Skir Black on Black 12</t>
  </si>
  <si>
    <t>637865087206</t>
  </si>
  <si>
    <t>Calvin Klein Jeans Cold-Shoulder Shift Dress Black S</t>
  </si>
  <si>
    <t>42YD516</t>
  </si>
  <si>
    <t>661414510884</t>
  </si>
  <si>
    <t>Teeze Me Juniors Fit Flare Two-Piece Sage Charcoal 13</t>
  </si>
  <si>
    <t>637865015421</t>
  </si>
  <si>
    <t>Calvin Klein Jeans Straight-Leg Twilight Water Wa Twilight Water 30</t>
  </si>
  <si>
    <t>39373643446</t>
  </si>
  <si>
    <t>CeCe Layered-Look Peter Pan-Collar Rich Black XS</t>
  </si>
  <si>
    <t>886542627505</t>
  </si>
  <si>
    <t>B Darlin Juniors 2-Pc. Sequin-Lace Bod Black 1112</t>
  </si>
  <si>
    <t>708008331439</t>
  </si>
  <si>
    <t>City Studios Juniors Embellished Pleated-B White 13</t>
  </si>
  <si>
    <t>829092229836</t>
  </si>
  <si>
    <t>XOXO Juniors Zip-Front Military Ja Black S</t>
  </si>
  <si>
    <t>637865096048</t>
  </si>
  <si>
    <t>Calvin Klein Jeans Colorblocked V-Neck Top Blue Nights L</t>
  </si>
  <si>
    <t>886542631656</t>
  </si>
  <si>
    <t>B Darlin Juniors Open-Back Rhinestone- GoldBlack 12</t>
  </si>
  <si>
    <t>886542631663</t>
  </si>
  <si>
    <t>B Darlin Juniors Open-Back Rhinestone- GoldBlack 34</t>
  </si>
  <si>
    <t>708008355688</t>
  </si>
  <si>
    <t>City Studios Juniors 2-Pc. Floral-Lace Bod Champagne 9</t>
  </si>
  <si>
    <t>889631032631</t>
  </si>
  <si>
    <t>Crystal Doll Juniors Jeweled Illusion Body Navy L</t>
  </si>
  <si>
    <t>888825877249</t>
  </si>
  <si>
    <t>Material Girl Juniors Quilted Denim Moto Ja Medium Wash S</t>
  </si>
  <si>
    <t>889319498438</t>
  </si>
  <si>
    <t>Levis Button-Front Dusty Roads Wash Dusty Roads 28 US 6 R</t>
  </si>
  <si>
    <t>829092194301</t>
  </si>
  <si>
    <t>XOXO Juniors Colorblocked Culotte Blackwhite XL</t>
  </si>
  <si>
    <t>9652LLY3</t>
  </si>
  <si>
    <t>886984933462</t>
  </si>
  <si>
    <t>G.H. Bass Co. Long-Sleeve Plaid Shirt Deep Navy Combo S</t>
  </si>
  <si>
    <t>GS604M06</t>
  </si>
  <si>
    <t>637865094099</t>
  </si>
  <si>
    <t>Calvin Klein Jeans Chevron-Texture V-Neck Sweater Grey XL</t>
  </si>
  <si>
    <t>829092258638</t>
  </si>
  <si>
    <t>XOXO Juniors Lace-Up Plaid Fit F Navy Plaid XXL</t>
  </si>
  <si>
    <t>759880629787</t>
  </si>
  <si>
    <t>Sequin Hearts Juniors Sequin Illusion Lace Black 11</t>
  </si>
  <si>
    <t>2117XY1C</t>
  </si>
  <si>
    <t>889351364173</t>
  </si>
  <si>
    <t>Roxy Juniors Miles Away Long-Sleev Natural S</t>
  </si>
  <si>
    <t>786658528898</t>
  </si>
  <si>
    <t>Dittos Button-Front White Wash Denim White 28</t>
  </si>
  <si>
    <t>308016UT</t>
  </si>
  <si>
    <t>DITTOS/JORDACHE ENTERPRISES</t>
  </si>
  <si>
    <t>889775065809</t>
  </si>
  <si>
    <t>American Rag Printed Three Quarter-Sleeve R Black Combo S</t>
  </si>
  <si>
    <t>746194677634</t>
  </si>
  <si>
    <t>Marilyn Monroe Juniors Printed Popover Rompe Multi L</t>
  </si>
  <si>
    <t>MED615</t>
  </si>
  <si>
    <t>888825872497</t>
  </si>
  <si>
    <t>Material Girl Juniors Short-Sleeve Plaid-Wr Heather Grey XXS</t>
  </si>
  <si>
    <t>888825937004</t>
  </si>
  <si>
    <t>Material Girl Juniors Burnout Bodycon Dress Cloud Dancer S</t>
  </si>
  <si>
    <t>713701106413</t>
  </si>
  <si>
    <t>Material Girl Juniors Mini Cape Dress Black XS</t>
  </si>
  <si>
    <t>826410256772</t>
  </si>
  <si>
    <t>BCX Juniors Sequin-Lace Illusion BlackSilver 5</t>
  </si>
  <si>
    <t>637865088739</t>
  </si>
  <si>
    <t>Calvin Klein Jeans High-Low-Hem V-Neck Top Black XS</t>
  </si>
  <si>
    <t>887840191392</t>
  </si>
  <si>
    <t>Emerald Sundae Juniors Glitter Ombre Bodycon Blue Dip Dye XXS</t>
  </si>
  <si>
    <t>889387972878</t>
  </si>
  <si>
    <t>Trixxi Juniors Mock-Neck Lace Fit Teal XXS</t>
  </si>
  <si>
    <t>708008200018</t>
  </si>
  <si>
    <t>City Studios Juniors Floral Lace Dress Pink 11</t>
  </si>
  <si>
    <t>3522QZ5CT1</t>
  </si>
  <si>
    <t>826410021011</t>
  </si>
  <si>
    <t>BCX Juniors Belted Colorblocked A Camelblack 11</t>
  </si>
  <si>
    <t>888825792832</t>
  </si>
  <si>
    <t>Material Girl Juniors Cutout Lace Sweethear Daffodil L</t>
  </si>
  <si>
    <t>768594049200</t>
  </si>
  <si>
    <t>American Rag Juniors Crocheted Halter Crop Coastal L</t>
  </si>
  <si>
    <t>S7391ACJC</t>
  </si>
  <si>
    <t>822980946013</t>
  </si>
  <si>
    <t>Jessica Simpson Joanna Crocheted-Panel Top White M</t>
  </si>
  <si>
    <t>822980515677</t>
  </si>
  <si>
    <t>Jessica Simpson Abbey Wash Ripped Cropped Jean Abbey 29</t>
  </si>
  <si>
    <t>889237724336</t>
  </si>
  <si>
    <t>As U Wish Juniors OffTthe-Shoulder Ruff Black XS</t>
  </si>
  <si>
    <t>I548828E1</t>
  </si>
  <si>
    <t>826409566561</t>
  </si>
  <si>
    <t>BCX Juniors Colorblocked Sweater Black L</t>
  </si>
  <si>
    <t>708008363508</t>
  </si>
  <si>
    <t>City Studios Juniors Off-The-Shoulder Lace Pale Blush L</t>
  </si>
  <si>
    <t>888825197897</t>
  </si>
  <si>
    <t>Material Girl Juniors Crochet-Knit Dress Cloud Dancer L</t>
  </si>
  <si>
    <t>826409947124</t>
  </si>
  <si>
    <t>BCX Juniors Zip-Front Belted A-Li Olive S</t>
  </si>
  <si>
    <t>601350979468</t>
  </si>
  <si>
    <t>Speechless Juniors Printed Mock-Turtlene Navyred XXS</t>
  </si>
  <si>
    <t>889237710674</t>
  </si>
  <si>
    <t>As U Wish Juniors Printed Smocked Peasa Rust Mustard XS</t>
  </si>
  <si>
    <t>826410274981</t>
  </si>
  <si>
    <t>BCX Juniors Mock-Neck Necklace Sh WineBlack M</t>
  </si>
  <si>
    <t>829092232676</t>
  </si>
  <si>
    <t>XOXO Juniors Cold-Shoulder Cutout Hunter S</t>
  </si>
  <si>
    <t>829092235189</t>
  </si>
  <si>
    <t>XOXO Juniors Plaid Button-Front Mi Navy XL</t>
  </si>
  <si>
    <t>889901068292</t>
  </si>
  <si>
    <t>Hooked Up by IOT Juniors Menorah Light-Up Pull Deep Sea Dive XL</t>
  </si>
  <si>
    <t>637865195390</t>
  </si>
  <si>
    <t>Calvin Klein Jeans Metallic CK-Graphic T-Shirt Toreado XL</t>
  </si>
  <si>
    <t>887043616111</t>
  </si>
  <si>
    <t>Celebrity Pink Juniors Light Wash Skinny Jea Desert Dest 1</t>
  </si>
  <si>
    <t>887043616432</t>
  </si>
  <si>
    <t>Celebrity Pink Juniors Zip-Pocket White Wash White 7</t>
  </si>
  <si>
    <t>887043616135</t>
  </si>
  <si>
    <t>Celebrity Pink Juniors Light Wash Skinny Jea Desert Dest 5</t>
  </si>
  <si>
    <t>889775083315</t>
  </si>
  <si>
    <t>American Rag Sleeveless Lace-Inset Top Black S</t>
  </si>
  <si>
    <t>768594098628</t>
  </si>
  <si>
    <t>American Rag Rib-Knit Lace-Front Top Egret S</t>
  </si>
  <si>
    <t>826409630088</t>
  </si>
  <si>
    <t>BCX Juniors Belted Cutout Fit F Red XS</t>
  </si>
  <si>
    <t>829092196763</t>
  </si>
  <si>
    <t>XOXO Juniors Ruffled Halter Blouse Black M</t>
  </si>
  <si>
    <t>829092232485</t>
  </si>
  <si>
    <t>XOXO Juniors High-Low Tie-Neck Blo Multi XS</t>
  </si>
  <si>
    <t>3468PTR3</t>
  </si>
  <si>
    <t>637677096458</t>
  </si>
  <si>
    <t>Material Girl Juniors Faux-Suede Midi Skirt Black M</t>
  </si>
  <si>
    <t>826409680694</t>
  </si>
  <si>
    <t>BCX Juniors Skinny Pants Black 3</t>
  </si>
  <si>
    <t>787165269274</t>
  </si>
  <si>
    <t>Jessica Simpson Short-Sleeve Scoop-Neck Lace C White M</t>
  </si>
  <si>
    <t>889456073680</t>
  </si>
  <si>
    <t>Rampage Juniors Lace-Up-Pocket Grove Black 15</t>
  </si>
  <si>
    <t>885779660934</t>
  </si>
  <si>
    <t>Vanilla Star Juniors Ripped Light Wash DIY Gavin 13</t>
  </si>
  <si>
    <t>V20912-1B</t>
  </si>
  <si>
    <t>619720881013</t>
  </si>
  <si>
    <t>Be Bop Juniors Tassel-Tie Crocheted- Blue XS</t>
  </si>
  <si>
    <t>JFY26BS4530</t>
  </si>
  <si>
    <t>614015971448</t>
  </si>
  <si>
    <t>Rewash Juniors Destroyed Skinny Jean Oxford 9</t>
  </si>
  <si>
    <t>614015973824</t>
  </si>
  <si>
    <t>Rewash Juniors High-Waist Black Rins Dark Wash 3</t>
  </si>
  <si>
    <t>887840186053</t>
  </si>
  <si>
    <t>Emerald Sundae Juniors Knit Dress with Knot- NavyWine XXS</t>
  </si>
  <si>
    <t>826410451443</t>
  </si>
  <si>
    <t>BCX Juniors Floral-Print A-Line S Floral Champagne Combo 9</t>
  </si>
  <si>
    <t>888825899104</t>
  </si>
  <si>
    <t>Tinseltown Juniors Ripped Medium Wash Sk Medium Wash 15</t>
  </si>
  <si>
    <t>889351325228</t>
  </si>
  <si>
    <t>Roxy Juniors Strappy-Back Tank Top Dark Blue XL</t>
  </si>
  <si>
    <t>614015966871</t>
  </si>
  <si>
    <t>Rewash Juniors Ripped Skinny Ankle J Medium Brown 7</t>
  </si>
  <si>
    <t>887043601209</t>
  </si>
  <si>
    <t>Celebrity Pink Juniors Skinny Jeans Eiffel Tower 9</t>
  </si>
  <si>
    <t>887043615404</t>
  </si>
  <si>
    <t>Celebrity Pink Juniors Skinny Jeans Lavish Pink 17</t>
  </si>
  <si>
    <t>887043615220</t>
  </si>
  <si>
    <t>Celebrity Pink Juniors Skinny Jeans Eiffel Tower 17S</t>
  </si>
  <si>
    <t>888825803569</t>
  </si>
  <si>
    <t>Tinseltown Juniors High-Waist Skinny Jea Gold 0</t>
  </si>
  <si>
    <t>614015967960</t>
  </si>
  <si>
    <t>Rewash Juniors Pull-On Jeggings Ligh BlueBlack 13</t>
  </si>
  <si>
    <t>840523181028</t>
  </si>
  <si>
    <t>Indigo Rein Juniors Ripped Light Wash Ski Dark Blue 5</t>
  </si>
  <si>
    <t>840523180908</t>
  </si>
  <si>
    <t>Indigo Rein Juniors Ripped Light Wash Ski Med Blue 0</t>
  </si>
  <si>
    <t>889602094378</t>
  </si>
  <si>
    <t>Freshman Juniors Ribbed Open-Front Car Jet BlackBlank Canvaspale Te XS</t>
  </si>
  <si>
    <t>826409121449</t>
  </si>
  <si>
    <t>BCX Juniors Crocheted Cold-Should Orange XXS</t>
  </si>
  <si>
    <t>1030N89</t>
  </si>
  <si>
    <t>710816359321</t>
  </si>
  <si>
    <t>BCX Juniors High-Waist Pencil Skir Black 15</t>
  </si>
  <si>
    <t>791093319628</t>
  </si>
  <si>
    <t>In Awe of You by AwesomenessTV Juniors Twist-Front Crop Top Heather Grey L</t>
  </si>
  <si>
    <t>887409057688</t>
  </si>
  <si>
    <t>Polly Esther Juniors Hooded Plaid Shirt NavyIvory M</t>
  </si>
  <si>
    <t>889602094637</t>
  </si>
  <si>
    <t>Freshman Juniors Marled Colorblock Pul Blank CanvasWoodland Hike L</t>
  </si>
  <si>
    <t>889602098031</t>
  </si>
  <si>
    <t>Jessica Simpson Juniors Short-Sleeve Mesh Top Glowing White L</t>
  </si>
  <si>
    <t>887409057985</t>
  </si>
  <si>
    <t>Polly Esther Juniors Plaid Cold-Shoulder B OliveCoral XL</t>
  </si>
  <si>
    <t>887043641113</t>
  </si>
  <si>
    <t>Celebrity Pink Juniors Corduroy Pencil Skirt Bossa Nove M</t>
  </si>
  <si>
    <t>695532460066</t>
  </si>
  <si>
    <t>Ultra Flirt Juniors Plaid Raglan-Sleeve L BlackWhite XXS</t>
  </si>
  <si>
    <t>705143698557</t>
  </si>
  <si>
    <t>Energie Juniors Pattern Raglan-Sleeve Light Heather Grey L</t>
  </si>
  <si>
    <t>889901063914</t>
  </si>
  <si>
    <t>Hooked Up by IOT Juniors V-Neck Lace-Up Fine-G Thyme Gree XS</t>
  </si>
  <si>
    <t>645545938915</t>
  </si>
  <si>
    <t>Rebellious One Juniors Festival Patches Tuni Mellow Rose XL</t>
  </si>
  <si>
    <t>705143707037</t>
  </si>
  <si>
    <t>Energie Active Juniors Tapered Jogger Heather Grey L</t>
  </si>
  <si>
    <t>841060125483</t>
  </si>
  <si>
    <t>Hippie Rose Juniors Printed Roll-Sleeve W Black Combo M</t>
  </si>
  <si>
    <t>887069551434</t>
  </si>
  <si>
    <t>Material Girl Juniors Pull-On Faux-Leather Caviar Black XXL</t>
  </si>
  <si>
    <t>889901093997</t>
  </si>
  <si>
    <t>Hooked Up by IOT Juniors Sleeveless Mock-Turtl VinoMood Indigo XL</t>
  </si>
  <si>
    <t>637677117269</t>
  </si>
  <si>
    <t>Self Esteem Juniors V-Neck Scarf Tank Top Pristine L</t>
  </si>
  <si>
    <t>619720899728</t>
  </si>
  <si>
    <t>Be Bop Juniors Printed Cold-Shoulder Black XS</t>
  </si>
  <si>
    <t>GJ2122HC</t>
  </si>
  <si>
    <t>843561096132</t>
  </si>
  <si>
    <t>Miss Chievous Juniors Striped Rib-Knit Kang BlackWhite S</t>
  </si>
  <si>
    <t>843561096262</t>
  </si>
  <si>
    <t>Miss Chievous Juniors Striped Rib-Knit Kang Merlot XL</t>
  </si>
  <si>
    <t>841060122222</t>
  </si>
  <si>
    <t>Hippie Rose Juniors Printed Pullover Swea Peach Floral S</t>
  </si>
  <si>
    <t>705143699363</t>
  </si>
  <si>
    <t>Energie Juniors Contrast-Strap Graphi Charcoal Heather Grey XL</t>
  </si>
  <si>
    <t>821942395876</t>
  </si>
  <si>
    <t>Planet Gold Juniors Printed Fit Flare D Black Grey Floral XXS</t>
  </si>
  <si>
    <t>705143705644</t>
  </si>
  <si>
    <t>Energie Juniors Madison Mesh Graphic Frost Grey S</t>
  </si>
  <si>
    <t>637677151928</t>
  </si>
  <si>
    <t>Belle Du Jour Juniors Lace-Up High-Low Tuni Olive Night M</t>
  </si>
  <si>
    <t>190040228530</t>
  </si>
  <si>
    <t>Almost Famous Juniors Striped Mock-Neck Tan Light Olive M</t>
  </si>
  <si>
    <t>190040298014</t>
  </si>
  <si>
    <t>Almost Famous Juniors Rib-Knit Bodysuit Burgundy L</t>
  </si>
  <si>
    <t>841060118706</t>
  </si>
  <si>
    <t>Hippie Rose Juniors Striped Cowl-Neck Tun OatmealOlive Combo XL</t>
  </si>
  <si>
    <t>841060115026</t>
  </si>
  <si>
    <t>Hippie Rose Juniors Short-Sleeve Handkerc Rio Red S</t>
  </si>
  <si>
    <t>705143707631</t>
  </si>
  <si>
    <t>Energie Juniors Lucy Hooded Layered-L Bright WhiteBlack S</t>
  </si>
  <si>
    <t>841060117884</t>
  </si>
  <si>
    <t>Hippie Rose Juniors Tank Top Willowbough M</t>
  </si>
  <si>
    <t>H6S0100</t>
  </si>
  <si>
    <t>190040280545</t>
  </si>
  <si>
    <t>Almost Famous Juniors Printed High-Low Neck Berry Combo M</t>
  </si>
  <si>
    <t>716068571221</t>
  </si>
  <si>
    <t>NTD Juniors Graphic Raglan T-Shir WhiteBlack L</t>
  </si>
  <si>
    <t>695532488961</t>
  </si>
  <si>
    <t>Ultra Flirt Juniors Cold-Shoulder Tunic Tawny Port XL</t>
  </si>
  <si>
    <t>645545908963</t>
  </si>
  <si>
    <t>Rebellious One Juniors Mineral-Wash Football NavyHeather Grey XL</t>
  </si>
  <si>
    <t>190371170805</t>
  </si>
  <si>
    <t>Bioworld Juniors Wonder Woman Graphic Red Heather XS</t>
  </si>
  <si>
    <t>705143699851</t>
  </si>
  <si>
    <t>Energie Juniors Reversible Sports Bra Olive Nightt XS</t>
  </si>
  <si>
    <t>705143699844</t>
  </si>
  <si>
    <t>Energie Juniors Reversible Sports Bra Olive Nightt XL</t>
  </si>
  <si>
    <t>887648661882</t>
  </si>
  <si>
    <t>Freeze 24-7 Juniors Tis The Season Graph Heather GreyRed XS</t>
  </si>
  <si>
    <t>637677171261</t>
  </si>
  <si>
    <t>Belle Du Jour Juniors V-Neck Necklace T-Shi Army Green L</t>
  </si>
  <si>
    <t>645545893672</t>
  </si>
  <si>
    <t>Material Girl Juniors Contrast Mesh-Back Gr Bright White XXL</t>
  </si>
  <si>
    <t>887409047504</t>
  </si>
  <si>
    <t>Polly Esther Juniors Striped Scoop-Neck Cr Heather White XL</t>
  </si>
  <si>
    <t>645545943018</t>
  </si>
  <si>
    <t>Rebellious One Juniors Knit Cold-Shoulder To Navy M</t>
  </si>
  <si>
    <t>887409059071</t>
  </si>
  <si>
    <t>Polly Esther Juniors Rib-Knit Cowl-Neck Bo Olive XL</t>
  </si>
  <si>
    <t>190121167789</t>
  </si>
  <si>
    <t>Mighty Fine Juniors Graphic Ringer T-Shir Linen XL</t>
  </si>
  <si>
    <t>190344363319</t>
  </si>
  <si>
    <t>Trolls by DreamWorks Juniors Trolls Poppy Graphic Ocean Depths XL</t>
  </si>
  <si>
    <t>645545873612</t>
  </si>
  <si>
    <t>Pretty Rebellious Juniors High-Low Tie-Front Ta Whiteblack XS</t>
  </si>
  <si>
    <t>190371228124</t>
  </si>
  <si>
    <t>Bioworld Juniors Graphic Tank Top Black S</t>
  </si>
  <si>
    <t>190371228117</t>
  </si>
  <si>
    <t>Bioworld Juniors Graphic Tank Top Black XS</t>
  </si>
  <si>
    <t>887648309869</t>
  </si>
  <si>
    <t>Freeze 24-7 Juniors Peanuts Snoopy Graphi Grey XL</t>
  </si>
  <si>
    <t>887648309845</t>
  </si>
  <si>
    <t>Freeze 24-7 Juniors Peanuts Snoopy Graphi Grey M</t>
  </si>
  <si>
    <t>708008341056</t>
  </si>
  <si>
    <t>637865184127</t>
  </si>
  <si>
    <t>Calvin Klein Jeans Frayed Cropped Top Indigo Camo L</t>
  </si>
  <si>
    <t>42ZW136</t>
  </si>
  <si>
    <t>637865225684</t>
  </si>
  <si>
    <t>Calvin Klein Jeans Low-Rise Skinny Jeans, Mid Use Windsor 29</t>
  </si>
  <si>
    <t>886542636521</t>
  </si>
  <si>
    <t>829092254098</t>
  </si>
  <si>
    <t>637865192450</t>
  </si>
  <si>
    <t>Calvin Klein Jeans Printed V-Back Top Electric Teal XS</t>
  </si>
  <si>
    <t>637865191835</t>
  </si>
  <si>
    <t>Calvin Klein Jeans Marled High-Low-Hem Top Blueberry Dust S</t>
  </si>
  <si>
    <t>889387991909</t>
  </si>
  <si>
    <t>Trixxi Cold-Shoulder Sheath Dress Black XXL</t>
  </si>
  <si>
    <t>826410679960</t>
  </si>
  <si>
    <t>BLAC SLVLSS, SURPLUS WITH</t>
  </si>
  <si>
    <t>826410679670</t>
  </si>
  <si>
    <t>WINE V NECK SHOULDER PLEA</t>
  </si>
  <si>
    <t>889631061433</t>
  </si>
  <si>
    <t>NAVY SEQUIN HALTER TWO FO</t>
  </si>
  <si>
    <t>IXY12065I</t>
  </si>
  <si>
    <t>886998463306</t>
  </si>
  <si>
    <t>759880883233</t>
  </si>
  <si>
    <t>888650097683</t>
  </si>
  <si>
    <t>841413126402</t>
  </si>
  <si>
    <t>OhMG Juniors Panda Patch Pullover Medium Grey M</t>
  </si>
  <si>
    <t>887043721655</t>
  </si>
  <si>
    <t>Celebrity Pink Juniors Skinny Jeans Everglade 1</t>
  </si>
  <si>
    <t>887043721716</t>
  </si>
  <si>
    <t>Celebrity Pink Juniors Skinny Jeans Everglade 13</t>
  </si>
  <si>
    <t>619720911758</t>
  </si>
  <si>
    <t>BLAC HYBTD BLTD PLLN LGGN</t>
  </si>
  <si>
    <t>619720911833</t>
  </si>
  <si>
    <t>619720911840</t>
  </si>
  <si>
    <t>826409191954</t>
  </si>
  <si>
    <t>889667679206</t>
  </si>
  <si>
    <t>619720919655</t>
  </si>
  <si>
    <t>Be Bop Juniors Floral-Print Romper BlueViolet L</t>
  </si>
  <si>
    <t>885779658962</t>
  </si>
  <si>
    <t>Vanilla Star Juniors Pull-On Mars Wash Ski Mars 7</t>
  </si>
  <si>
    <t>645545915404</t>
  </si>
  <si>
    <t>645545916500</t>
  </si>
  <si>
    <t>708008345849</t>
  </si>
  <si>
    <t>City Studios Juniors Strapless Lace Fit BlushSilver 1</t>
  </si>
  <si>
    <t>42VA711</t>
  </si>
  <si>
    <t>822980864270</t>
  </si>
  <si>
    <t>Jessica Simpson Darlanne Mixed-Knit Illusion S Wine XS</t>
  </si>
  <si>
    <t>829092232683</t>
  </si>
  <si>
    <t>XOXO Juniors Cold-Shoulder Cutout Hunter M</t>
  </si>
  <si>
    <t>20186MG</t>
  </si>
  <si>
    <t>759880883707</t>
  </si>
  <si>
    <t>REWIND Juniors Skinny Cargo Pants Medium Gray 15</t>
  </si>
  <si>
    <t>619720907409</t>
  </si>
  <si>
    <t>Be Bop Juniors High-Waist Bootcut Tr Stone 3</t>
  </si>
  <si>
    <t>J60996</t>
  </si>
  <si>
    <t>889387779774</t>
  </si>
  <si>
    <t>Trixxi Juniors Flared Cutout Dress Royal 13</t>
  </si>
  <si>
    <t>841060122086</t>
  </si>
  <si>
    <t>Hippie Rose Juniors Lace-Up Marled Knit T Olive Branch M</t>
  </si>
  <si>
    <t>706254775540</t>
  </si>
  <si>
    <t>Material Girl Juniors Shadow-Stripe Tank To Bright White L</t>
  </si>
  <si>
    <t>39373877773</t>
  </si>
  <si>
    <t>CeCe Printed Tie-Neck Shift Dress French Rose 2</t>
  </si>
  <si>
    <t>39373646898</t>
  </si>
  <si>
    <t>CeCe Embroidered Wave-Trim Jacket Rich Black 0</t>
  </si>
  <si>
    <t>39373646942</t>
  </si>
  <si>
    <t>CeCe Embroidered Wave-Trim Jacket Rich Black 10</t>
  </si>
  <si>
    <t>39373646904</t>
  </si>
  <si>
    <t>CeCe Embroidered Wave-Trim Jacket Rich Black 2</t>
  </si>
  <si>
    <t>39373765575</t>
  </si>
  <si>
    <t>CeCe Embellished Sheath Dress Rich Black 8</t>
  </si>
  <si>
    <t>39373633515</t>
  </si>
  <si>
    <t>CeCe Sleeveless Bow Blouse New Ivory S</t>
  </si>
  <si>
    <t>815224023175</t>
  </si>
  <si>
    <t>M1858 Kristen Ripped Ballard Wash Sk Ballard 26</t>
  </si>
  <si>
    <t>637865100769</t>
  </si>
  <si>
    <t>Calvin Klein Jeans Stretch Tidal Blue Wash Skinny Smokey Grey 32</t>
  </si>
  <si>
    <t>637865053591</t>
  </si>
  <si>
    <t>Calvin Klein Jeans Dirty Distressed Wash Skinny J Dirty Distressed 28</t>
  </si>
  <si>
    <t>190427399402</t>
  </si>
  <si>
    <t>G.H. Bass Co. Draped Open-Front Vest Deep Navy S</t>
  </si>
  <si>
    <t>GS688070</t>
  </si>
  <si>
    <t>889775043395</t>
  </si>
  <si>
    <t>American Rag Juniors Open-Front Faux-Suede Tan S</t>
  </si>
  <si>
    <t>637865015445</t>
  </si>
  <si>
    <t>Calvin Klein Jeans Straight-Leg Twilight Water Wa Twilight Water 32</t>
  </si>
  <si>
    <t>637865104934</t>
  </si>
  <si>
    <t>Calvin Klein Jeans Denim Pencil Skirt Used Let Down 28</t>
  </si>
  <si>
    <t>889775009827</t>
  </si>
  <si>
    <t>American Rag Zip-Front Utility Jacket, Only Olive XS</t>
  </si>
  <si>
    <t>829092229843</t>
  </si>
  <si>
    <t>XOXO Juniors Zip-Front Military Ja Black L</t>
  </si>
  <si>
    <t>712683980752</t>
  </si>
  <si>
    <t>Calvin Klein Jeans Sun Bleach Wash Straight-Leg J Sun Bleach 33</t>
  </si>
  <si>
    <t>791093337721</t>
  </si>
  <si>
    <t>Trolls by DreamWorks Juniors Faux-Leather- Moto Ja Black S</t>
  </si>
  <si>
    <t>889775089003</t>
  </si>
  <si>
    <t>American Rag Printed High-Low Maxi Dress Dark Denim L</t>
  </si>
  <si>
    <t>791093296509</t>
  </si>
  <si>
    <t>In Awe of You by AwesomenessTV Juniors Sleeveless Jewel-Embe Pink M</t>
  </si>
  <si>
    <t>829092257525</t>
  </si>
  <si>
    <t>XOXO Juniors Embellished Blazer Cranberry S</t>
  </si>
  <si>
    <t>822980863877</t>
  </si>
  <si>
    <t>Jessica Simpson Cerena Printed Peasant Blouse Red L</t>
  </si>
  <si>
    <t>713701105409</t>
  </si>
  <si>
    <t>American Rag Striped Mock-Neck Bell-Sleeve Multi XS</t>
  </si>
  <si>
    <t>889667349864</t>
  </si>
  <si>
    <t>ONeill Juniors Mustang Embroidered M Black L</t>
  </si>
  <si>
    <t>FA6416029</t>
  </si>
  <si>
    <t>829092258720</t>
  </si>
  <si>
    <t>XOXO Juniors Lace-Up Plaid Fit F Navy Plaid XS</t>
  </si>
  <si>
    <t>806256972241</t>
  </si>
  <si>
    <t>American Rag Lace-Panel Belted Dress One White XS</t>
  </si>
  <si>
    <t>888825872541</t>
  </si>
  <si>
    <t>Material Girl Juniors Short-Sleeve Plaid-Wr Heather Grey XL</t>
  </si>
  <si>
    <t>822980880300</t>
  </si>
  <si>
    <t>Jessica Simpson Juniors Kiss Me Burnt Olive W Pale Mauve 27</t>
  </si>
  <si>
    <t>637865007716</t>
  </si>
  <si>
    <t>Calvin Klein Jeans Scoop-Neck Mixed-Media Top Lyons Blue M</t>
  </si>
  <si>
    <t>42WK249</t>
  </si>
  <si>
    <t>829092244174</t>
  </si>
  <si>
    <t>XOXO Juniors Ruched-Sleeve Lace Ca Black XS</t>
  </si>
  <si>
    <t>822982437540</t>
  </si>
  <si>
    <t>Jessica Simpson Missa High-Low Crocheted Peasa Black M</t>
  </si>
  <si>
    <t>889775041728</t>
  </si>
  <si>
    <t>American Rag Printed Crochet-Trim Tunic Top Pink Multi XS</t>
  </si>
  <si>
    <t>889319496434</t>
  </si>
  <si>
    <t>Levis 501 Cutoff Black Wash Denim Patched Glow 26 US 2 R</t>
  </si>
  <si>
    <t>759880685356</t>
  </si>
  <si>
    <t>American Rag Juniors Button-Down Faux-Sued Tan 3</t>
  </si>
  <si>
    <t>829092199795</t>
  </si>
  <si>
    <t>XOXO Juniors Embellished V-Back To Cobalt XL</t>
  </si>
  <si>
    <t>887840191590</t>
  </si>
  <si>
    <t>Emerald Sundae Juniors Printed Split-Sleeve Eggplant Multi XXS</t>
  </si>
  <si>
    <t>829092259758</t>
  </si>
  <si>
    <t>XOXO Juniors Button-Front Slim-Leg BlackGold Buttons 910</t>
  </si>
  <si>
    <t>8464HDM3</t>
  </si>
  <si>
    <t>786658526696</t>
  </si>
  <si>
    <t>Dittos Nicola Rolled Denim Shorts Medium Enzyme 27</t>
  </si>
  <si>
    <t>301164W1</t>
  </si>
  <si>
    <t>889775062440</t>
  </si>
  <si>
    <t>American Rag Juniors Crocheted Drawstring Sodalite Blue XL</t>
  </si>
  <si>
    <t>888825754571</t>
  </si>
  <si>
    <t>Material Girl Juniors Embroidered Wrap-Fron Black Combo S</t>
  </si>
  <si>
    <t>889901068285</t>
  </si>
  <si>
    <t>Hooked Up by IOT Juniors Menorah Light-Up Pull Deep Sea Dive L</t>
  </si>
  <si>
    <t>822982602597</t>
  </si>
  <si>
    <t>Jessica Simpson Striped Lace-Up Top Biking Red M</t>
  </si>
  <si>
    <t>826409520341</t>
  </si>
  <si>
    <t>BCX Juniors High-Low Cowl-Neck Sw Black XXS</t>
  </si>
  <si>
    <t>888825757862</t>
  </si>
  <si>
    <t>Material Girl Juniors Lace Cutout Peplum To Pale Blush XS</t>
  </si>
  <si>
    <t>887043672957</t>
  </si>
  <si>
    <t>Celebrity Pink Juniors The Slimmer High-Wais Free Spirit 3</t>
  </si>
  <si>
    <t>888825873289</t>
  </si>
  <si>
    <t>Material Girl Juniors Embellished Space-Dye Charcoal Space Dye S</t>
  </si>
  <si>
    <t>889775059723</t>
  </si>
  <si>
    <t>American Rag Printed Pintucked Sleeveless T Garden Print XL</t>
  </si>
  <si>
    <t>5MW99PBVC</t>
  </si>
  <si>
    <t>829092265063</t>
  </si>
  <si>
    <t>XOXO Juniors Illusion Cutout Mock- Burgundy L</t>
  </si>
  <si>
    <t>744199720454</t>
  </si>
  <si>
    <t>Dollhouse Juniors Paint Splatter Dark W Black 3</t>
  </si>
  <si>
    <t>744199722021</t>
  </si>
  <si>
    <t>Dollhouse Juniors Paint Splatter Dark W Light Wash 3</t>
  </si>
  <si>
    <t>889237664519</t>
  </si>
  <si>
    <t>As U Wish Juniors Printed Tie-Front Ruf RedCream XS</t>
  </si>
  <si>
    <t>744199722083</t>
  </si>
  <si>
    <t>Dollhouse Juniors Paint Splatter Dark W Light Wash 15</t>
  </si>
  <si>
    <t>885779637967</t>
  </si>
  <si>
    <t>Vanilla Star Juniors Colored Wash Skinny J Olive 11</t>
  </si>
  <si>
    <t>885779641353</t>
  </si>
  <si>
    <t>Vanilla Star Juniors Ripped Skinny Jeans White Wash 13</t>
  </si>
  <si>
    <t>889602104992</t>
  </si>
  <si>
    <t>Jessica Simpson Printed Cropped Active Legging Ocean Tie Dye M</t>
  </si>
  <si>
    <t>3K31144MC</t>
  </si>
  <si>
    <t>840523181196</t>
  </si>
  <si>
    <t>Indigo Rein Juniors Ripped Light Wash Ski Light Wash 3</t>
  </si>
  <si>
    <t>841907122996</t>
  </si>
  <si>
    <t>Indigo Rein Juniors Reverse-Selvedge Ligh Yuma 11</t>
  </si>
  <si>
    <t>887043442062</t>
  </si>
  <si>
    <t>Celebrity Pink Juniors Foil-Print Skinny Pon Black 13</t>
  </si>
  <si>
    <t>CJ20603P1116</t>
  </si>
  <si>
    <t>744199696551</t>
  </si>
  <si>
    <t>Dollhouse Juniors Color Denim Ripped Sk Azul 15</t>
  </si>
  <si>
    <t>889387912331</t>
  </si>
  <si>
    <t>Trixxi Juniors Strapless Lace-Top Pr NavyCoral S</t>
  </si>
  <si>
    <t>E6J617Y4FI</t>
  </si>
  <si>
    <t>889901068643</t>
  </si>
  <si>
    <t>Hooked Up by IOT Juniors Mrs. Santa Claus Tuni Christmas Red L</t>
  </si>
  <si>
    <t>645545894266</t>
  </si>
  <si>
    <t>Material Girl Juniors Cropped Sweatpants Black XS</t>
  </si>
  <si>
    <t>614015966765</t>
  </si>
  <si>
    <t>Rewash Juniors Ripped Skinny Ankle J Black Rnse 15</t>
  </si>
  <si>
    <t>710816385764</t>
  </si>
  <si>
    <t>BCX Juniors Printed Scuba Pencil Multi XL</t>
  </si>
  <si>
    <t>710816385733</t>
  </si>
  <si>
    <t>BCX Juniors Printed Scuba Pencil Multi S</t>
  </si>
  <si>
    <t>614015968035</t>
  </si>
  <si>
    <t>Rewash Juniors Pull-On Jeggings Medium BlueBlack 0</t>
  </si>
  <si>
    <t>650868787188</t>
  </si>
  <si>
    <t>BCX Juniors Sleeveless Necklace T Blush XL</t>
  </si>
  <si>
    <t>1090Y59</t>
  </si>
  <si>
    <t>889387970720</t>
  </si>
  <si>
    <t>Trixxi Juniors Strappy-Back Handkerc CharcoalIvory S</t>
  </si>
  <si>
    <t>25M120BZ6I</t>
  </si>
  <si>
    <t>889901118218</t>
  </si>
  <si>
    <t>Hooked Up by IOT Juniors Hooded Knee-Length Ca Dark GreyHeather Charcoal Spa S</t>
  </si>
  <si>
    <t>889602094330</t>
  </si>
  <si>
    <t>Freshman Juniors Ribbed Open-Front Car Jet BlackBlank Canvas S</t>
  </si>
  <si>
    <t>889602093487</t>
  </si>
  <si>
    <t>Freshman Juniors Hooded Drawstring-Hem Ivory DelightDark Road XS</t>
  </si>
  <si>
    <t>695532459282</t>
  </si>
  <si>
    <t>Ultra Flirt Juniors Drop-Shoulder Jacquar GingersnapJava XS</t>
  </si>
  <si>
    <t>695532459428</t>
  </si>
  <si>
    <t>Ultra Flirt Juniors Drop-Shoulder Jacquar Tawny PortGardenia XL</t>
  </si>
  <si>
    <t>887409056919</t>
  </si>
  <si>
    <t>Polly Esther Juniors Patched Plaid Shirt Navy L</t>
  </si>
  <si>
    <t>791093319598</t>
  </si>
  <si>
    <t>In Awe of You by AwesomenessTV Juniors Twist-Front Crop Top Heather Grey XS</t>
  </si>
  <si>
    <t>706256235400</t>
  </si>
  <si>
    <t>Material Girl Foil-Printed Fearless Yoga Leg Black XXL</t>
  </si>
  <si>
    <t>887043641335</t>
  </si>
  <si>
    <t>Celebrity Pink Juniors Corduroy Pencil Skirt Black XS</t>
  </si>
  <si>
    <t>695532456175</t>
  </si>
  <si>
    <t>Ultra Flirt Juniors Sleeveless Cowl-Neck BlackOatmeal M</t>
  </si>
  <si>
    <t>695532456274</t>
  </si>
  <si>
    <t>Ultra Flirt Juniors Sleeveless Cowl-Neck Heather GreyBlack M</t>
  </si>
  <si>
    <t>695532426505</t>
  </si>
  <si>
    <t>Ultra Flirt Juniors Off-Shoulder Printed Aruba Blue M</t>
  </si>
  <si>
    <t>3B496MC</t>
  </si>
  <si>
    <t>695532486400</t>
  </si>
  <si>
    <t>Ultra Flirt Juniors Striped Tie-Neck Tuni Oatmeal HeatherWhite Stripe XS</t>
  </si>
  <si>
    <t>637677197506</t>
  </si>
  <si>
    <t>Belle Du Jour Juniors Lace-Trim Pocket Top Clover L</t>
  </si>
  <si>
    <t>887409049607</t>
  </si>
  <si>
    <t>Polly Esther Juniors Plaid Roll-Sleeve Shi BurgundyCream XL</t>
  </si>
  <si>
    <t>637677194642</t>
  </si>
  <si>
    <t>Belle Du Jour Juniors Lace-Yoke Pocket Top Egret L</t>
  </si>
  <si>
    <t>843561083002</t>
  </si>
  <si>
    <t>Miss Chievous Juniors Printed Tie-Neck Blou BlackPearl Pink Kalamata Oli XL</t>
  </si>
  <si>
    <t>695532486363</t>
  </si>
  <si>
    <t>Ultra Flirt Juniors Space-Dyed Tie-Neck T Faded DenimBlack Spacedye S</t>
  </si>
  <si>
    <t>695532443434</t>
  </si>
  <si>
    <t>Ultra Flirt Juniors Cocoon-Hem Cardigan Fired Brick XS</t>
  </si>
  <si>
    <t>705143716152</t>
  </si>
  <si>
    <t>Energie Juniors Britney Foldover Jogg Wine Tastig XXS</t>
  </si>
  <si>
    <t>705143696713</t>
  </si>
  <si>
    <t>Energie Juniors Candice T-Strap Graph Bright White L</t>
  </si>
  <si>
    <t>841060120990</t>
  </si>
  <si>
    <t>Hippie Rose Juniors Roll-Tab Handkerchief Spiced Yam L</t>
  </si>
  <si>
    <t>637677141813</t>
  </si>
  <si>
    <t>Belle Du Jour Juniors Crochet-Bib High-Low Clover L</t>
  </si>
  <si>
    <t>887409042004</t>
  </si>
  <si>
    <t>Polly Esther Juniors Plaid Sleeveless Butt NavyCoral L</t>
  </si>
  <si>
    <t>705143705514</t>
  </si>
  <si>
    <t>Energie Juniors Winnie Crisscross-Bac Bright White M</t>
  </si>
  <si>
    <t>887069580632</t>
  </si>
  <si>
    <t>Pink Rose Juniors Striped Strappy-Neckl BlackOat Combo XL</t>
  </si>
  <si>
    <t>695532432247</t>
  </si>
  <si>
    <t>Ultra Flirt Juniors Tank Top with Printed BlackFloral XL</t>
  </si>
  <si>
    <t>695532441645</t>
  </si>
  <si>
    <t>Ultra Flirt Juniors Sleeveless Cowl-Neck Heather Grey L</t>
  </si>
  <si>
    <t>645545908925</t>
  </si>
  <si>
    <t>Rebellious One Juniors Mineral-Wash Football NavyHeather Grey XS</t>
  </si>
  <si>
    <t>645545882157</t>
  </si>
  <si>
    <t>Material Girl Juniors Crisscross-Back Activ Cosmic Cobalt L</t>
  </si>
  <si>
    <t>645545893627</t>
  </si>
  <si>
    <t>Material Girl Juniors Contrast Mesh-Back Gr Bright White XS</t>
  </si>
  <si>
    <t>645545943339</t>
  </si>
  <si>
    <t>Rebellious One Juniors Knit Cold-Shoulder To Black XL</t>
  </si>
  <si>
    <t>190121167284</t>
  </si>
  <si>
    <t>Mighty Fine Juniors Pikachu Graphic Ringe Heather Oatmeal XL</t>
  </si>
  <si>
    <t>846545038401</t>
  </si>
  <si>
    <t>Hot Gal Juniors Printed Faux-Suede Mi Mauve S</t>
  </si>
  <si>
    <t>637677168438</t>
  </si>
  <si>
    <t>Belle Du Jour Juniors Graphic Raglan T-Shir Teal RiverHeather Grey XL</t>
  </si>
  <si>
    <t>190371275760</t>
  </si>
  <si>
    <t>Bioworld Juniors Graphic T-Shirt White XL</t>
  </si>
  <si>
    <t>645545929852</t>
  </si>
  <si>
    <t>Rebellious One Juniors Printed Long-Sleeve H BlackWhite S</t>
  </si>
  <si>
    <t>758315007787</t>
  </si>
  <si>
    <t>887648537910</t>
  </si>
  <si>
    <t>Freeze 24-7 Juniors Marvel Captain Americ White L</t>
  </si>
  <si>
    <t>887648587793</t>
  </si>
  <si>
    <t>Freeze 24-7 Juniors Ghostbusters Stay-Puf White S</t>
  </si>
  <si>
    <t>HBSJ107-2L89</t>
  </si>
  <si>
    <t>821942359472</t>
  </si>
  <si>
    <t>Planet Gold Juniors Ribbed Swing Tank Top Surf The Web XS</t>
  </si>
  <si>
    <t>AUJL274</t>
  </si>
  <si>
    <t>705143701738</t>
  </si>
  <si>
    <t>Energie Juniors Rose Reversible Cami Royal Purple XL</t>
  </si>
  <si>
    <t>637865190043</t>
  </si>
  <si>
    <t>Calvin Klein Jeans Studded Denim Jacket Trix XL</t>
  </si>
  <si>
    <t>637865190029</t>
  </si>
  <si>
    <t>Calvin Klein Jeans Studded Denim Jacket Trix M</t>
  </si>
  <si>
    <t>637865190005</t>
  </si>
  <si>
    <t>Calvin Klein Jeans Studded Denim Jacket Trix XS</t>
  </si>
  <si>
    <t>39373635670</t>
  </si>
  <si>
    <t>637865184455</t>
  </si>
  <si>
    <t>Calvin Klein Jeans Printed High-Low Shirt Marshmellow S</t>
  </si>
  <si>
    <t>637865223802</t>
  </si>
  <si>
    <t>Calvin Klein Jeans Lace-Trim Long-Sleeve Top Napa Rose L</t>
  </si>
  <si>
    <t>637865223710</t>
  </si>
  <si>
    <t>Calvin Klein Jeans Lace-Trim Long-Sleeve Top Lead S</t>
  </si>
  <si>
    <t>637865190388</t>
  </si>
  <si>
    <t>Calvin Klein Jeans Embellished Scoop-Neck T-Shirt Black L</t>
  </si>
  <si>
    <t>637865190364</t>
  </si>
  <si>
    <t>Calvin Klein Jeans Embellished Scoop-Neck T-Shirt Black S</t>
  </si>
  <si>
    <t>601350950146</t>
  </si>
  <si>
    <t>885779656234</t>
  </si>
  <si>
    <t>DRAFT - VANILLA STAR ZIP PULL Skylar L</t>
  </si>
  <si>
    <t>826410488098</t>
  </si>
  <si>
    <t>BCX Juniors Belted Sweater Scarf Charcoal S</t>
  </si>
  <si>
    <t>1156X2C</t>
  </si>
  <si>
    <t>706256570723</t>
  </si>
  <si>
    <t>Material Girl Juniors Mesh-Trim Yoga Leggin Classic Black L</t>
  </si>
  <si>
    <t>619720921511</t>
  </si>
  <si>
    <t>Be Bop Juniors Smocked-Waist Shorts Black S</t>
  </si>
  <si>
    <t>190040022688</t>
  </si>
  <si>
    <t>CREA 3/4 SLEEVE NOTCH NEC</t>
  </si>
  <si>
    <t>ZS6032-7127-3118</t>
  </si>
  <si>
    <t>190040220732</t>
  </si>
  <si>
    <t>749709210890</t>
  </si>
  <si>
    <t>Blondie Nites Juniors Embellished Colorbloc GoldBlack 1</t>
  </si>
  <si>
    <t>749709206978</t>
  </si>
  <si>
    <t>Blondie Nites Juniors Illusion Embellished- Black 11</t>
  </si>
  <si>
    <t>190427399495</t>
  </si>
  <si>
    <t>G.H. Bass Co. Floral-Print Shirt Dress Cobalt Combo XL</t>
  </si>
  <si>
    <t>661414510860</t>
  </si>
  <si>
    <t>Teeze Me Juniors Fit Flare Two-Piece Sage Charcoal 9</t>
  </si>
  <si>
    <t>886542627451</t>
  </si>
  <si>
    <t>B Darlin Juniors 2-Pc. Sequin-Lace Bod Black 12</t>
  </si>
  <si>
    <t>886984495083</t>
  </si>
  <si>
    <t>G.H. Bass Co. Printed Shirt Dress Light Nile Combo M</t>
  </si>
  <si>
    <t>GS6N9099</t>
  </si>
  <si>
    <t>637865079027</t>
  </si>
  <si>
    <t>Calvin Klein Jeans Utility Shirt Misty Rose L</t>
  </si>
  <si>
    <t>791093292693</t>
  </si>
  <si>
    <t>Alice Through The Looking Glas Juniors Layered Off-The-Shoul Black XS</t>
  </si>
  <si>
    <t>791093337714</t>
  </si>
  <si>
    <t>Trolls by DreamWorks Juniors Faux-Leather- Moto Ja Black XS</t>
  </si>
  <si>
    <t>39373650253</t>
  </si>
  <si>
    <t>CeCe Ruffled Floral-Print Peplum To Rich Black M</t>
  </si>
  <si>
    <t>888825662135</t>
  </si>
  <si>
    <t>American Rag Laser-Cut Faux-Suede Waterfall Camel L</t>
  </si>
  <si>
    <t>FJK0073CAM</t>
  </si>
  <si>
    <t>796396901860</t>
  </si>
  <si>
    <t>Jump Juniors Exposed-Back Lace Bod Black S</t>
  </si>
  <si>
    <t>190427401822</t>
  </si>
  <si>
    <t>G.H. Bass Co. Packable Puffer Vest Ivory S</t>
  </si>
  <si>
    <t>GS688108</t>
  </si>
  <si>
    <t>719621208657</t>
  </si>
  <si>
    <t>BCX Juniors Double-Breasted Fit Black M</t>
  </si>
  <si>
    <t>822980864362</t>
  </si>
  <si>
    <t>Jessica Simpson Darlanne Mixed-Knit Illusion S Oatmeal M</t>
  </si>
  <si>
    <t>822980863761</t>
  </si>
  <si>
    <t>Jessica Simpson Cerena Printed Peasant Blouse Black M</t>
  </si>
  <si>
    <t>822980864355</t>
  </si>
  <si>
    <t>Jessica Simpson Darlanne Mixed-Knit Illusion S Oatmeal L</t>
  </si>
  <si>
    <t>708008356494</t>
  </si>
  <si>
    <t>City Studios Juniors Lace-Detail Fit Fla Navy 13</t>
  </si>
  <si>
    <t>9560PE4AT3</t>
  </si>
  <si>
    <t>708008356456</t>
  </si>
  <si>
    <t>City Studios Juniors Lace-Detail Fit Fla Navy 5</t>
  </si>
  <si>
    <t>637865094167</t>
  </si>
  <si>
    <t>Calvin Klein Jeans Chevron-Texture V-Neck Sweater Purple XL</t>
  </si>
  <si>
    <t>886542605367</t>
  </si>
  <si>
    <t>B Darlin Juniors Pleated Two-Tone Fit WineBlack 1112</t>
  </si>
  <si>
    <t>601350772366</t>
  </si>
  <si>
    <t>Speechless Juniors Sleeveless Embellishe Black 13</t>
  </si>
  <si>
    <t>746194678228</t>
  </si>
  <si>
    <t>Marilyn Monroe Juniors Grommet-Embellished J Yellow M</t>
  </si>
  <si>
    <t>661414503329</t>
  </si>
  <si>
    <t>Teeze Me Juniors Illusion Lace Bodycon Teal 5</t>
  </si>
  <si>
    <t>784645109112</t>
  </si>
  <si>
    <t>Sequin Hearts Juniors Sequin-Lace Bodycon D Navy Sequin 15</t>
  </si>
  <si>
    <t>889775088372</t>
  </si>
  <si>
    <t>American Rag Lace-Up Crochet Pullover Hoodi Egret S</t>
  </si>
  <si>
    <t>888825756070</t>
  </si>
  <si>
    <t>Material Girl Juniors Printed Lattice-Front Caviar Black Combo XS</t>
  </si>
  <si>
    <t>70080BC204</t>
  </si>
  <si>
    <t>886542611894</t>
  </si>
  <si>
    <t>B Darlin Juniors Colorblocked Fit Fl BlackRed 78</t>
  </si>
  <si>
    <t>888825872510</t>
  </si>
  <si>
    <t>Material Girl Juniors Short-Sleeve Plaid-Wr Heather Grey S</t>
  </si>
  <si>
    <t>829092230153</t>
  </si>
  <si>
    <t>XOXO Juniors Asymmetrical-Zip Plai Navy XXL</t>
  </si>
  <si>
    <t>826410497151</t>
  </si>
  <si>
    <t>BCX Juniors Embellished V-Back Sh RedBlack S</t>
  </si>
  <si>
    <t>1109X54</t>
  </si>
  <si>
    <t>826410497175</t>
  </si>
  <si>
    <t>BCX Juniors Embellished V-Back Sh RedBlack L</t>
  </si>
  <si>
    <t>719621208701</t>
  </si>
  <si>
    <t>BCX Juniors Double-Breasted Milit Grey S</t>
  </si>
  <si>
    <t>BG68191</t>
  </si>
  <si>
    <t>826410497182</t>
  </si>
  <si>
    <t>BCX Juniors Embellished V-Back Sh RedBlack XL</t>
  </si>
  <si>
    <t>826410256758</t>
  </si>
  <si>
    <t>BCX Juniors Sequin-Lace Illusion BlackSilver 1</t>
  </si>
  <si>
    <t>882486880884</t>
  </si>
  <si>
    <t>XOXO Junions Cap-Sleeve Peplum She Emerald 78</t>
  </si>
  <si>
    <t>791841096016</t>
  </si>
  <si>
    <t>B Darlin Juniors Embellished Colorbloc BlackWhite 1516</t>
  </si>
  <si>
    <t>I33K9189</t>
  </si>
  <si>
    <t>889775077055</t>
  </si>
  <si>
    <t>American Rag Striped Button-Down Fit Flar Multi Stripe XXL</t>
  </si>
  <si>
    <t>889775066011</t>
  </si>
  <si>
    <t>American Rag Printed Ruffle-Hem Shift Dress Black Combo S</t>
  </si>
  <si>
    <t>5FX02GCKC</t>
  </si>
  <si>
    <t>888825792726</t>
  </si>
  <si>
    <t>Material Girl Juniors Faux-Suede Lace-Up Sk Zinfandel Combo L</t>
  </si>
  <si>
    <t>889775082806</t>
  </si>
  <si>
    <t>American Rag Printed Tie-Hem Peasant Top Black Multi S</t>
  </si>
  <si>
    <t>889631040056</t>
  </si>
  <si>
    <t>Crystal Doll Juniors Cutout Glitter Bodyco Champagne 3</t>
  </si>
  <si>
    <t>889631040063</t>
  </si>
  <si>
    <t>Crystal Doll Juniors Cutout Glitter Bodyco Champagne 5</t>
  </si>
  <si>
    <t>822982675980</t>
  </si>
  <si>
    <t>Jessica Simpson Regine Floral Burnout Peplum T Black Velvet S</t>
  </si>
  <si>
    <t>190427389304</t>
  </si>
  <si>
    <t>G.H. Bass Co. Plaid-Trim Sweater Plum Gem Combo S</t>
  </si>
  <si>
    <t>GS695100</t>
  </si>
  <si>
    <t>889775058252</t>
  </si>
  <si>
    <t>American Rag Printed Palazzo Pants Orange Multi XXS</t>
  </si>
  <si>
    <t>887840146293</t>
  </si>
  <si>
    <t>Emerald Sundae Juniors Illusion Popover Body Navy 11</t>
  </si>
  <si>
    <t>DPD2043420</t>
  </si>
  <si>
    <t>884918935780</t>
  </si>
  <si>
    <t>American Rag Lace-Trimmed Open-Knit Cardiga Oatmeal Combo S</t>
  </si>
  <si>
    <t>888825197880</t>
  </si>
  <si>
    <t>Material Girl Juniors Crochet-Knit Dress Cloud Dancer M</t>
  </si>
  <si>
    <t>829092232515</t>
  </si>
  <si>
    <t>XOXO Juniors Cold-Shoulder Cutout Hunter XS</t>
  </si>
  <si>
    <t>706255247145</t>
  </si>
  <si>
    <t>Material Girl Juniors Hooded Anorak Jacket Flashmode L</t>
  </si>
  <si>
    <t>M6314FM212</t>
  </si>
  <si>
    <t>706254751667</t>
  </si>
  <si>
    <t>Material Girl Juniors Illusion Zipper-Front Noir XL</t>
  </si>
  <si>
    <t>M6242NR212</t>
  </si>
  <si>
    <t>829092265186</t>
  </si>
  <si>
    <t>XOXO Juniors Illusion Cutout Mock- Burgundy XXL</t>
  </si>
  <si>
    <t>759880883448</t>
  </si>
  <si>
    <t>REWIND Juniors Skinny Cargo Pants Dark Red 3</t>
  </si>
  <si>
    <t>744199720430</t>
  </si>
  <si>
    <t>Dollhouse Juniors Paint Splatter Dark W Black 0</t>
  </si>
  <si>
    <t>889351234766</t>
  </si>
  <si>
    <t>Roxy Juniors Printed T-Back Shift Bright Blue XS</t>
  </si>
  <si>
    <t>632421480583</t>
  </si>
  <si>
    <t>Love Squared Plus Size Sleeveless Knotted M Navy 2X</t>
  </si>
  <si>
    <t>614015974302</t>
  </si>
  <si>
    <t>Rewash Juniors Blue Wash Tulip-Flare Med Wash 0</t>
  </si>
  <si>
    <t>889775072456</t>
  </si>
  <si>
    <t>American Rag Printed Cap-Sleeve Blouson Top Off White XS</t>
  </si>
  <si>
    <t>6TK16D</t>
  </si>
  <si>
    <t>888650077722</t>
  </si>
  <si>
    <t>Ariya Juniors Embellished Oahu Wash Oahu 1314</t>
  </si>
  <si>
    <t>31900GN</t>
  </si>
  <si>
    <t>888825765300</t>
  </si>
  <si>
    <t>Tinseltown Juniors Ripped Cropped Skinny Chloe Ombre 13</t>
  </si>
  <si>
    <t>619720906525</t>
  </si>
  <si>
    <t>Be Bop Juniors Lace-Up Faux-Suede Sh Camel XS</t>
  </si>
  <si>
    <t>826422274436</t>
  </si>
  <si>
    <t>BCX Juniors Pants, Straight Leg Tr Black XL</t>
  </si>
  <si>
    <t>708008335796</t>
  </si>
  <si>
    <t>City Studios Juniors Crocheted Mock-Neck S Light Olive L</t>
  </si>
  <si>
    <t>619720907195</t>
  </si>
  <si>
    <t>Be Bop Juniors High-Waist Bootcut Tr Black 5</t>
  </si>
  <si>
    <t>887043645104</t>
  </si>
  <si>
    <t>Celebrity Pink Juniors Curvy Honeymood Ave W Stay Noir 0</t>
  </si>
  <si>
    <t>826410973020</t>
  </si>
  <si>
    <t>BCX Juniors Cropped Bootcut Trous Black 1</t>
  </si>
  <si>
    <t>826410422948</t>
  </si>
  <si>
    <t>BCX Juniors Asymmetrical Popover Red M</t>
  </si>
  <si>
    <t>889775057668</t>
  </si>
  <si>
    <t>American Rag Printed Asymmetrical-Hem Top Multi Floral XXL</t>
  </si>
  <si>
    <t>6MK90FBVC</t>
  </si>
  <si>
    <t>889602042959</t>
  </si>
  <si>
    <t>Jessica Simpson Shine Trim Active Leggings Jazzy Grey M</t>
  </si>
  <si>
    <t>3K30159MC</t>
  </si>
  <si>
    <t>841907137334</t>
  </si>
  <si>
    <t>Indigo Rein Juniors Ripped Light Blue Was Medium Blue 3</t>
  </si>
  <si>
    <t>619720896796</t>
  </si>
  <si>
    <t>Be Bop Juniors Printed Tie-Neck Romp NavyMulti M</t>
  </si>
  <si>
    <t>889775036182</t>
  </si>
  <si>
    <t>American Rag Crochet-Trim Cold-Shoulder Top Egret S</t>
  </si>
  <si>
    <t>T6SK95EG</t>
  </si>
  <si>
    <t>889901118003</t>
  </si>
  <si>
    <t>Hooked Up by IOT Juniors Fringed Mixed-Pattern BlackLight Grey HeatherSpiri XS</t>
  </si>
  <si>
    <t>614015975309</t>
  </si>
  <si>
    <t>Rewash Juniors Elastic-Waist Ponte-K Burgundy XS</t>
  </si>
  <si>
    <t>841413124750</t>
  </si>
  <si>
    <t>OhMG Juniors Go Your Own Way Shine Olive M</t>
  </si>
  <si>
    <t>619720895850</t>
  </si>
  <si>
    <t>Be Bop Juniors Printed Racerback Sho WineBlack M</t>
  </si>
  <si>
    <t>695532460257</t>
  </si>
  <si>
    <t>Ultra Flirt Juniors Plaid Raglan-Sleeve L NavyWhite XL</t>
  </si>
  <si>
    <t>705143708119</t>
  </si>
  <si>
    <t>Energie Juniors Printed Graphic Leggi CaviarBerry S</t>
  </si>
  <si>
    <t>706256026756</t>
  </si>
  <si>
    <t>Material Girl Juniors Printed Foldover-Wais Classic Black XL</t>
  </si>
  <si>
    <t>706255832686</t>
  </si>
  <si>
    <t>Material Girl Juniors Printed Cropped Leggi Black L</t>
  </si>
  <si>
    <t>695532456151</t>
  </si>
  <si>
    <t>Ultra Flirt Juniors Sleeveless Cowl-Neck BlackOatmeal XS</t>
  </si>
  <si>
    <t>674153672973</t>
  </si>
  <si>
    <t>Say What Juniors Off-The-Shoulder Blou Snow White M</t>
  </si>
  <si>
    <t>695532443151</t>
  </si>
  <si>
    <t>Ultra Flirt Juniors Off-The-Shoulder Peas Cornflower Blue M</t>
  </si>
  <si>
    <t>889901064201</t>
  </si>
  <si>
    <t>Hooked Up by IOT Juniors Rib-Knit Zipper-Back Silver Grey Heather S</t>
  </si>
  <si>
    <t>782100617486</t>
  </si>
  <si>
    <t>Confess Juniors Catalina Roll-Tab Shi Olive L</t>
  </si>
  <si>
    <t>A6955A</t>
  </si>
  <si>
    <t>887854010962</t>
  </si>
  <si>
    <t>Miss Chievous Juniors Lace-Trim V-Neck Tuni Black XS</t>
  </si>
  <si>
    <t>887409049317</t>
  </si>
  <si>
    <t>Polly Esther Juniors Buffalo-Plaid Roll-Sl OliveIvory XS</t>
  </si>
  <si>
    <t>705143698670</t>
  </si>
  <si>
    <t>Energie Juniors Willow Textured-Strip Wild Strawberry L</t>
  </si>
  <si>
    <t>645545869745</t>
  </si>
  <si>
    <t>Material Girl Juniors Fringe Shorts Heather Charcoal M</t>
  </si>
  <si>
    <t>M6430HY212</t>
  </si>
  <si>
    <t>645545895904</t>
  </si>
  <si>
    <t>Material Girl Juniors Sleeveless Cutout Dre Black S</t>
  </si>
  <si>
    <t>M6531NR212</t>
  </si>
  <si>
    <t>843561095678</t>
  </si>
  <si>
    <t>Miss Chievous Juniors Sequin Heart Waffle-K Lunar Eclipse XL</t>
  </si>
  <si>
    <t>887409049652</t>
  </si>
  <si>
    <t>Polly Esther Juniors Plaid Roll-Sleeve Shi CoralOlive XL</t>
  </si>
  <si>
    <t>887409049638</t>
  </si>
  <si>
    <t>Polly Esther Juniors Plaid Roll-Sleeve Shi CoralOlive M</t>
  </si>
  <si>
    <t>695532453624</t>
  </si>
  <si>
    <t>Ultra Flirt Juniors Belted Lace-Back Tuni Black M</t>
  </si>
  <si>
    <t>887409049621</t>
  </si>
  <si>
    <t>Polly Esther Juniors Plaid Roll-Sleeve Shi CoralOlive S</t>
  </si>
  <si>
    <t>841060122215</t>
  </si>
  <si>
    <t>Hippie Rose Juniors Printed Pullover Swea Peach Floral XS</t>
  </si>
  <si>
    <t>889602065064</t>
  </si>
  <si>
    <t>Freshman Juniors Lace-Trim Tank Top Floral Light M</t>
  </si>
  <si>
    <t>695532443571</t>
  </si>
  <si>
    <t>Ultra Flirt Juniors Cocoon-Hem Cardigan Olive Night XL</t>
  </si>
  <si>
    <t>190040298359</t>
  </si>
  <si>
    <t>Almost Famous Juniors Lace-Trim Roll-Sleeve Burgundy S</t>
  </si>
  <si>
    <t>887866237890</t>
  </si>
  <si>
    <t>BCX Straight-Leg Trousers Navy 5</t>
  </si>
  <si>
    <t>841060117273</t>
  </si>
  <si>
    <t>Hippie Rose Juniors Lace-Trim High-Low Tu Willowbough S</t>
  </si>
  <si>
    <t>705143714905</t>
  </si>
  <si>
    <t>Energie Juniors Alessia Mesh-Contrast Caviar M</t>
  </si>
  <si>
    <t>705143706320</t>
  </si>
  <si>
    <t>Energie Juniors Robbie Reversible Rac Galaxy PrintBlack M</t>
  </si>
  <si>
    <t>841060117327</t>
  </si>
  <si>
    <t>Hippie Rose Juniors Buttons Lace High-L Americana Blue S</t>
  </si>
  <si>
    <t>645545893351</t>
  </si>
  <si>
    <t>Material Girl Mesh-Back Printed Tank Top Static Flashmode XXL</t>
  </si>
  <si>
    <t>637677171193</t>
  </si>
  <si>
    <t>Belle Du Jour Juniors V-Neck Necklace T-Shi Deep Merlot S</t>
  </si>
  <si>
    <t>706256025681</t>
  </si>
  <si>
    <t>Material Girl Juniors Printed Contrast-Wais Black XXL</t>
  </si>
  <si>
    <t>841060119840</t>
  </si>
  <si>
    <t>Hippie Rose Juniors V-Neck Tank Top Black L</t>
  </si>
  <si>
    <t>645545925304</t>
  </si>
  <si>
    <t>Rebellious One Juniors Printed Tie-Front Top Black Daisy XL</t>
  </si>
  <si>
    <t>IA8334G285</t>
  </si>
  <si>
    <t>695532446626</t>
  </si>
  <si>
    <t>Ultra Flirt Juniors Short-Sleeve Mock-Nec Bordeaux XS</t>
  </si>
  <si>
    <t>695532472199</t>
  </si>
  <si>
    <t>Ultra Flirt Juniors Striped Ringer T-Shir BlackHeather GreyGardenia XL</t>
  </si>
  <si>
    <t>706254775830</t>
  </si>
  <si>
    <t>Material Girl Juniors Shadow-Stripe Tank To Flashmode XL</t>
  </si>
  <si>
    <t>705143709116</t>
  </si>
  <si>
    <t>Energie Juniors Mila Printed V-Neck T Aztec Pop XS</t>
  </si>
  <si>
    <t>821942362397</t>
  </si>
  <si>
    <t>Planet Gold Juniors Racerback Tank Top Burgundy XL</t>
  </si>
  <si>
    <t>829864227053</t>
  </si>
  <si>
    <t>Planet Gold Juniors Printed Holiday Leggi Navy ReindeerSnowmanTree Com S</t>
  </si>
  <si>
    <t>829864220290</t>
  </si>
  <si>
    <t>Planet Gold Juniors Printed Holiday Leggi Blue Polar Bear Combo M</t>
  </si>
  <si>
    <t>889237844577</t>
  </si>
  <si>
    <t>As U Wish Juniors Shine Fit Flare Cro SilverGrey 7</t>
  </si>
  <si>
    <t>I553324H3</t>
  </si>
  <si>
    <t>708008363812</t>
  </si>
  <si>
    <t>City Studios Juniors Sequin Bodycon Dress WineBlack 3</t>
  </si>
  <si>
    <t>3360PX7AT3</t>
  </si>
  <si>
    <t>829092254869</t>
  </si>
  <si>
    <t>IVOR 35" COLD SHOULDER CO</t>
  </si>
  <si>
    <t>889775018737</t>
  </si>
  <si>
    <t>ONE SKINNY FLARE</t>
  </si>
  <si>
    <t>5HD04WOW</t>
  </si>
  <si>
    <t>708008329214</t>
  </si>
  <si>
    <t>652874802442</t>
  </si>
  <si>
    <t>Speechless Juniors Glittered Lace Dress Cherry Red 7</t>
  </si>
  <si>
    <t>889631053605</t>
  </si>
  <si>
    <t>Crystal Doll Juniors Embellished Pleated P Fuchsia 5</t>
  </si>
  <si>
    <t>889631050529</t>
  </si>
  <si>
    <t>Crystal Doll Juniors Cage-Neckline Colorbl RedBlack 3</t>
  </si>
  <si>
    <t>889237794100</t>
  </si>
  <si>
    <t>As U Wish Juniors Lace-Trim COld-Should Black S</t>
  </si>
  <si>
    <t>601350912106</t>
  </si>
  <si>
    <t>Speechless Juniors Sleeveless Lace Fit Jade L</t>
  </si>
  <si>
    <t>889237817731</t>
  </si>
  <si>
    <t>As U Wish Juniors Cold-Shoulder Shift D Navy Blue S</t>
  </si>
  <si>
    <t>889237816277</t>
  </si>
  <si>
    <t>841907136542</t>
  </si>
  <si>
    <t>Indigo Rein Juniors Cuffed Fischer Wash S Fischer Wash 9</t>
  </si>
  <si>
    <t>190040311317</t>
  </si>
  <si>
    <t>Almost Famous Juniors Marled Duster Cardiga OliveOatmeal S</t>
  </si>
  <si>
    <t>RV1460MC</t>
  </si>
  <si>
    <t>826410676112</t>
  </si>
  <si>
    <t>BCX Juniors Lace Cold-Shoulder To BlackPink S</t>
  </si>
  <si>
    <t>637677222307</t>
  </si>
  <si>
    <t>Belle Du Jour Juniors Fuzzy Hoodie Graphi Deep Merlot M</t>
  </si>
  <si>
    <t>1BRXNSUW</t>
  </si>
  <si>
    <t>645545915190</t>
  </si>
  <si>
    <t>190121132022</t>
  </si>
  <si>
    <t>Lisa Frank Juniors Unicorn Patch Hoodie Denim Blue M</t>
  </si>
  <si>
    <t>887840182345</t>
  </si>
  <si>
    <t>Emerald Sundae Juniors Printed Pleated Fit BlackIvory S</t>
  </si>
  <si>
    <t>3K31522MC</t>
  </si>
  <si>
    <t>695532477415</t>
  </si>
  <si>
    <t>Ultra Flirt Juniors Turtleneck Cutout Hig Natural M</t>
  </si>
  <si>
    <t>749709150783</t>
  </si>
  <si>
    <t>Blondie Nites Juniors Embellished Front-Sli Neon Cerise 7</t>
  </si>
  <si>
    <t>749709217455</t>
  </si>
  <si>
    <t>661414481740</t>
  </si>
  <si>
    <t>Teeze Me Juniors Embellished Colorbloc BlackIvory 11</t>
  </si>
  <si>
    <t>749709226822</t>
  </si>
  <si>
    <t>Blondie Nites Juniors Ruched Flocked Bodyco RedNude 1</t>
  </si>
  <si>
    <t>39373765582</t>
  </si>
  <si>
    <t>CeCe Embellished Sheath Dress Rich Black 10</t>
  </si>
  <si>
    <t>708008345894</t>
  </si>
  <si>
    <t>City Studios Juniors Strapless Lace Fit BlushSilver 11</t>
  </si>
  <si>
    <t>708008262016</t>
  </si>
  <si>
    <t>City Studios Juniors Illusion Embellished Silver 7</t>
  </si>
  <si>
    <t>708008262023</t>
  </si>
  <si>
    <t>City Studios Juniors Illusion Embellished Silver 9</t>
  </si>
  <si>
    <t>637865007525</t>
  </si>
  <si>
    <t>Calvin Klein Jeans Cropped Denim Vest Marble Wash XL</t>
  </si>
  <si>
    <t>42WJ778</t>
  </si>
  <si>
    <t>651481241712</t>
  </si>
  <si>
    <t>Jump Juniors Bead-Back Lace Party Black 910</t>
  </si>
  <si>
    <t>601350980310</t>
  </si>
  <si>
    <t>Speechless Juniors Embellished Front-Sli Ity 7</t>
  </si>
  <si>
    <t>X34471X03</t>
  </si>
  <si>
    <t>889775009841</t>
  </si>
  <si>
    <t>American Rag Zip-Front Utility Jacket, Only Olive M</t>
  </si>
  <si>
    <t>886542636149</t>
  </si>
  <si>
    <t>B Darlin Juniors 2-Pc. Embellished Hal Red 12</t>
  </si>
  <si>
    <t>637865182420</t>
  </si>
  <si>
    <t>Calvin Klein Jeans Striped Textured Sweater Black S</t>
  </si>
  <si>
    <t>42ZK203</t>
  </si>
  <si>
    <t>791093338384</t>
  </si>
  <si>
    <t>Trolls by DreamWorks Juniors Faux-Fur Jacket Green M</t>
  </si>
  <si>
    <t>JK1182J1GJOM</t>
  </si>
  <si>
    <t>886542631670</t>
  </si>
  <si>
    <t>B Darlin Juniors Open-Back Rhinestone- GoldBlack 56</t>
  </si>
  <si>
    <t>888825874453</t>
  </si>
  <si>
    <t>Material Girl Lace-Back Waterfall Trench Ves Caviar Black XS</t>
  </si>
  <si>
    <t>90040MG</t>
  </si>
  <si>
    <t>886542598843</t>
  </si>
  <si>
    <t>B Darlin Juniors Embellished Asymmetri Brightblue 1314</t>
  </si>
  <si>
    <t>X131H903</t>
  </si>
  <si>
    <t>637865094068</t>
  </si>
  <si>
    <t>Calvin Klein Jeans Chevron-Texture V-Neck Sweater Grey S</t>
  </si>
  <si>
    <t>637865094020</t>
  </si>
  <si>
    <t>Calvin Klein Jeans Chevron-Texture V-Neck Sweater Black XL</t>
  </si>
  <si>
    <t>637865094211</t>
  </si>
  <si>
    <t>Calvin Klein Jeans Chevron-Texture V-Neck Sweater Peach M</t>
  </si>
  <si>
    <t>713701094963</t>
  </si>
  <si>
    <t>Material Girl Juniors Embellished Fit Fla Caviar Black M</t>
  </si>
  <si>
    <t>784645109044</t>
  </si>
  <si>
    <t>Sequin Hearts Juniors Sequin-Lace Bodycon D Navy Sequin 1</t>
  </si>
  <si>
    <t>826410223118</t>
  </si>
  <si>
    <t>BCX Juniors Crocheted Lace Fit Wine 3</t>
  </si>
  <si>
    <t>886542618244</t>
  </si>
  <si>
    <t>B Darlin Juniors Lace Pleated Fit Fl Red 1314</t>
  </si>
  <si>
    <t>713701055698</t>
  </si>
  <si>
    <t>Material Girl Juniors Striped Cold-Shoulder Caviar Black M</t>
  </si>
  <si>
    <t>10213BC204</t>
  </si>
  <si>
    <t>889775038674</t>
  </si>
  <si>
    <t>American Rag Juniors Slim-Fit Hope Wash Bo Hope Wash 5S</t>
  </si>
  <si>
    <t>6SD33HOP</t>
  </si>
  <si>
    <t>889667098205</t>
  </si>
  <si>
    <t>ONeill Juniors Marisol Printed V-Bac Dark Beige XL</t>
  </si>
  <si>
    <t>652874083834</t>
  </si>
  <si>
    <t>Speechless Juniors Embellished Lace Fit Royal L</t>
  </si>
  <si>
    <t>652874083841</t>
  </si>
  <si>
    <t>Speechless Juniors Embellished Lace Fit Royal XL</t>
  </si>
  <si>
    <t>887840197479</t>
  </si>
  <si>
    <t>Emerald Sundae Juniors Illusion Fit Flare Burgundy 9</t>
  </si>
  <si>
    <t>889775074528</t>
  </si>
  <si>
    <t>American Rag High-Low Lace-Back Top Black Combo S</t>
  </si>
  <si>
    <t>889631040070</t>
  </si>
  <si>
    <t>Crystal Doll Juniors Cutout Glitter Bodyco Champagne 7</t>
  </si>
  <si>
    <t>791093293515</t>
  </si>
  <si>
    <t>Alice Through The Looking Glas Juniors Sleeveless Printed Pe Multi S</t>
  </si>
  <si>
    <t>SPJ149D1VWGM</t>
  </si>
  <si>
    <t>889775054285</t>
  </si>
  <si>
    <t>American Rag Juniors Crocheted-Hem Tank To White XS</t>
  </si>
  <si>
    <t>829092199832</t>
  </si>
  <si>
    <t>XOXO Juniors Embellished V-Back To Ivory XL</t>
  </si>
  <si>
    <t>601350912090</t>
  </si>
  <si>
    <t>Speechless Juniors Sleeveless Lace Fit Jade M</t>
  </si>
  <si>
    <t>708008360842</t>
  </si>
  <si>
    <t>City Studios Juniors Double-Strap High-Low Cherry XS</t>
  </si>
  <si>
    <t>884918935803</t>
  </si>
  <si>
    <t>American Rag Lace-Trimmed Open-Knit Cardiga Oatmeal Combo L</t>
  </si>
  <si>
    <t>829092216188</t>
  </si>
  <si>
    <t>XOXO Juniors Pull-On Skinny Pants Black XL</t>
  </si>
  <si>
    <t>8516XPJ</t>
  </si>
  <si>
    <t>888825707621</t>
  </si>
  <si>
    <t>Material Girl Juniors Printed Lace-Hem Crop Black Combo XL</t>
  </si>
  <si>
    <t>889351065063</t>
  </si>
  <si>
    <t>Roxy Juniors Get Ready Printed A-L True Black Ancient Lima Tile S</t>
  </si>
  <si>
    <t>ERJWK03006</t>
  </si>
  <si>
    <t>652874732169</t>
  </si>
  <si>
    <t>Speechless Juniors Lace Sheath Dress Wine XS</t>
  </si>
  <si>
    <t>JA27643H439</t>
  </si>
  <si>
    <t>889775056302</t>
  </si>
  <si>
    <t>American Rag Juniors Embroidered Bubble-He White Multi XL</t>
  </si>
  <si>
    <t>888825693375</t>
  </si>
  <si>
    <t>Material Girl Juniors Denim Peplum Bustier Dark Wash XS</t>
  </si>
  <si>
    <t>20140DW204</t>
  </si>
  <si>
    <t>791093293614</t>
  </si>
  <si>
    <t>Alice Through The Looking Glas Juniors Keyhole Halter Dress White S</t>
  </si>
  <si>
    <t>SPJ147D1FMIM</t>
  </si>
  <si>
    <t>637865193532</t>
  </si>
  <si>
    <t>Calvin Klein Jeans Logo-Graphic V-Neck T-Shirt Classic White L</t>
  </si>
  <si>
    <t>889631023165</t>
  </si>
  <si>
    <t>Crystal Doll Juniors Striped Cutout Fit BlackWhite 7</t>
  </si>
  <si>
    <t>888825754946</t>
  </si>
  <si>
    <t>Material Girl Juniors Lace Cutout Peplum To Zinfandel M</t>
  </si>
  <si>
    <t>20163ZN204</t>
  </si>
  <si>
    <t>888825932085</t>
  </si>
  <si>
    <t>Material Girl Rib-Knit Off-the-Shoulder Crop Black XS</t>
  </si>
  <si>
    <t>888825932122</t>
  </si>
  <si>
    <t>Material Girl Rib-Knit Off-the-Shoulder Crop Black XL</t>
  </si>
  <si>
    <t>744199720478</t>
  </si>
  <si>
    <t>Dollhouse Juniors Paint Splatter Dark W Black 7</t>
  </si>
  <si>
    <t>885779638032</t>
  </si>
  <si>
    <t>Vanilla Star Juniors Colored Wash Skinny J Wine 0</t>
  </si>
  <si>
    <t>V20655-4</t>
  </si>
  <si>
    <t>885779638063</t>
  </si>
  <si>
    <t>Vanilla Star Juniors Colored Wash Skinny J Wine 5</t>
  </si>
  <si>
    <t>887043726483</t>
  </si>
  <si>
    <t>Celebrity Pink Juniors Infinite Stretch Moro Botancial Garden 7</t>
  </si>
  <si>
    <t>887043693990</t>
  </si>
  <si>
    <t>Celebrity Pink Juniors Paisley Metallic-Prin BlackPaisley Metallic Print 11</t>
  </si>
  <si>
    <t>888825764310</t>
  </si>
  <si>
    <t>Tinseltown Juniors Printed Denim Shortal Medium Wash L</t>
  </si>
  <si>
    <t>MYB018610</t>
  </si>
  <si>
    <t>889602133107</t>
  </si>
  <si>
    <t>Jessica Simpson Juniors Colorblocked Graphic Meteor XS</t>
  </si>
  <si>
    <t>841907103889</t>
  </si>
  <si>
    <t>Indigo Rein Juniors White Wash Ripped Ski Headley Wash 11</t>
  </si>
  <si>
    <t>840523181219</t>
  </si>
  <si>
    <t>Indigo Rein Juniors Ripped Light Wash Ski Light Wash 7</t>
  </si>
  <si>
    <t>888825765263</t>
  </si>
  <si>
    <t>Tinseltown Juniors Ripped Cropped Skinny Chloe Ombre 5</t>
  </si>
  <si>
    <t>609475456086</t>
  </si>
  <si>
    <t>Project Indigo Juniors Fleur De Lis Ripped B Light 0</t>
  </si>
  <si>
    <t>PI17165SBLT</t>
  </si>
  <si>
    <t>EARL JEAN/88 INTL DNU (222/571)</t>
  </si>
  <si>
    <t>708008335703</t>
  </si>
  <si>
    <t>City Studios Juniors Printed High-Low Shif TealOrange XS</t>
  </si>
  <si>
    <t>829092198903</t>
  </si>
  <si>
    <t>XOXO Juniors Smocked-Neck Asymmetr Olive M</t>
  </si>
  <si>
    <t>887840185766</t>
  </si>
  <si>
    <t>Emerald Sundae Juniors Knit Dress with Knot- BlackWhite M</t>
  </si>
  <si>
    <t>887840186107</t>
  </si>
  <si>
    <t>Emerald Sundae Juniors Knit Dress with Knot- NavyWine XL</t>
  </si>
  <si>
    <t>619720907089</t>
  </si>
  <si>
    <t>Be Bop Juniors High-Waist Bootcut Tr Ash Brown 5</t>
  </si>
  <si>
    <t>887840186091</t>
  </si>
  <si>
    <t>Emerald Sundae Juniors Knit Dress with Knot- NavyWine L</t>
  </si>
  <si>
    <t>746194661770</t>
  </si>
  <si>
    <t>Marilyn Monroe Juniors Striped Halter Fit Black White Stripe XS</t>
  </si>
  <si>
    <t>MFT604</t>
  </si>
  <si>
    <t>614015966833</t>
  </si>
  <si>
    <t>Rewash Juniors Ripped Skinny Ankle J Medium Brown 0</t>
  </si>
  <si>
    <t>887043642844</t>
  </si>
  <si>
    <t>Celebrity Pink Juniors Denim Overall Dress Indigo Girls XL</t>
  </si>
  <si>
    <t>889602077395</t>
  </si>
  <si>
    <t>Freshman Juniors Ponte-Knit Blazer Secluded XL</t>
  </si>
  <si>
    <t>841060120174</t>
  </si>
  <si>
    <t>Pink Rose Juniors Plaid Shift Dress Red Combo S</t>
  </si>
  <si>
    <t>841060120181</t>
  </si>
  <si>
    <t>Pink Rose Juniors Plaid Shift Dress Red Combo M</t>
  </si>
  <si>
    <t>887840176559</t>
  </si>
  <si>
    <t>Emerald Sundae Juniors Popover Printed-Skirt Royal Blue S</t>
  </si>
  <si>
    <t>DLC2445366</t>
  </si>
  <si>
    <t>889602128394</t>
  </si>
  <si>
    <t>Jessica Simpson Juniors Pullover Hoodie Deep Carribean XS</t>
  </si>
  <si>
    <t>889602128431</t>
  </si>
  <si>
    <t>Jessica Simpson Juniors Pullover Hoodie Deep Carribean XL</t>
  </si>
  <si>
    <t>645545915770</t>
  </si>
  <si>
    <t>Material Girl Mesh-Pocket Graphic Pullover H Heather Platinum M</t>
  </si>
  <si>
    <t>645545915794</t>
  </si>
  <si>
    <t>Material Girl Mesh-Pocket Graphic Pullover H Heather Platinum XL</t>
  </si>
  <si>
    <t>708008335925</t>
  </si>
  <si>
    <t>City Studios Juniors Sleeveless Jacquard F Pink XL</t>
  </si>
  <si>
    <t>889602098017</t>
  </si>
  <si>
    <t>Jessica Simpson Juniors Short-Sleeve Mesh Top Glowing White S</t>
  </si>
  <si>
    <t>705143699905</t>
  </si>
  <si>
    <t>Energie Juniors Contrast Mesh-Back Sp Caviar XL</t>
  </si>
  <si>
    <t>645545895102</t>
  </si>
  <si>
    <t>Material Girl Juniors Hooded Cross-Back Top Bright White XL</t>
  </si>
  <si>
    <t>M6710BW212</t>
  </si>
  <si>
    <t>887069476034</t>
  </si>
  <si>
    <t>Pink Rose Juniors Rib-Knit Mock-Neck Pu BlackRetro MaroonOatmeal L</t>
  </si>
  <si>
    <t>887069476041</t>
  </si>
  <si>
    <t>Pink Rose Juniors Rib-Knit Mock-Neck Pu BlackRetro MaroonOatmeal XL</t>
  </si>
  <si>
    <t>190121196192</t>
  </si>
  <si>
    <t>Mighty Fine Juniors Disney Mickey Minni Cream L</t>
  </si>
  <si>
    <t>619720897359</t>
  </si>
  <si>
    <t>Be Bop Juniors Printed Cutout-Back B BlackWhite M</t>
  </si>
  <si>
    <t>841060120624</t>
  </si>
  <si>
    <t>Hippie Rose Juniors Striped Cold-Shoulder Blacklight Heather Grey S</t>
  </si>
  <si>
    <t>619720897335</t>
  </si>
  <si>
    <t>Be Bop Juniors Printed Cutout-Back B BlackWhite XS</t>
  </si>
  <si>
    <t>695532453648</t>
  </si>
  <si>
    <t>Ultra Flirt Juniors Belted Lace-Back Tuni Black XL</t>
  </si>
  <si>
    <t>637677144609</t>
  </si>
  <si>
    <t>Belle Du Jour Juniors Lace-Up High-Low Tuni Red Plum XS</t>
  </si>
  <si>
    <t>843561096231</t>
  </si>
  <si>
    <t>Miss Chievous Juniors Striped Rib-Knit Kang Merlot S</t>
  </si>
  <si>
    <t>843561067019</t>
  </si>
  <si>
    <t>Miss Chievous Juniors Printed Crochet-Trim Summer Punch S</t>
  </si>
  <si>
    <t>841060121256</t>
  </si>
  <si>
    <t>Hippie Rose Juniors Pullover Hoodie BlackIvory XL</t>
  </si>
  <si>
    <t>705143714714</t>
  </si>
  <si>
    <t>Energie Juniors Britney Foldover Jogg Caviar L</t>
  </si>
  <si>
    <t>705143714745</t>
  </si>
  <si>
    <t>Energie Juniors Britney Foldover Jogg Caviar XL</t>
  </si>
  <si>
    <t>637677142346</t>
  </si>
  <si>
    <t>Belle Du Jour Juniors Lace Mock-Neck Top Red Plum S</t>
  </si>
  <si>
    <t>887866237876</t>
  </si>
  <si>
    <t>BCX Straight-Leg Trousers Navy 1</t>
  </si>
  <si>
    <t>660032568635</t>
  </si>
  <si>
    <t>One Clothing Juniors Sleeveless A-Line Swi Olive L</t>
  </si>
  <si>
    <t>695532477941</t>
  </si>
  <si>
    <t>Ultra Flirt Juniors Rib-Knit Turtleneck T BlackWhite Stripe XL</t>
  </si>
  <si>
    <t>887648644663</t>
  </si>
  <si>
    <t>Trolls by DreamWorks Juniors Trolls Printed Leggin Multi XS</t>
  </si>
  <si>
    <t>887069580656</t>
  </si>
  <si>
    <t>Pink Rose Juniors Strappy-Neckline Rib- Ivory S</t>
  </si>
  <si>
    <t>841060117440</t>
  </si>
  <si>
    <t>Hippie Rose Juniors Buttons Lace High-L Forest Olive L</t>
  </si>
  <si>
    <t>841060117778</t>
  </si>
  <si>
    <t>Hippie Rose Juniors Tank Top Mustard Seed S</t>
  </si>
  <si>
    <t>695532441621</t>
  </si>
  <si>
    <t>Ultra Flirt Juniors Sleeveless Cowl-Neck Heather Grey S</t>
  </si>
  <si>
    <t>695532488893</t>
  </si>
  <si>
    <t>Ultra Flirt Juniors Cold-Shoulder Tunic Olive Night S</t>
  </si>
  <si>
    <t>695532441652</t>
  </si>
  <si>
    <t>Ultra Flirt Juniors Sleeveless Cowl-Neck Heather Grey XL</t>
  </si>
  <si>
    <t>645545909052</t>
  </si>
  <si>
    <t>Rebellious One Juniors Mineral-Wash Football Bedrock Black S</t>
  </si>
  <si>
    <t>841060119956</t>
  </si>
  <si>
    <t>Hippie Rose Juniors V-Neck Tank Top Forest XL</t>
  </si>
  <si>
    <t>637677171209</t>
  </si>
  <si>
    <t>Belle Du Jour Juniors V-Neck Necklace T-Shi Deep Merlot M</t>
  </si>
  <si>
    <t>887648645172</t>
  </si>
  <si>
    <t>Trolls by DreamWorks Juniors Trolls High-Low Graph True Black M</t>
  </si>
  <si>
    <t>705143699769</t>
  </si>
  <si>
    <t>Energie Juniors Reversible Sports Bra Sketchy Floral M</t>
  </si>
  <si>
    <t>887409047412</t>
  </si>
  <si>
    <t>Polly Esther Juniors Striped Scoop-Neck Cr Cranberrynatural XS</t>
  </si>
  <si>
    <t>190344361834</t>
  </si>
  <si>
    <t>Trolls by DreamWorks Juniors Trolls Poppy Graphic Deep Teal M</t>
  </si>
  <si>
    <t>190344363142</t>
  </si>
  <si>
    <t>Trolls by DreamWorks Juniors Trolls Graphic Ringer PearlFuchsia M</t>
  </si>
  <si>
    <t>190344363098</t>
  </si>
  <si>
    <t>Trolls by DreamWorks Juniors Trolls Graphic Ringer Mint Blue M</t>
  </si>
  <si>
    <t>190344411515</t>
  </si>
  <si>
    <t>Trolls by DreamWorks Juniors Trolls Lace-Up Graphi Black XL</t>
  </si>
  <si>
    <t>645545926158</t>
  </si>
  <si>
    <t>Rebellious One Juniors Tie-Front Top Olive XL</t>
  </si>
  <si>
    <t>645545925274</t>
  </si>
  <si>
    <t>Rebellious One Juniors Printed Tie-Front Top Black Daisy S</t>
  </si>
  <si>
    <t>190371275753</t>
  </si>
  <si>
    <t>Bioworld Juniors Graphic T-Shirt White L</t>
  </si>
  <si>
    <t>706256570150</t>
  </si>
  <si>
    <t>Material Girl Juniors Side-Cutout Racerback White M</t>
  </si>
  <si>
    <t>841060116726</t>
  </si>
  <si>
    <t>Hippie Rose Juniors Ultra-Soft Printed Le Black Jade Floral Biadier S</t>
  </si>
  <si>
    <t>841060116719</t>
  </si>
  <si>
    <t>Hippie Rose Juniors Ultra-Soft Printed Le Black Jade Floral Biadier XS</t>
  </si>
  <si>
    <t>695532441003</t>
  </si>
  <si>
    <t>Ultra Flirt Juniors Printed Leggings Demascus Diamond XS</t>
  </si>
  <si>
    <t>705143692265</t>
  </si>
  <si>
    <t>Energie Juniors Mila Printed V-Neck T Tribal Stripe M</t>
  </si>
  <si>
    <t>749709242105</t>
  </si>
  <si>
    <t>BLAC LNG TATTOO ITY SLIT</t>
  </si>
  <si>
    <t>708008322864</t>
  </si>
  <si>
    <t>JWL KEY HLE HLTR</t>
  </si>
  <si>
    <t>8420KE9BTP</t>
  </si>
  <si>
    <t>39373544095</t>
  </si>
  <si>
    <t>L/S Demure Floral Blouse</t>
  </si>
  <si>
    <t>886542636507</t>
  </si>
  <si>
    <t>708008279946</t>
  </si>
  <si>
    <t>City Studios Juniors Open-Back Embellished SilverWhite S</t>
  </si>
  <si>
    <t>826410223095</t>
  </si>
  <si>
    <t>WINE DRS STRAPY FITTED BO</t>
  </si>
  <si>
    <t>829092270296</t>
  </si>
  <si>
    <t>637865191569</t>
  </si>
  <si>
    <t>Calvin Klein Jeans Mixed-Media Sleeveless Top Red Mahogany M</t>
  </si>
  <si>
    <t>791093399217</t>
  </si>
  <si>
    <t>SHIFT Juniors Ruffled Cropped Pants Black L</t>
  </si>
  <si>
    <t>JW1305B1GLAM</t>
  </si>
  <si>
    <t>829092258959</t>
  </si>
  <si>
    <t>888825772865</t>
  </si>
  <si>
    <t>CLAS STRP SWNG MCK NK TNK</t>
  </si>
  <si>
    <t>FTK1303CKC</t>
  </si>
  <si>
    <t>759880883264</t>
  </si>
  <si>
    <t>660032592968</t>
  </si>
  <si>
    <t>One Clothing Juniors Metallic Romper Gold XL</t>
  </si>
  <si>
    <t>CR5288-H166</t>
  </si>
  <si>
    <t>637677222321</t>
  </si>
  <si>
    <t>Belle Du Jour Juniors Fuzzy Hoodie Graphi Deep Merlot XL</t>
  </si>
  <si>
    <t>637677222499</t>
  </si>
  <si>
    <t>Belle Du Jour Juniors Fuzzy Hoodie Graphi Peachy Keen S</t>
  </si>
  <si>
    <t>889456089636</t>
  </si>
  <si>
    <t>Rampage Juniors Church Wash Applique Church 3</t>
  </si>
  <si>
    <t>RJ14004</t>
  </si>
  <si>
    <t>887409061227</t>
  </si>
  <si>
    <t>JUNIORS</t>
  </si>
  <si>
    <t>48x40x57</t>
  </si>
  <si>
    <t>48x40x46</t>
  </si>
  <si>
    <t>414 lbs</t>
  </si>
  <si>
    <t>327 lbs</t>
  </si>
  <si>
    <t>322 lbs</t>
  </si>
  <si>
    <t>311 lbs</t>
  </si>
  <si>
    <t>340 lbs</t>
  </si>
  <si>
    <t>320 lbs</t>
  </si>
  <si>
    <t>384 lbs</t>
  </si>
  <si>
    <t>299 lbs</t>
  </si>
  <si>
    <t>297 lbs</t>
  </si>
  <si>
    <t>302 lbs</t>
  </si>
  <si>
    <t>330 lbs</t>
  </si>
  <si>
    <t>338 lbs</t>
  </si>
  <si>
    <t>290 lbs</t>
  </si>
  <si>
    <t>439 lbs</t>
  </si>
  <si>
    <t>5344 LBS</t>
  </si>
  <si>
    <t>Pallets</t>
  </si>
  <si>
    <t>Units</t>
  </si>
  <si>
    <t>Cartons</t>
  </si>
  <si>
    <t>Pallet Size</t>
  </si>
  <si>
    <t>Weight</t>
  </si>
  <si>
    <t>Retail</t>
  </si>
  <si>
    <t>Ext. Retail</t>
  </si>
  <si>
    <t>Style #</t>
  </si>
  <si>
    <t>Color</t>
  </si>
  <si>
    <t>Size</t>
  </si>
  <si>
    <t>Department</t>
  </si>
  <si>
    <t>Vendor</t>
  </si>
  <si>
    <t>Image</t>
  </si>
  <si>
    <t>Cost</t>
  </si>
  <si>
    <t>Ext. Cost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</si>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</sst>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u/>
      <sz val="11"/>
      <color rgb="FF0000FF"/>
      <name val="Cambria"/>
      <family val="1"/>
    </font>
    <font>
      <u/>
      <sz val="11"/>
      <color theme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2" fillId="0" borderId="7" xfId="0" applyFont="1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center" wrapText="1"/>
    </xf>
    <xf numFmtId="8" fontId="2" fillId="0" borderId="0" xfId="0" applyNumberFormat="1" applyFont="1" applyAlignment="1">
      <alignment wrapText="1"/>
    </xf>
    <xf numFmtId="8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1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workbookViewId="0">
      <selection activeCell="J18" sqref="J18"/>
    </sheetView>
  </sheetViews>
  <sheetFormatPr defaultRowHeight="14.25" x14ac:dyDescent="0.2"/>
  <cols>
    <col min="1" max="1" width="9.140625" style="1"/>
    <col min="2" max="2" width="9" style="9" bestFit="1" customWidth="1"/>
    <col min="3" max="3" width="8" style="9" bestFit="1" customWidth="1"/>
    <col min="4" max="4" width="6.42578125" style="9" bestFit="1" customWidth="1"/>
    <col min="5" max="5" width="9" style="9" bestFit="1" customWidth="1"/>
    <col min="6" max="6" width="11.42578125" style="9" bestFit="1" customWidth="1"/>
    <col min="7" max="7" width="10.5703125" style="9" bestFit="1" customWidth="1"/>
    <col min="8" max="16384" width="9.140625" style="1"/>
  </cols>
  <sheetData>
    <row r="1" spans="1:7" ht="15" thickBot="1" x14ac:dyDescent="0.25"/>
    <row r="2" spans="1:7" s="2" customFormat="1" ht="15" thickBot="1" x14ac:dyDescent="0.25">
      <c r="B2" s="6"/>
      <c r="C2" s="10" t="s">
        <v>11914</v>
      </c>
      <c r="D2" s="10" t="s">
        <v>11915</v>
      </c>
      <c r="E2" s="10" t="s">
        <v>11916</v>
      </c>
      <c r="F2" s="10" t="s">
        <v>11917</v>
      </c>
      <c r="G2" s="11" t="s">
        <v>11918</v>
      </c>
    </row>
    <row r="3" spans="1:7" x14ac:dyDescent="0.2">
      <c r="A3" s="4"/>
      <c r="B3" s="12" t="s">
        <v>11896</v>
      </c>
      <c r="C3" s="13">
        <v>1</v>
      </c>
      <c r="D3" s="13">
        <v>502</v>
      </c>
      <c r="E3" s="13">
        <v>6</v>
      </c>
      <c r="F3" s="14" t="s">
        <v>11898</v>
      </c>
      <c r="G3" s="15" t="s">
        <v>11906</v>
      </c>
    </row>
    <row r="4" spans="1:7" x14ac:dyDescent="0.2">
      <c r="A4" s="4"/>
      <c r="B4" s="16" t="s">
        <v>11896</v>
      </c>
      <c r="C4" s="13">
        <v>1</v>
      </c>
      <c r="D4" s="17">
        <v>500</v>
      </c>
      <c r="E4" s="17">
        <v>6</v>
      </c>
      <c r="F4" s="18" t="s">
        <v>11898</v>
      </c>
      <c r="G4" s="19" t="s">
        <v>11907</v>
      </c>
    </row>
    <row r="5" spans="1:7" x14ac:dyDescent="0.2">
      <c r="A5" s="4"/>
      <c r="B5" s="16" t="s">
        <v>11896</v>
      </c>
      <c r="C5" s="13">
        <v>1</v>
      </c>
      <c r="D5" s="17">
        <v>502</v>
      </c>
      <c r="E5" s="17">
        <v>5</v>
      </c>
      <c r="F5" s="18" t="s">
        <v>11898</v>
      </c>
      <c r="G5" s="19" t="s">
        <v>11908</v>
      </c>
    </row>
    <row r="6" spans="1:7" x14ac:dyDescent="0.2">
      <c r="A6" s="4"/>
      <c r="B6" s="16" t="s">
        <v>11896</v>
      </c>
      <c r="C6" s="13">
        <v>1</v>
      </c>
      <c r="D6" s="17">
        <v>500</v>
      </c>
      <c r="E6" s="17">
        <v>6</v>
      </c>
      <c r="F6" s="18" t="s">
        <v>11898</v>
      </c>
      <c r="G6" s="19" t="s">
        <v>11909</v>
      </c>
    </row>
    <row r="7" spans="1:7" x14ac:dyDescent="0.2">
      <c r="A7" s="4"/>
      <c r="B7" s="16" t="s">
        <v>11896</v>
      </c>
      <c r="C7" s="13">
        <v>1</v>
      </c>
      <c r="D7" s="17">
        <v>500</v>
      </c>
      <c r="E7" s="17">
        <v>5</v>
      </c>
      <c r="F7" s="18" t="s">
        <v>11898</v>
      </c>
      <c r="G7" s="19" t="s">
        <v>11910</v>
      </c>
    </row>
    <row r="8" spans="1:7" x14ac:dyDescent="0.2">
      <c r="A8" s="4"/>
      <c r="B8" s="16" t="s">
        <v>11896</v>
      </c>
      <c r="C8" s="13">
        <v>1</v>
      </c>
      <c r="D8" s="17">
        <v>503</v>
      </c>
      <c r="E8" s="17">
        <v>6</v>
      </c>
      <c r="F8" s="18" t="s">
        <v>11898</v>
      </c>
      <c r="G8" s="19" t="s">
        <v>11904</v>
      </c>
    </row>
    <row r="9" spans="1:7" x14ac:dyDescent="0.2">
      <c r="A9" s="4"/>
      <c r="B9" s="16" t="s">
        <v>11896</v>
      </c>
      <c r="C9" s="13">
        <v>1</v>
      </c>
      <c r="D9" s="17">
        <v>500</v>
      </c>
      <c r="E9" s="17">
        <v>5</v>
      </c>
      <c r="F9" s="18" t="s">
        <v>11898</v>
      </c>
      <c r="G9" s="19" t="s">
        <v>11911</v>
      </c>
    </row>
    <row r="10" spans="1:7" x14ac:dyDescent="0.2">
      <c r="A10" s="4"/>
      <c r="B10" s="16" t="s">
        <v>11896</v>
      </c>
      <c r="C10" s="13">
        <v>1</v>
      </c>
      <c r="D10" s="17">
        <v>498</v>
      </c>
      <c r="E10" s="17">
        <v>9</v>
      </c>
      <c r="F10" s="18" t="s">
        <v>11897</v>
      </c>
      <c r="G10" s="20" t="s">
        <v>11912</v>
      </c>
    </row>
    <row r="11" spans="1:7" x14ac:dyDescent="0.2">
      <c r="A11" s="4"/>
      <c r="B11" s="16" t="s">
        <v>11896</v>
      </c>
      <c r="C11" s="13">
        <v>1</v>
      </c>
      <c r="D11" s="17">
        <v>502</v>
      </c>
      <c r="E11" s="17">
        <v>6</v>
      </c>
      <c r="F11" s="18" t="s">
        <v>11898</v>
      </c>
      <c r="G11" s="19" t="s">
        <v>11899</v>
      </c>
    </row>
    <row r="12" spans="1:7" x14ac:dyDescent="0.2">
      <c r="A12" s="4"/>
      <c r="B12" s="16" t="s">
        <v>11896</v>
      </c>
      <c r="C12" s="13">
        <v>1</v>
      </c>
      <c r="D12" s="17">
        <v>502</v>
      </c>
      <c r="E12" s="17">
        <v>7</v>
      </c>
      <c r="F12" s="18" t="s">
        <v>11898</v>
      </c>
      <c r="G12" s="19" t="s">
        <v>11900</v>
      </c>
    </row>
    <row r="13" spans="1:7" x14ac:dyDescent="0.2">
      <c r="A13" s="4"/>
      <c r="B13" s="16" t="s">
        <v>11896</v>
      </c>
      <c r="C13" s="13">
        <v>1</v>
      </c>
      <c r="D13" s="17">
        <v>500</v>
      </c>
      <c r="E13" s="17">
        <v>6</v>
      </c>
      <c r="F13" s="18" t="s">
        <v>11898</v>
      </c>
      <c r="G13" s="19" t="s">
        <v>11901</v>
      </c>
    </row>
    <row r="14" spans="1:7" x14ac:dyDescent="0.2">
      <c r="A14" s="4"/>
      <c r="B14" s="16" t="s">
        <v>11896</v>
      </c>
      <c r="C14" s="13">
        <v>1</v>
      </c>
      <c r="D14" s="17">
        <v>500</v>
      </c>
      <c r="E14" s="17">
        <v>6</v>
      </c>
      <c r="F14" s="18" t="s">
        <v>11898</v>
      </c>
      <c r="G14" s="20" t="s">
        <v>11903</v>
      </c>
    </row>
    <row r="15" spans="1:7" x14ac:dyDescent="0.2">
      <c r="A15" s="4"/>
      <c r="B15" s="16" t="s">
        <v>11896</v>
      </c>
      <c r="C15" s="13">
        <v>1</v>
      </c>
      <c r="D15" s="17">
        <v>501</v>
      </c>
      <c r="E15" s="17">
        <v>7</v>
      </c>
      <c r="F15" s="18" t="s">
        <v>11898</v>
      </c>
      <c r="G15" s="19" t="s">
        <v>11902</v>
      </c>
    </row>
    <row r="16" spans="1:7" x14ac:dyDescent="0.2">
      <c r="A16" s="4"/>
      <c r="B16" s="16" t="s">
        <v>11896</v>
      </c>
      <c r="C16" s="13">
        <v>1</v>
      </c>
      <c r="D16" s="17">
        <v>500</v>
      </c>
      <c r="E16" s="17">
        <v>6</v>
      </c>
      <c r="F16" s="18" t="s">
        <v>11898</v>
      </c>
      <c r="G16" s="19" t="s">
        <v>11902</v>
      </c>
    </row>
    <row r="17" spans="1:7" x14ac:dyDescent="0.2">
      <c r="A17" s="4"/>
      <c r="B17" s="16" t="s">
        <v>11896</v>
      </c>
      <c r="C17" s="13">
        <v>1</v>
      </c>
      <c r="D17" s="17">
        <v>503</v>
      </c>
      <c r="E17" s="17">
        <v>6</v>
      </c>
      <c r="F17" s="18" t="s">
        <v>11898</v>
      </c>
      <c r="G17" s="19" t="s">
        <v>11904</v>
      </c>
    </row>
    <row r="18" spans="1:7" ht="15" thickBot="1" x14ac:dyDescent="0.25">
      <c r="A18" s="4"/>
      <c r="B18" s="21" t="s">
        <v>11896</v>
      </c>
      <c r="C18" s="22">
        <v>1</v>
      </c>
      <c r="D18" s="22">
        <v>500</v>
      </c>
      <c r="E18" s="22">
        <v>5</v>
      </c>
      <c r="F18" s="23" t="s">
        <v>11898</v>
      </c>
      <c r="G18" s="24" t="s">
        <v>11905</v>
      </c>
    </row>
    <row r="19" spans="1:7" s="3" customFormat="1" ht="15" thickBot="1" x14ac:dyDescent="0.3">
      <c r="A19" s="5"/>
      <c r="B19" s="6"/>
      <c r="C19" s="7">
        <v>16</v>
      </c>
      <c r="D19" s="7">
        <f>SUM(D3:D18)</f>
        <v>8013</v>
      </c>
      <c r="E19" s="7"/>
      <c r="F19" s="7"/>
      <c r="G19" s="8" t="s">
        <v>11913</v>
      </c>
    </row>
  </sheetData>
  <pageMargins left="0.7" right="0.7" top="0.75" bottom="0.75" header="0.3" footer="0.3"/>
  <pageSetup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391"/>
  <sheetViews>
    <sheetView workbookViewId="0">
      <selection activeCell="B15" sqref="B15"/>
    </sheetView>
  </sheetViews>
  <sheetFormatPr defaultRowHeight="15.2" customHeight="1" x14ac:dyDescent="0.2"/>
  <cols>
    <col min="1" max="1" width="14.85546875" style="1" bestFit="1" customWidth="1"/>
    <col min="2" max="2" width="76.42578125" style="1" bestFit="1" customWidth="1"/>
    <col min="3" max="3" width="6.42578125" style="1" bestFit="1" customWidth="1"/>
    <col min="4" max="4" width="7.5703125" style="1" bestFit="1" customWidth="1"/>
    <col min="5" max="5" width="9.5703125" style="1" bestFit="1" customWidth="1"/>
    <col min="6" max="6" width="7.5703125" style="1" bestFit="1" customWidth="1"/>
    <col min="7" max="7" width="11.140625" style="1" bestFit="1" customWidth="1"/>
    <col min="8" max="8" width="23" style="1" bestFit="1" customWidth="1"/>
    <col min="9" max="9" width="14.7109375" style="1" bestFit="1" customWidth="1"/>
    <col min="10" max="10" width="12.85546875" style="1" bestFit="1" customWidth="1"/>
    <col min="11" max="11" width="19" style="1" bestFit="1" customWidth="1"/>
    <col min="12" max="12" width="45" style="1" bestFit="1" customWidth="1"/>
    <col min="13" max="13" width="55.5703125" style="1" bestFit="1" customWidth="1"/>
    <col min="14" max="16384" width="9.140625" style="1"/>
  </cols>
  <sheetData>
    <row r="1" spans="1:13" ht="15.2" customHeight="1" x14ac:dyDescent="0.2">
      <c r="A1" s="25" t="s">
        <v>0</v>
      </c>
      <c r="B1" s="25" t="s">
        <v>11929</v>
      </c>
      <c r="C1" s="25" t="s">
        <v>11915</v>
      </c>
      <c r="D1" s="25" t="s">
        <v>11927</v>
      </c>
      <c r="E1" s="25" t="s">
        <v>11928</v>
      </c>
      <c r="F1" s="25" t="s">
        <v>11919</v>
      </c>
      <c r="G1" s="25" t="s">
        <v>11920</v>
      </c>
      <c r="H1" s="25" t="s">
        <v>11921</v>
      </c>
      <c r="I1" s="25" t="s">
        <v>11922</v>
      </c>
      <c r="J1" s="25" t="s">
        <v>11923</v>
      </c>
      <c r="K1" s="25" t="s">
        <v>11924</v>
      </c>
      <c r="L1" s="25" t="s">
        <v>11925</v>
      </c>
      <c r="M1" s="25" t="s">
        <v>11926</v>
      </c>
    </row>
    <row r="2" spans="1:13" ht="15.2" customHeight="1" x14ac:dyDescent="0.2">
      <c r="A2" s="26" t="s">
        <v>8879</v>
      </c>
      <c r="B2" s="27" t="s">
        <v>8880</v>
      </c>
      <c r="C2" s="28">
        <v>1</v>
      </c>
      <c r="D2" s="29">
        <v>34</v>
      </c>
      <c r="E2" s="29">
        <v>34</v>
      </c>
      <c r="F2" s="30">
        <v>89.5</v>
      </c>
      <c r="G2" s="29">
        <v>89.5</v>
      </c>
      <c r="H2" s="28" t="s">
        <v>8542</v>
      </c>
      <c r="I2" s="27"/>
      <c r="J2" s="31" t="s">
        <v>52</v>
      </c>
      <c r="K2" s="27" t="s">
        <v>17</v>
      </c>
      <c r="L2" s="27" t="s">
        <v>18</v>
      </c>
      <c r="M2" s="33" t="str">
        <f>HYPERLINK("http://slimages.macys.com/is/image/MCY/3623723 ")</f>
        <v xml:space="preserve">http://slimages.macys.com/is/image/MCY/3623723 </v>
      </c>
    </row>
    <row r="3" spans="1:13" ht="15.2" customHeight="1" x14ac:dyDescent="0.2">
      <c r="A3" s="26" t="s">
        <v>8881</v>
      </c>
      <c r="B3" s="27" t="s">
        <v>8882</v>
      </c>
      <c r="C3" s="28">
        <v>1</v>
      </c>
      <c r="D3" s="29">
        <v>34</v>
      </c>
      <c r="E3" s="29">
        <v>34</v>
      </c>
      <c r="F3" s="30">
        <v>89.5</v>
      </c>
      <c r="G3" s="29">
        <v>89.5</v>
      </c>
      <c r="H3" s="28" t="s">
        <v>7477</v>
      </c>
      <c r="I3" s="27" t="s">
        <v>265</v>
      </c>
      <c r="J3" s="31"/>
      <c r="K3" s="27" t="s">
        <v>17</v>
      </c>
      <c r="L3" s="27" t="s">
        <v>18</v>
      </c>
      <c r="M3" s="32" t="str">
        <f>HYPERLINK("http://slimages.macys.com/is/image/MCY/3700370 ")</f>
        <v xml:space="preserve">http://slimages.macys.com/is/image/MCY/3700370 </v>
      </c>
    </row>
    <row r="4" spans="1:13" ht="15.2" customHeight="1" x14ac:dyDescent="0.2">
      <c r="A4" s="26" t="s">
        <v>8883</v>
      </c>
      <c r="B4" s="27" t="s">
        <v>8884</v>
      </c>
      <c r="C4" s="28">
        <v>1</v>
      </c>
      <c r="D4" s="29">
        <v>30</v>
      </c>
      <c r="E4" s="29">
        <v>30</v>
      </c>
      <c r="F4" s="30">
        <v>79</v>
      </c>
      <c r="G4" s="29">
        <v>79</v>
      </c>
      <c r="H4" s="28" t="s">
        <v>8540</v>
      </c>
      <c r="I4" s="27" t="s">
        <v>26</v>
      </c>
      <c r="J4" s="31" t="s">
        <v>214</v>
      </c>
      <c r="K4" s="27" t="s">
        <v>24</v>
      </c>
      <c r="L4" s="27" t="s">
        <v>650</v>
      </c>
      <c r="M4" s="32" t="b">
        <f>M3=HYPERLINK("http://slimages.macys.com/is/image/MCY/3824975 ")</f>
        <v>0</v>
      </c>
    </row>
    <row r="5" spans="1:13" ht="15.2" customHeight="1" x14ac:dyDescent="0.2">
      <c r="A5" s="26" t="s">
        <v>8885</v>
      </c>
      <c r="B5" s="27" t="s">
        <v>8886</v>
      </c>
      <c r="C5" s="28">
        <v>1</v>
      </c>
      <c r="D5" s="29">
        <v>29.5</v>
      </c>
      <c r="E5" s="29">
        <v>29.5</v>
      </c>
      <c r="F5" s="30">
        <v>89</v>
      </c>
      <c r="G5" s="29">
        <v>89</v>
      </c>
      <c r="H5" s="28" t="s">
        <v>7624</v>
      </c>
      <c r="I5" s="27" t="s">
        <v>26</v>
      </c>
      <c r="J5" s="31"/>
      <c r="K5" s="27" t="s">
        <v>24</v>
      </c>
      <c r="L5" s="27" t="s">
        <v>67</v>
      </c>
      <c r="M5" s="32" t="str">
        <f>HYPERLINK("http://slimages.macys.com/is/image/MCY/3913019 ")</f>
        <v xml:space="preserve">http://slimages.macys.com/is/image/MCY/3913019 </v>
      </c>
    </row>
    <row r="6" spans="1:13" ht="15.2" customHeight="1" x14ac:dyDescent="0.2">
      <c r="A6" s="26" t="s">
        <v>8887</v>
      </c>
      <c r="B6" s="27" t="s">
        <v>8888</v>
      </c>
      <c r="C6" s="28">
        <v>1</v>
      </c>
      <c r="D6" s="29">
        <v>29</v>
      </c>
      <c r="E6" s="29">
        <v>29</v>
      </c>
      <c r="F6" s="30">
        <v>89</v>
      </c>
      <c r="G6" s="29">
        <v>89</v>
      </c>
      <c r="H6" s="28" t="s">
        <v>8543</v>
      </c>
      <c r="I6" s="27" t="s">
        <v>26</v>
      </c>
      <c r="J6" s="31"/>
      <c r="K6" s="27" t="s">
        <v>24</v>
      </c>
      <c r="L6" s="27" t="s">
        <v>67</v>
      </c>
      <c r="M6" s="32" t="str">
        <f>HYPERLINK("http://slimages.macys.com/is/image/MCY/3776629 ")</f>
        <v xml:space="preserve">http://slimages.macys.com/is/image/MCY/3776629 </v>
      </c>
    </row>
    <row r="7" spans="1:13" ht="15.2" customHeight="1" x14ac:dyDescent="0.2">
      <c r="A7" s="26" t="s">
        <v>8756</v>
      </c>
      <c r="B7" s="27" t="s">
        <v>8757</v>
      </c>
      <c r="C7" s="28">
        <v>2</v>
      </c>
      <c r="D7" s="29">
        <v>27.5</v>
      </c>
      <c r="E7" s="29">
        <v>55</v>
      </c>
      <c r="F7" s="30">
        <v>79</v>
      </c>
      <c r="G7" s="29">
        <v>158</v>
      </c>
      <c r="H7" s="28" t="s">
        <v>8758</v>
      </c>
      <c r="I7" s="27" t="s">
        <v>248</v>
      </c>
      <c r="J7" s="31" t="s">
        <v>21</v>
      </c>
      <c r="K7" s="27" t="s">
        <v>37</v>
      </c>
      <c r="L7" s="27" t="s">
        <v>38</v>
      </c>
      <c r="M7" s="32" t="str">
        <f>HYPERLINK("http://slimages.macys.com/is/image/MCY/3717666 ")</f>
        <v xml:space="preserve">http://slimages.macys.com/is/image/MCY/3717666 </v>
      </c>
    </row>
    <row r="8" spans="1:13" ht="15.2" customHeight="1" x14ac:dyDescent="0.2">
      <c r="A8" s="26" t="s">
        <v>8889</v>
      </c>
      <c r="B8" s="27" t="s">
        <v>8890</v>
      </c>
      <c r="C8" s="28">
        <v>1</v>
      </c>
      <c r="D8" s="29">
        <v>27.2</v>
      </c>
      <c r="E8" s="29">
        <v>27.2</v>
      </c>
      <c r="F8" s="30">
        <v>79</v>
      </c>
      <c r="G8" s="29">
        <v>79</v>
      </c>
      <c r="H8" s="28" t="s">
        <v>8576</v>
      </c>
      <c r="I8" s="27" t="s">
        <v>4</v>
      </c>
      <c r="J8" s="31" t="s">
        <v>52</v>
      </c>
      <c r="K8" s="27" t="s">
        <v>42</v>
      </c>
      <c r="L8" s="27" t="s">
        <v>43</v>
      </c>
      <c r="M8" s="32" t="str">
        <f>HYPERLINK("http://slimages.macys.com/is/image/MCY/3611476 ")</f>
        <v xml:space="preserve">http://slimages.macys.com/is/image/MCY/3611476 </v>
      </c>
    </row>
    <row r="9" spans="1:13" ht="15.2" customHeight="1" x14ac:dyDescent="0.2">
      <c r="A9" s="26" t="s">
        <v>8891</v>
      </c>
      <c r="B9" s="27" t="s">
        <v>8892</v>
      </c>
      <c r="C9" s="28">
        <v>1</v>
      </c>
      <c r="D9" s="29">
        <v>27.2</v>
      </c>
      <c r="E9" s="29">
        <v>27.2</v>
      </c>
      <c r="F9" s="30">
        <v>79</v>
      </c>
      <c r="G9" s="29">
        <v>79</v>
      </c>
      <c r="H9" s="28" t="s">
        <v>5592</v>
      </c>
      <c r="I9" s="27" t="s">
        <v>4</v>
      </c>
      <c r="J9" s="31" t="s">
        <v>5</v>
      </c>
      <c r="K9" s="27" t="s">
        <v>42</v>
      </c>
      <c r="L9" s="27" t="s">
        <v>43</v>
      </c>
      <c r="M9" s="32" t="str">
        <f>HYPERLINK("http://slimages.macys.com/is/image/MCY/3611265 ")</f>
        <v xml:space="preserve">http://slimages.macys.com/is/image/MCY/3611265 </v>
      </c>
    </row>
    <row r="10" spans="1:13" ht="15.2" customHeight="1" x14ac:dyDescent="0.2">
      <c r="A10" s="26" t="s">
        <v>8893</v>
      </c>
      <c r="B10" s="27" t="s">
        <v>8894</v>
      </c>
      <c r="C10" s="28">
        <v>1</v>
      </c>
      <c r="D10" s="29">
        <v>27.2</v>
      </c>
      <c r="E10" s="29">
        <v>27.2</v>
      </c>
      <c r="F10" s="30">
        <v>79</v>
      </c>
      <c r="G10" s="29">
        <v>79</v>
      </c>
      <c r="H10" s="28" t="s">
        <v>8895</v>
      </c>
      <c r="I10" s="27" t="s">
        <v>189</v>
      </c>
      <c r="J10" s="31" t="s">
        <v>52</v>
      </c>
      <c r="K10" s="27" t="s">
        <v>42</v>
      </c>
      <c r="L10" s="27" t="s">
        <v>43</v>
      </c>
      <c r="M10" s="32" t="str">
        <f>HYPERLINK("http://slimages.macys.com/is/image/MCY/3611176 ")</f>
        <v xml:space="preserve">http://slimages.macys.com/is/image/MCY/3611176 </v>
      </c>
    </row>
    <row r="11" spans="1:13" ht="15.2" customHeight="1" x14ac:dyDescent="0.2">
      <c r="A11" s="26" t="s">
        <v>8896</v>
      </c>
      <c r="B11" s="27" t="s">
        <v>8897</v>
      </c>
      <c r="C11" s="28">
        <v>1</v>
      </c>
      <c r="D11" s="29">
        <v>27</v>
      </c>
      <c r="E11" s="29">
        <v>27</v>
      </c>
      <c r="F11" s="30">
        <v>69.5</v>
      </c>
      <c r="G11" s="29">
        <v>69.5</v>
      </c>
      <c r="H11" s="28" t="s">
        <v>8898</v>
      </c>
      <c r="I11" s="27" t="s">
        <v>82</v>
      </c>
      <c r="J11" s="31" t="s">
        <v>16</v>
      </c>
      <c r="K11" s="27" t="s">
        <v>17</v>
      </c>
      <c r="L11" s="27" t="s">
        <v>18</v>
      </c>
      <c r="M11" s="32" t="str">
        <f>HYPERLINK("http://slimages.macys.com/is/image/MCY/3875700 ")</f>
        <v xml:space="preserve">http://slimages.macys.com/is/image/MCY/3875700 </v>
      </c>
    </row>
    <row r="12" spans="1:13" ht="15.2" customHeight="1" x14ac:dyDescent="0.2">
      <c r="A12" s="26" t="s">
        <v>8899</v>
      </c>
      <c r="B12" s="27" t="s">
        <v>8900</v>
      </c>
      <c r="C12" s="28">
        <v>1</v>
      </c>
      <c r="D12" s="29">
        <v>27</v>
      </c>
      <c r="E12" s="29">
        <v>27</v>
      </c>
      <c r="F12" s="30">
        <v>69.5</v>
      </c>
      <c r="G12" s="29">
        <v>69.5</v>
      </c>
      <c r="H12" s="28" t="s">
        <v>660</v>
      </c>
      <c r="I12" s="27" t="s">
        <v>661</v>
      </c>
      <c r="J12" s="31" t="s">
        <v>161</v>
      </c>
      <c r="K12" s="27" t="s">
        <v>17</v>
      </c>
      <c r="L12" s="27" t="s">
        <v>18</v>
      </c>
      <c r="M12" s="32" t="str">
        <f>HYPERLINK("http://slimages.macys.com/is/image/MCY/3750122 ")</f>
        <v xml:space="preserve">http://slimages.macys.com/is/image/MCY/3750122 </v>
      </c>
    </row>
    <row r="13" spans="1:13" ht="15.2" customHeight="1" x14ac:dyDescent="0.2">
      <c r="A13" s="26" t="s">
        <v>8901</v>
      </c>
      <c r="B13" s="27" t="s">
        <v>8902</v>
      </c>
      <c r="C13" s="28">
        <v>1</v>
      </c>
      <c r="D13" s="29">
        <v>27</v>
      </c>
      <c r="E13" s="29">
        <v>27</v>
      </c>
      <c r="F13" s="30">
        <v>69.5</v>
      </c>
      <c r="G13" s="29">
        <v>69.5</v>
      </c>
      <c r="H13" s="28" t="s">
        <v>8903</v>
      </c>
      <c r="I13" s="27" t="s">
        <v>900</v>
      </c>
      <c r="J13" s="31"/>
      <c r="K13" s="27" t="s">
        <v>17</v>
      </c>
      <c r="L13" s="27" t="s">
        <v>18</v>
      </c>
      <c r="M13" s="32" t="str">
        <f>HYPERLINK("http://slimages.macys.com/is/image/MCY/3623713 ")</f>
        <v xml:space="preserve">http://slimages.macys.com/is/image/MCY/3623713 </v>
      </c>
    </row>
    <row r="14" spans="1:13" ht="15.2" customHeight="1" x14ac:dyDescent="0.2">
      <c r="A14" s="26" t="s">
        <v>8577</v>
      </c>
      <c r="B14" s="27" t="s">
        <v>8578</v>
      </c>
      <c r="C14" s="28">
        <v>1</v>
      </c>
      <c r="D14" s="29">
        <v>26.5</v>
      </c>
      <c r="E14" s="29">
        <v>26.5</v>
      </c>
      <c r="F14" s="30">
        <v>79</v>
      </c>
      <c r="G14" s="29">
        <v>79</v>
      </c>
      <c r="H14" s="28" t="s">
        <v>8579</v>
      </c>
      <c r="I14" s="27" t="s">
        <v>238</v>
      </c>
      <c r="J14" s="31"/>
      <c r="K14" s="27" t="s">
        <v>24</v>
      </c>
      <c r="L14" s="27" t="s">
        <v>67</v>
      </c>
      <c r="M14" s="32" t="str">
        <f>HYPERLINK("http://slimages.macys.com/is/image/MCY/3838286 ")</f>
        <v xml:space="preserve">http://slimages.macys.com/is/image/MCY/3838286 </v>
      </c>
    </row>
    <row r="15" spans="1:13" ht="15.2" customHeight="1" x14ac:dyDescent="0.2">
      <c r="A15" s="26" t="s">
        <v>8904</v>
      </c>
      <c r="B15" s="27" t="s">
        <v>8905</v>
      </c>
      <c r="C15" s="28">
        <v>1</v>
      </c>
      <c r="D15" s="29">
        <v>26.5</v>
      </c>
      <c r="E15" s="29">
        <v>26.5</v>
      </c>
      <c r="F15" s="30">
        <v>79</v>
      </c>
      <c r="G15" s="29">
        <v>79</v>
      </c>
      <c r="H15" s="28" t="s">
        <v>8579</v>
      </c>
      <c r="I15" s="27" t="s">
        <v>238</v>
      </c>
      <c r="J15" s="31"/>
      <c r="K15" s="27" t="s">
        <v>24</v>
      </c>
      <c r="L15" s="27" t="s">
        <v>67</v>
      </c>
      <c r="M15" s="32" t="str">
        <f>HYPERLINK("http://slimages.macys.com/is/image/MCY/3838286 ")</f>
        <v xml:space="preserve">http://slimages.macys.com/is/image/MCY/3838286 </v>
      </c>
    </row>
    <row r="16" spans="1:13" ht="15.2" customHeight="1" x14ac:dyDescent="0.2">
      <c r="A16" s="26" t="s">
        <v>8906</v>
      </c>
      <c r="B16" s="27" t="s">
        <v>8907</v>
      </c>
      <c r="C16" s="28">
        <v>1</v>
      </c>
      <c r="D16" s="29">
        <v>26.5</v>
      </c>
      <c r="E16" s="29">
        <v>26.5</v>
      </c>
      <c r="F16" s="30">
        <v>79</v>
      </c>
      <c r="G16" s="29">
        <v>79</v>
      </c>
      <c r="H16" s="28" t="s">
        <v>8579</v>
      </c>
      <c r="I16" s="27" t="s">
        <v>238</v>
      </c>
      <c r="J16" s="31"/>
      <c r="K16" s="27" t="s">
        <v>24</v>
      </c>
      <c r="L16" s="27" t="s">
        <v>67</v>
      </c>
      <c r="M16" s="32" t="str">
        <f>HYPERLINK("http://slimages.macys.com/is/image/MCY/3838286 ")</f>
        <v xml:space="preserve">http://slimages.macys.com/is/image/MCY/3838286 </v>
      </c>
    </row>
    <row r="17" spans="1:13" ht="15.2" customHeight="1" x14ac:dyDescent="0.2">
      <c r="A17" s="26" t="s">
        <v>8908</v>
      </c>
      <c r="B17" s="27" t="s">
        <v>8909</v>
      </c>
      <c r="C17" s="28">
        <v>1</v>
      </c>
      <c r="D17" s="29">
        <v>26</v>
      </c>
      <c r="E17" s="29">
        <v>26</v>
      </c>
      <c r="F17" s="30">
        <v>88</v>
      </c>
      <c r="G17" s="29">
        <v>88</v>
      </c>
      <c r="H17" s="28" t="s">
        <v>8910</v>
      </c>
      <c r="I17" s="27" t="s">
        <v>82</v>
      </c>
      <c r="J17" s="31" t="s">
        <v>21</v>
      </c>
      <c r="K17" s="27" t="s">
        <v>1089</v>
      </c>
      <c r="L17" s="27" t="s">
        <v>1090</v>
      </c>
      <c r="M17" s="32" t="str">
        <f>HYPERLINK("http://images.bloomingdales.com/is/image/BLM/9027053 ")</f>
        <v xml:space="preserve">http://images.bloomingdales.com/is/image/BLM/9027053 </v>
      </c>
    </row>
    <row r="18" spans="1:13" ht="15.2" customHeight="1" x14ac:dyDescent="0.2">
      <c r="A18" s="26" t="s">
        <v>2809</v>
      </c>
      <c r="B18" s="27" t="s">
        <v>2810</v>
      </c>
      <c r="C18" s="28">
        <v>1</v>
      </c>
      <c r="D18" s="29">
        <v>23.25</v>
      </c>
      <c r="E18" s="29">
        <v>23.25</v>
      </c>
      <c r="F18" s="30">
        <v>69</v>
      </c>
      <c r="G18" s="29">
        <v>69</v>
      </c>
      <c r="H18" s="28" t="s">
        <v>2811</v>
      </c>
      <c r="I18" s="27" t="s">
        <v>4</v>
      </c>
      <c r="J18" s="31"/>
      <c r="K18" s="27" t="s">
        <v>24</v>
      </c>
      <c r="L18" s="27" t="s">
        <v>67</v>
      </c>
      <c r="M18" s="32" t="str">
        <f>HYPERLINK("http://slimages.macys.com/is/image/MCY/3761222 ")</f>
        <v xml:space="preserve">http://slimages.macys.com/is/image/MCY/3761222 </v>
      </c>
    </row>
    <row r="19" spans="1:13" ht="15.2" customHeight="1" x14ac:dyDescent="0.2">
      <c r="A19" s="26" t="s">
        <v>8911</v>
      </c>
      <c r="B19" s="27" t="s">
        <v>8912</v>
      </c>
      <c r="C19" s="28">
        <v>1</v>
      </c>
      <c r="D19" s="29">
        <v>23</v>
      </c>
      <c r="E19" s="29">
        <v>23</v>
      </c>
      <c r="F19" s="30">
        <v>69</v>
      </c>
      <c r="G19" s="29">
        <v>69</v>
      </c>
      <c r="H19" s="28" t="s">
        <v>8763</v>
      </c>
      <c r="I19" s="27" t="s">
        <v>29</v>
      </c>
      <c r="J19" s="31" t="s">
        <v>23</v>
      </c>
      <c r="K19" s="27" t="s">
        <v>24</v>
      </c>
      <c r="L19" s="27" t="s">
        <v>650</v>
      </c>
      <c r="M19" s="32" t="str">
        <f>HYPERLINK("http://slimages.macys.com/is/image/MCY/2469632 ")</f>
        <v xml:space="preserve">http://slimages.macys.com/is/image/MCY/2469632 </v>
      </c>
    </row>
    <row r="20" spans="1:13" ht="15.2" customHeight="1" x14ac:dyDescent="0.2">
      <c r="A20" s="26" t="s">
        <v>8913</v>
      </c>
      <c r="B20" s="27" t="s">
        <v>8914</v>
      </c>
      <c r="C20" s="28">
        <v>1</v>
      </c>
      <c r="D20" s="29">
        <v>22.12</v>
      </c>
      <c r="E20" s="29">
        <v>22.12</v>
      </c>
      <c r="F20" s="30">
        <v>59</v>
      </c>
      <c r="G20" s="29">
        <v>59</v>
      </c>
      <c r="H20" s="28">
        <v>7056625</v>
      </c>
      <c r="I20" s="27" t="s">
        <v>189</v>
      </c>
      <c r="J20" s="31" t="s">
        <v>2420</v>
      </c>
      <c r="K20" s="27" t="s">
        <v>462</v>
      </c>
      <c r="L20" s="27" t="s">
        <v>463</v>
      </c>
      <c r="M20" s="32" t="str">
        <f>HYPERLINK("http://slimages.macys.com/is/image/MCY/3714530 ")</f>
        <v xml:space="preserve">http://slimages.macys.com/is/image/MCY/3714530 </v>
      </c>
    </row>
    <row r="21" spans="1:13" ht="15.2" customHeight="1" x14ac:dyDescent="0.2">
      <c r="A21" s="26" t="s">
        <v>8915</v>
      </c>
      <c r="B21" s="27" t="s">
        <v>8916</v>
      </c>
      <c r="C21" s="28">
        <v>1</v>
      </c>
      <c r="D21" s="29">
        <v>22</v>
      </c>
      <c r="E21" s="29">
        <v>22</v>
      </c>
      <c r="F21" s="30">
        <v>69</v>
      </c>
      <c r="G21" s="29">
        <v>69</v>
      </c>
      <c r="H21" s="28" t="s">
        <v>7637</v>
      </c>
      <c r="I21" s="27" t="s">
        <v>36</v>
      </c>
      <c r="J21" s="31" t="s">
        <v>52</v>
      </c>
      <c r="K21" s="27" t="s">
        <v>37</v>
      </c>
      <c r="L21" s="27" t="s">
        <v>38</v>
      </c>
      <c r="M21" s="32" t="str">
        <f>HYPERLINK("http://slimages.macys.com/is/image/MCY/3670411 ")</f>
        <v xml:space="preserve">http://slimages.macys.com/is/image/MCY/3670411 </v>
      </c>
    </row>
    <row r="22" spans="1:13" ht="15.2" customHeight="1" x14ac:dyDescent="0.2">
      <c r="A22" s="26" t="s">
        <v>7719</v>
      </c>
      <c r="B22" s="27" t="s">
        <v>7720</v>
      </c>
      <c r="C22" s="28">
        <v>1</v>
      </c>
      <c r="D22" s="29">
        <v>22</v>
      </c>
      <c r="E22" s="29">
        <v>22</v>
      </c>
      <c r="F22" s="30">
        <v>69</v>
      </c>
      <c r="G22" s="29">
        <v>69</v>
      </c>
      <c r="H22" s="28" t="s">
        <v>7637</v>
      </c>
      <c r="I22" s="27" t="s">
        <v>36</v>
      </c>
      <c r="J22" s="31" t="s">
        <v>71</v>
      </c>
      <c r="K22" s="27" t="s">
        <v>37</v>
      </c>
      <c r="L22" s="27" t="s">
        <v>38</v>
      </c>
      <c r="M22" s="32" t="str">
        <f>HYPERLINK("http://slimages.macys.com/is/image/MCY/3670411 ")</f>
        <v xml:space="preserve">http://slimages.macys.com/is/image/MCY/3670411 </v>
      </c>
    </row>
    <row r="23" spans="1:13" ht="15.2" customHeight="1" x14ac:dyDescent="0.2">
      <c r="A23" s="26" t="s">
        <v>8917</v>
      </c>
      <c r="B23" s="27" t="s">
        <v>8918</v>
      </c>
      <c r="C23" s="28">
        <v>1</v>
      </c>
      <c r="D23" s="29">
        <v>22</v>
      </c>
      <c r="E23" s="29">
        <v>22</v>
      </c>
      <c r="F23" s="30">
        <v>69</v>
      </c>
      <c r="G23" s="29">
        <v>69</v>
      </c>
      <c r="H23" s="28" t="s">
        <v>7637</v>
      </c>
      <c r="I23" s="27" t="s">
        <v>36</v>
      </c>
      <c r="J23" s="31" t="s">
        <v>5</v>
      </c>
      <c r="K23" s="27" t="s">
        <v>37</v>
      </c>
      <c r="L23" s="27" t="s">
        <v>38</v>
      </c>
      <c r="M23" s="32" t="str">
        <f>HYPERLINK("http://slimages.macys.com/is/image/MCY/3670411 ")</f>
        <v xml:space="preserve">http://slimages.macys.com/is/image/MCY/3670411 </v>
      </c>
    </row>
    <row r="24" spans="1:13" ht="15.2" customHeight="1" x14ac:dyDescent="0.2">
      <c r="A24" s="26" t="s">
        <v>8919</v>
      </c>
      <c r="B24" s="27" t="s">
        <v>8920</v>
      </c>
      <c r="C24" s="28">
        <v>2</v>
      </c>
      <c r="D24" s="29">
        <v>22</v>
      </c>
      <c r="E24" s="29">
        <v>44</v>
      </c>
      <c r="F24" s="30">
        <v>69</v>
      </c>
      <c r="G24" s="29">
        <v>138</v>
      </c>
      <c r="H24" s="28" t="s">
        <v>7867</v>
      </c>
      <c r="I24" s="27" t="s">
        <v>4</v>
      </c>
      <c r="J24" s="31" t="s">
        <v>214</v>
      </c>
      <c r="K24" s="27" t="s">
        <v>24</v>
      </c>
      <c r="L24" s="27" t="s">
        <v>999</v>
      </c>
      <c r="M24" s="32" t="str">
        <f>HYPERLINK("http://slimages.macys.com/is/image/MCY/3878705 ")</f>
        <v xml:space="preserve">http://slimages.macys.com/is/image/MCY/3878705 </v>
      </c>
    </row>
    <row r="25" spans="1:13" ht="15.2" customHeight="1" x14ac:dyDescent="0.2">
      <c r="A25" s="26" t="s">
        <v>8921</v>
      </c>
      <c r="B25" s="27" t="s">
        <v>8922</v>
      </c>
      <c r="C25" s="28">
        <v>1</v>
      </c>
      <c r="D25" s="29">
        <v>22</v>
      </c>
      <c r="E25" s="29">
        <v>22</v>
      </c>
      <c r="F25" s="30">
        <v>69</v>
      </c>
      <c r="G25" s="29">
        <v>69</v>
      </c>
      <c r="H25" s="28" t="s">
        <v>7867</v>
      </c>
      <c r="I25" s="27" t="s">
        <v>4</v>
      </c>
      <c r="J25" s="31" t="s">
        <v>23</v>
      </c>
      <c r="K25" s="27" t="s">
        <v>24</v>
      </c>
      <c r="L25" s="27" t="s">
        <v>999</v>
      </c>
      <c r="M25" s="32" t="str">
        <f>HYPERLINK("http://slimages.macys.com/is/image/MCY/3878705 ")</f>
        <v xml:space="preserve">http://slimages.macys.com/is/image/MCY/3878705 </v>
      </c>
    </row>
    <row r="26" spans="1:13" ht="15.2" customHeight="1" x14ac:dyDescent="0.2">
      <c r="A26" s="26" t="s">
        <v>8923</v>
      </c>
      <c r="B26" s="27" t="s">
        <v>8924</v>
      </c>
      <c r="C26" s="28">
        <v>3</v>
      </c>
      <c r="D26" s="29">
        <v>21.72</v>
      </c>
      <c r="E26" s="29">
        <v>65.16</v>
      </c>
      <c r="F26" s="30">
        <v>49.99</v>
      </c>
      <c r="G26" s="29">
        <v>149.97</v>
      </c>
      <c r="H26" s="28" t="s">
        <v>5409</v>
      </c>
      <c r="I26" s="27" t="s">
        <v>10</v>
      </c>
      <c r="J26" s="31" t="s">
        <v>108</v>
      </c>
      <c r="K26" s="27" t="s">
        <v>41</v>
      </c>
      <c r="L26" s="27" t="s">
        <v>45</v>
      </c>
      <c r="M26" s="32" t="str">
        <f>HYPERLINK("http://slimages.macys.com/is/image/MCY/3264514 ")</f>
        <v xml:space="preserve">http://slimages.macys.com/is/image/MCY/3264514 </v>
      </c>
    </row>
    <row r="27" spans="1:13" ht="15.2" customHeight="1" x14ac:dyDescent="0.2">
      <c r="A27" s="26" t="s">
        <v>8925</v>
      </c>
      <c r="B27" s="27" t="s">
        <v>8926</v>
      </c>
      <c r="C27" s="28">
        <v>1</v>
      </c>
      <c r="D27" s="29">
        <v>21.72</v>
      </c>
      <c r="E27" s="29">
        <v>21.72</v>
      </c>
      <c r="F27" s="30">
        <v>49.99</v>
      </c>
      <c r="G27" s="29">
        <v>49.99</v>
      </c>
      <c r="H27" s="28" t="s">
        <v>5409</v>
      </c>
      <c r="I27" s="27" t="s">
        <v>10</v>
      </c>
      <c r="J27" s="31" t="s">
        <v>214</v>
      </c>
      <c r="K27" s="27" t="s">
        <v>41</v>
      </c>
      <c r="L27" s="27" t="s">
        <v>45</v>
      </c>
      <c r="M27" s="32" t="str">
        <f>HYPERLINK("http://slimages.macys.com/is/image/MCY/3264514 ")</f>
        <v xml:space="preserve">http://slimages.macys.com/is/image/MCY/3264514 </v>
      </c>
    </row>
    <row r="28" spans="1:13" ht="15.2" customHeight="1" x14ac:dyDescent="0.2">
      <c r="A28" s="26" t="s">
        <v>5407</v>
      </c>
      <c r="B28" s="27" t="s">
        <v>5408</v>
      </c>
      <c r="C28" s="28">
        <v>4</v>
      </c>
      <c r="D28" s="29">
        <v>21.72</v>
      </c>
      <c r="E28" s="29">
        <v>86.88</v>
      </c>
      <c r="F28" s="30">
        <v>49.99</v>
      </c>
      <c r="G28" s="29">
        <v>199.96</v>
      </c>
      <c r="H28" s="28" t="s">
        <v>5409</v>
      </c>
      <c r="I28" s="27" t="s">
        <v>10</v>
      </c>
      <c r="J28" s="31" t="s">
        <v>205</v>
      </c>
      <c r="K28" s="27" t="s">
        <v>41</v>
      </c>
      <c r="L28" s="27" t="s">
        <v>45</v>
      </c>
      <c r="M28" s="32" t="str">
        <f>HYPERLINK("http://slimages.macys.com/is/image/MCY/3264514 ")</f>
        <v xml:space="preserve">http://slimages.macys.com/is/image/MCY/3264514 </v>
      </c>
    </row>
    <row r="29" spans="1:13" ht="15.2" customHeight="1" x14ac:dyDescent="0.2">
      <c r="A29" s="26" t="s">
        <v>8927</v>
      </c>
      <c r="B29" s="27" t="s">
        <v>8928</v>
      </c>
      <c r="C29" s="28">
        <v>1</v>
      </c>
      <c r="D29" s="29">
        <v>21.71</v>
      </c>
      <c r="E29" s="29">
        <v>21.71</v>
      </c>
      <c r="F29" s="30">
        <v>52.99</v>
      </c>
      <c r="G29" s="29">
        <v>52.99</v>
      </c>
      <c r="H29" s="28" t="s">
        <v>8929</v>
      </c>
      <c r="I29" s="27" t="s">
        <v>4</v>
      </c>
      <c r="J29" s="31" t="s">
        <v>5</v>
      </c>
      <c r="K29" s="27" t="s">
        <v>41</v>
      </c>
      <c r="L29" s="27" t="s">
        <v>45</v>
      </c>
      <c r="M29" s="32" t="str">
        <f>HYPERLINK("http://slimages.macys.com/is/image/MCY/2915050 ")</f>
        <v xml:space="preserve">http://slimages.macys.com/is/image/MCY/2915050 </v>
      </c>
    </row>
    <row r="30" spans="1:13" ht="15.2" customHeight="1" x14ac:dyDescent="0.2">
      <c r="A30" s="26" t="s">
        <v>8930</v>
      </c>
      <c r="B30" s="27" t="s">
        <v>8931</v>
      </c>
      <c r="C30" s="28">
        <v>1</v>
      </c>
      <c r="D30" s="29">
        <v>21.71</v>
      </c>
      <c r="E30" s="29">
        <v>21.71</v>
      </c>
      <c r="F30" s="30">
        <v>49.99</v>
      </c>
      <c r="G30" s="29">
        <v>49.99</v>
      </c>
      <c r="H30" s="28" t="s">
        <v>8932</v>
      </c>
      <c r="I30" s="27" t="s">
        <v>82</v>
      </c>
      <c r="J30" s="31" t="s">
        <v>5</v>
      </c>
      <c r="K30" s="27" t="s">
        <v>41</v>
      </c>
      <c r="L30" s="27" t="s">
        <v>45</v>
      </c>
      <c r="M30" s="32" t="str">
        <f>HYPERLINK("http://slimages.macys.com/is/image/MCY/2915048 ")</f>
        <v xml:space="preserve">http://slimages.macys.com/is/image/MCY/2915048 </v>
      </c>
    </row>
    <row r="31" spans="1:13" ht="15.2" customHeight="1" x14ac:dyDescent="0.2">
      <c r="A31" s="26" t="s">
        <v>8933</v>
      </c>
      <c r="B31" s="27" t="s">
        <v>8934</v>
      </c>
      <c r="C31" s="28">
        <v>1</v>
      </c>
      <c r="D31" s="29">
        <v>21</v>
      </c>
      <c r="E31" s="29">
        <v>21</v>
      </c>
      <c r="F31" s="30">
        <v>59.5</v>
      </c>
      <c r="G31" s="29">
        <v>59.5</v>
      </c>
      <c r="H31" s="28" t="s">
        <v>8935</v>
      </c>
      <c r="I31" s="27" t="s">
        <v>94</v>
      </c>
      <c r="J31" s="31" t="s">
        <v>21</v>
      </c>
      <c r="K31" s="27" t="s">
        <v>53</v>
      </c>
      <c r="L31" s="27" t="s">
        <v>54</v>
      </c>
      <c r="M31" s="32" t="str">
        <f>HYPERLINK("http://slimages.macys.com/is/image/MCY/3598892 ")</f>
        <v xml:space="preserve">http://slimages.macys.com/is/image/MCY/3598892 </v>
      </c>
    </row>
    <row r="32" spans="1:13" ht="15.2" customHeight="1" x14ac:dyDescent="0.2">
      <c r="A32" s="26" t="s">
        <v>8936</v>
      </c>
      <c r="B32" s="27" t="s">
        <v>8937</v>
      </c>
      <c r="C32" s="28">
        <v>1</v>
      </c>
      <c r="D32" s="29">
        <v>20.6</v>
      </c>
      <c r="E32" s="29">
        <v>20.6</v>
      </c>
      <c r="F32" s="30">
        <v>59</v>
      </c>
      <c r="G32" s="29">
        <v>59</v>
      </c>
      <c r="H32" s="28" t="s">
        <v>8938</v>
      </c>
      <c r="I32" s="27" t="s">
        <v>22</v>
      </c>
      <c r="J32" s="31" t="s">
        <v>5</v>
      </c>
      <c r="K32" s="27" t="s">
        <v>795</v>
      </c>
      <c r="L32" s="27" t="s">
        <v>796</v>
      </c>
      <c r="M32" s="32" t="str">
        <f>HYPERLINK("http://slimages.macys.com/is/image/MCY/3592779 ")</f>
        <v xml:space="preserve">http://slimages.macys.com/is/image/MCY/3592779 </v>
      </c>
    </row>
    <row r="33" spans="1:13" ht="15.2" customHeight="1" x14ac:dyDescent="0.2">
      <c r="A33" s="26" t="s">
        <v>8939</v>
      </c>
      <c r="B33" s="27" t="s">
        <v>8940</v>
      </c>
      <c r="C33" s="28">
        <v>1</v>
      </c>
      <c r="D33" s="29">
        <v>20.6</v>
      </c>
      <c r="E33" s="29">
        <v>20.6</v>
      </c>
      <c r="F33" s="30">
        <v>59</v>
      </c>
      <c r="G33" s="29">
        <v>59</v>
      </c>
      <c r="H33" s="28" t="s">
        <v>8941</v>
      </c>
      <c r="I33" s="27" t="s">
        <v>82</v>
      </c>
      <c r="J33" s="31" t="s">
        <v>21</v>
      </c>
      <c r="K33" s="27" t="s">
        <v>795</v>
      </c>
      <c r="L33" s="27" t="s">
        <v>796</v>
      </c>
      <c r="M33" s="32" t="str">
        <f>HYPERLINK("http://slimages.macys.com/is/image/MCY/3623050 ")</f>
        <v xml:space="preserve">http://slimages.macys.com/is/image/MCY/3623050 </v>
      </c>
    </row>
    <row r="34" spans="1:13" ht="15.2" customHeight="1" x14ac:dyDescent="0.2">
      <c r="A34" s="26" t="s">
        <v>8942</v>
      </c>
      <c r="B34" s="27" t="s">
        <v>8943</v>
      </c>
      <c r="C34" s="28">
        <v>1</v>
      </c>
      <c r="D34" s="29">
        <v>20.53</v>
      </c>
      <c r="E34" s="29">
        <v>20.53</v>
      </c>
      <c r="F34" s="30">
        <v>59.5</v>
      </c>
      <c r="G34" s="29">
        <v>59.5</v>
      </c>
      <c r="H34" s="28" t="s">
        <v>8944</v>
      </c>
      <c r="I34" s="27" t="s">
        <v>82</v>
      </c>
      <c r="J34" s="31" t="s">
        <v>52</v>
      </c>
      <c r="K34" s="27" t="s">
        <v>53</v>
      </c>
      <c r="L34" s="27" t="s">
        <v>167</v>
      </c>
      <c r="M34" s="32" t="str">
        <f>HYPERLINK("http://slimages.macys.com/is/image/MCY/3470806 ")</f>
        <v xml:space="preserve">http://slimages.macys.com/is/image/MCY/3470806 </v>
      </c>
    </row>
    <row r="35" spans="1:13" ht="15.2" customHeight="1" x14ac:dyDescent="0.2">
      <c r="A35" s="26" t="s">
        <v>8945</v>
      </c>
      <c r="B35" s="27" t="s">
        <v>8946</v>
      </c>
      <c r="C35" s="28">
        <v>1</v>
      </c>
      <c r="D35" s="29">
        <v>20.53</v>
      </c>
      <c r="E35" s="29">
        <v>20.53</v>
      </c>
      <c r="F35" s="30">
        <v>59.5</v>
      </c>
      <c r="G35" s="29">
        <v>59.5</v>
      </c>
      <c r="H35" s="28" t="s">
        <v>8587</v>
      </c>
      <c r="I35" s="27" t="s">
        <v>64</v>
      </c>
      <c r="J35" s="31" t="s">
        <v>40</v>
      </c>
      <c r="K35" s="27" t="s">
        <v>53</v>
      </c>
      <c r="L35" s="27" t="s">
        <v>54</v>
      </c>
      <c r="M35" s="32" t="str">
        <f>HYPERLINK("http://slimages.macys.com/is/image/MCY/3624338 ")</f>
        <v xml:space="preserve">http://slimages.macys.com/is/image/MCY/3624338 </v>
      </c>
    </row>
    <row r="36" spans="1:13" ht="15.2" customHeight="1" x14ac:dyDescent="0.2">
      <c r="A36" s="26" t="s">
        <v>8947</v>
      </c>
      <c r="B36" s="27" t="s">
        <v>8948</v>
      </c>
      <c r="C36" s="28">
        <v>1</v>
      </c>
      <c r="D36" s="29">
        <v>20.53</v>
      </c>
      <c r="E36" s="29">
        <v>20.53</v>
      </c>
      <c r="F36" s="30">
        <v>59.5</v>
      </c>
      <c r="G36" s="29">
        <v>59.5</v>
      </c>
      <c r="H36" s="28" t="s">
        <v>8949</v>
      </c>
      <c r="I36" s="27" t="s">
        <v>4</v>
      </c>
      <c r="J36" s="31" t="s">
        <v>21</v>
      </c>
      <c r="K36" s="27" t="s">
        <v>53</v>
      </c>
      <c r="L36" s="27" t="s">
        <v>54</v>
      </c>
      <c r="M36" s="32" t="str">
        <f>HYPERLINK("http://slimages.macys.com/is/image/MCY/3455610 ")</f>
        <v xml:space="preserve">http://slimages.macys.com/is/image/MCY/3455610 </v>
      </c>
    </row>
    <row r="37" spans="1:13" ht="15.2" customHeight="1" x14ac:dyDescent="0.2">
      <c r="A37" s="26" t="s">
        <v>8950</v>
      </c>
      <c r="B37" s="27" t="s">
        <v>8951</v>
      </c>
      <c r="C37" s="28">
        <v>1</v>
      </c>
      <c r="D37" s="29">
        <v>20.53</v>
      </c>
      <c r="E37" s="29">
        <v>20.53</v>
      </c>
      <c r="F37" s="30">
        <v>59.5</v>
      </c>
      <c r="G37" s="29">
        <v>59.5</v>
      </c>
      <c r="H37" s="28" t="s">
        <v>8952</v>
      </c>
      <c r="I37" s="27" t="s">
        <v>215</v>
      </c>
      <c r="J37" s="31" t="s">
        <v>65</v>
      </c>
      <c r="K37" s="27" t="s">
        <v>53</v>
      </c>
      <c r="L37" s="27" t="s">
        <v>54</v>
      </c>
      <c r="M37" s="32" t="str">
        <f>HYPERLINK("http://slimages.macys.com/is/image/MCY/3637736 ")</f>
        <v xml:space="preserve">http://slimages.macys.com/is/image/MCY/3637736 </v>
      </c>
    </row>
    <row r="38" spans="1:13" ht="15.2" customHeight="1" x14ac:dyDescent="0.2">
      <c r="A38" s="26" t="s">
        <v>8953</v>
      </c>
      <c r="B38" s="27" t="s">
        <v>8954</v>
      </c>
      <c r="C38" s="28">
        <v>1</v>
      </c>
      <c r="D38" s="29">
        <v>20.52</v>
      </c>
      <c r="E38" s="29">
        <v>20.52</v>
      </c>
      <c r="F38" s="30">
        <v>59.5</v>
      </c>
      <c r="G38" s="29">
        <v>59.5</v>
      </c>
      <c r="H38" s="28" t="s">
        <v>60</v>
      </c>
      <c r="I38" s="27" t="s">
        <v>10</v>
      </c>
      <c r="J38" s="31" t="s">
        <v>5</v>
      </c>
      <c r="K38" s="27" t="s">
        <v>53</v>
      </c>
      <c r="L38" s="27" t="s">
        <v>54</v>
      </c>
      <c r="M38" s="32" t="str">
        <f>HYPERLINK("http://slimages.macys.com/is/image/MCY/3417577 ")</f>
        <v xml:space="preserve">http://slimages.macys.com/is/image/MCY/3417577 </v>
      </c>
    </row>
    <row r="39" spans="1:13" ht="15.2" customHeight="1" x14ac:dyDescent="0.2">
      <c r="A39" s="26" t="s">
        <v>8955</v>
      </c>
      <c r="B39" s="27" t="s">
        <v>8956</v>
      </c>
      <c r="C39" s="28">
        <v>1</v>
      </c>
      <c r="D39" s="29">
        <v>20.5</v>
      </c>
      <c r="E39" s="29">
        <v>20.5</v>
      </c>
      <c r="F39" s="30">
        <v>49.99</v>
      </c>
      <c r="G39" s="29">
        <v>49.99</v>
      </c>
      <c r="H39" s="28" t="s">
        <v>8256</v>
      </c>
      <c r="I39" s="27" t="s">
        <v>82</v>
      </c>
      <c r="J39" s="31" t="s">
        <v>69</v>
      </c>
      <c r="K39" s="27" t="s">
        <v>70</v>
      </c>
      <c r="L39" s="27" t="s">
        <v>485</v>
      </c>
      <c r="M39" s="32" t="str">
        <f>HYPERLINK("http://slimages.macys.com/is/image/MCY/3579711 ")</f>
        <v xml:space="preserve">http://slimages.macys.com/is/image/MCY/3579711 </v>
      </c>
    </row>
    <row r="40" spans="1:13" ht="15.2" customHeight="1" x14ac:dyDescent="0.2">
      <c r="A40" s="26" t="s">
        <v>8588</v>
      </c>
      <c r="B40" s="27" t="s">
        <v>8589</v>
      </c>
      <c r="C40" s="28">
        <v>1</v>
      </c>
      <c r="D40" s="29">
        <v>20</v>
      </c>
      <c r="E40" s="29">
        <v>20</v>
      </c>
      <c r="F40" s="30">
        <v>49.99</v>
      </c>
      <c r="G40" s="29">
        <v>49.99</v>
      </c>
      <c r="H40" s="28" t="s">
        <v>1119</v>
      </c>
      <c r="I40" s="27" t="s">
        <v>10</v>
      </c>
      <c r="J40" s="31" t="s">
        <v>214</v>
      </c>
      <c r="K40" s="27" t="s">
        <v>70</v>
      </c>
      <c r="L40" s="27" t="s">
        <v>67</v>
      </c>
      <c r="M40" s="32" t="str">
        <f>HYPERLINK("http://slimages.macys.com/is/image/MCY/3760845 ")</f>
        <v xml:space="preserve">http://slimages.macys.com/is/image/MCY/3760845 </v>
      </c>
    </row>
    <row r="41" spans="1:13" ht="15.2" customHeight="1" x14ac:dyDescent="0.2">
      <c r="A41" s="26" t="s">
        <v>8957</v>
      </c>
      <c r="B41" s="27" t="s">
        <v>8958</v>
      </c>
      <c r="C41" s="28">
        <v>1</v>
      </c>
      <c r="D41" s="29">
        <v>18.82</v>
      </c>
      <c r="E41" s="29">
        <v>18.82</v>
      </c>
      <c r="F41" s="30">
        <v>50.99</v>
      </c>
      <c r="G41" s="29">
        <v>50.99</v>
      </c>
      <c r="H41" s="28" t="s">
        <v>8959</v>
      </c>
      <c r="I41" s="27" t="s">
        <v>82</v>
      </c>
      <c r="J41" s="31" t="s">
        <v>5</v>
      </c>
      <c r="K41" s="27" t="s">
        <v>41</v>
      </c>
      <c r="L41" s="27" t="s">
        <v>45</v>
      </c>
      <c r="M41" s="32" t="str">
        <f>HYPERLINK("http://slimages.macys.com/is/image/MCY/3598855 ")</f>
        <v xml:space="preserve">http://slimages.macys.com/is/image/MCY/3598855 </v>
      </c>
    </row>
    <row r="42" spans="1:13" ht="15.2" customHeight="1" x14ac:dyDescent="0.2">
      <c r="A42" s="26" t="s">
        <v>8592</v>
      </c>
      <c r="B42" s="27" t="s">
        <v>8593</v>
      </c>
      <c r="C42" s="28">
        <v>1</v>
      </c>
      <c r="D42" s="29">
        <v>18.75</v>
      </c>
      <c r="E42" s="29">
        <v>18.75</v>
      </c>
      <c r="F42" s="30">
        <v>44.99</v>
      </c>
      <c r="G42" s="29">
        <v>44.99</v>
      </c>
      <c r="H42" s="28" t="s">
        <v>6858</v>
      </c>
      <c r="I42" s="27" t="s">
        <v>661</v>
      </c>
      <c r="J42" s="31" t="s">
        <v>52</v>
      </c>
      <c r="K42" s="27" t="s">
        <v>70</v>
      </c>
      <c r="L42" s="27" t="s">
        <v>999</v>
      </c>
      <c r="M42" s="32" t="str">
        <f>HYPERLINK("http://slimages.macys.com/is/image/MCY/3755644 ")</f>
        <v xml:space="preserve">http://slimages.macys.com/is/image/MCY/3755644 </v>
      </c>
    </row>
    <row r="43" spans="1:13" ht="15.2" customHeight="1" x14ac:dyDescent="0.2">
      <c r="A43" s="26" t="s">
        <v>8960</v>
      </c>
      <c r="B43" s="27" t="s">
        <v>8961</v>
      </c>
      <c r="C43" s="28">
        <v>1</v>
      </c>
      <c r="D43" s="29">
        <v>18.07</v>
      </c>
      <c r="E43" s="29">
        <v>18.07</v>
      </c>
      <c r="F43" s="30">
        <v>49.5</v>
      </c>
      <c r="G43" s="29">
        <v>49.5</v>
      </c>
      <c r="H43" s="28" t="s">
        <v>8766</v>
      </c>
      <c r="I43" s="27" t="s">
        <v>26</v>
      </c>
      <c r="J43" s="31" t="s">
        <v>71</v>
      </c>
      <c r="K43" s="27" t="s">
        <v>53</v>
      </c>
      <c r="L43" s="27" t="s">
        <v>54</v>
      </c>
      <c r="M43" s="32" t="str">
        <f>HYPERLINK("http://slimages.macys.com/is/image/MCY/3578335 ")</f>
        <v xml:space="preserve">http://slimages.macys.com/is/image/MCY/3578335 </v>
      </c>
    </row>
    <row r="44" spans="1:13" ht="15.2" customHeight="1" x14ac:dyDescent="0.2">
      <c r="A44" s="26" t="s">
        <v>8962</v>
      </c>
      <c r="B44" s="27" t="s">
        <v>8963</v>
      </c>
      <c r="C44" s="28">
        <v>1</v>
      </c>
      <c r="D44" s="29">
        <v>18</v>
      </c>
      <c r="E44" s="29">
        <v>18</v>
      </c>
      <c r="F44" s="30">
        <v>45</v>
      </c>
      <c r="G44" s="29">
        <v>45</v>
      </c>
      <c r="H44" s="28" t="s">
        <v>8964</v>
      </c>
      <c r="I44" s="27" t="s">
        <v>22</v>
      </c>
      <c r="J44" s="31" t="s">
        <v>40</v>
      </c>
      <c r="K44" s="27" t="s">
        <v>989</v>
      </c>
      <c r="L44" s="27" t="s">
        <v>2123</v>
      </c>
      <c r="M44" s="32" t="str">
        <f>HYPERLINK("http://slimages.macys.com/is/image/MCY/3548310 ")</f>
        <v xml:space="preserve">http://slimages.macys.com/is/image/MCY/3548310 </v>
      </c>
    </row>
    <row r="45" spans="1:13" ht="15.2" customHeight="1" x14ac:dyDescent="0.2">
      <c r="A45" s="26" t="s">
        <v>8965</v>
      </c>
      <c r="B45" s="27" t="s">
        <v>8966</v>
      </c>
      <c r="C45" s="28">
        <v>1</v>
      </c>
      <c r="D45" s="29">
        <v>18</v>
      </c>
      <c r="E45" s="29">
        <v>18</v>
      </c>
      <c r="F45" s="30">
        <v>59</v>
      </c>
      <c r="G45" s="29">
        <v>59</v>
      </c>
      <c r="H45" s="28" t="s">
        <v>8967</v>
      </c>
      <c r="I45" s="27" t="s">
        <v>4</v>
      </c>
      <c r="J45" s="31" t="s">
        <v>205</v>
      </c>
      <c r="K45" s="27" t="s">
        <v>24</v>
      </c>
      <c r="L45" s="27" t="s">
        <v>1079</v>
      </c>
      <c r="M45" s="32" t="str">
        <f>HYPERLINK("http://slimages.macys.com/is/image/MCY/3496783 ")</f>
        <v xml:space="preserve">http://slimages.macys.com/is/image/MCY/3496783 </v>
      </c>
    </row>
    <row r="46" spans="1:13" ht="15.2" customHeight="1" x14ac:dyDescent="0.2">
      <c r="A46" s="26" t="s">
        <v>8968</v>
      </c>
      <c r="B46" s="27" t="s">
        <v>8969</v>
      </c>
      <c r="C46" s="28">
        <v>1</v>
      </c>
      <c r="D46" s="29">
        <v>18</v>
      </c>
      <c r="E46" s="29">
        <v>18</v>
      </c>
      <c r="F46" s="30">
        <v>42.99</v>
      </c>
      <c r="G46" s="29">
        <v>42.99</v>
      </c>
      <c r="H46" s="28" t="s">
        <v>8970</v>
      </c>
      <c r="I46" s="27" t="s">
        <v>59</v>
      </c>
      <c r="J46" s="31" t="s">
        <v>234</v>
      </c>
      <c r="K46" s="27" t="s">
        <v>70</v>
      </c>
      <c r="L46" s="27" t="s">
        <v>155</v>
      </c>
      <c r="M46" s="32" t="str">
        <f>HYPERLINK("http://slimages.macys.com/is/image/MCY/3760930 ")</f>
        <v xml:space="preserve">http://slimages.macys.com/is/image/MCY/3760930 </v>
      </c>
    </row>
    <row r="47" spans="1:13" ht="15.2" customHeight="1" x14ac:dyDescent="0.2">
      <c r="A47" s="26" t="s">
        <v>8971</v>
      </c>
      <c r="B47" s="27" t="s">
        <v>8972</v>
      </c>
      <c r="C47" s="28">
        <v>1</v>
      </c>
      <c r="D47" s="29">
        <v>18</v>
      </c>
      <c r="E47" s="29">
        <v>18</v>
      </c>
      <c r="F47" s="30">
        <v>44.99</v>
      </c>
      <c r="G47" s="29">
        <v>44.99</v>
      </c>
      <c r="H47" s="28" t="s">
        <v>7366</v>
      </c>
      <c r="I47" s="27" t="s">
        <v>26</v>
      </c>
      <c r="J47" s="31" t="s">
        <v>52</v>
      </c>
      <c r="K47" s="27" t="s">
        <v>70</v>
      </c>
      <c r="L47" s="27" t="s">
        <v>650</v>
      </c>
      <c r="M47" s="32" t="str">
        <f>HYPERLINK("http://slimages.macys.com/is/image/MCY/3801636 ")</f>
        <v xml:space="preserve">http://slimages.macys.com/is/image/MCY/3801636 </v>
      </c>
    </row>
    <row r="48" spans="1:13" ht="15.2" customHeight="1" x14ac:dyDescent="0.2">
      <c r="A48" s="26" t="s">
        <v>8973</v>
      </c>
      <c r="B48" s="27" t="s">
        <v>8974</v>
      </c>
      <c r="C48" s="28">
        <v>1</v>
      </c>
      <c r="D48" s="29">
        <v>17.88</v>
      </c>
      <c r="E48" s="29">
        <v>17.88</v>
      </c>
      <c r="F48" s="30">
        <v>49.5</v>
      </c>
      <c r="G48" s="29">
        <v>49.5</v>
      </c>
      <c r="H48" s="28" t="s">
        <v>8596</v>
      </c>
      <c r="I48" s="27" t="s">
        <v>244</v>
      </c>
      <c r="J48" s="31" t="s">
        <v>5</v>
      </c>
      <c r="K48" s="27" t="s">
        <v>53</v>
      </c>
      <c r="L48" s="27" t="s">
        <v>54</v>
      </c>
      <c r="M48" s="32" t="str">
        <f>HYPERLINK("http://slimages.macys.com/is/image/MCY/3578381 ")</f>
        <v xml:space="preserve">http://slimages.macys.com/is/image/MCY/3578381 </v>
      </c>
    </row>
    <row r="49" spans="1:13" ht="15.2" customHeight="1" x14ac:dyDescent="0.2">
      <c r="A49" s="26" t="s">
        <v>8594</v>
      </c>
      <c r="B49" s="27" t="s">
        <v>8595</v>
      </c>
      <c r="C49" s="28">
        <v>1</v>
      </c>
      <c r="D49" s="29">
        <v>17.88</v>
      </c>
      <c r="E49" s="29">
        <v>17.88</v>
      </c>
      <c r="F49" s="30">
        <v>49.5</v>
      </c>
      <c r="G49" s="29">
        <v>49.5</v>
      </c>
      <c r="H49" s="28" t="s">
        <v>8596</v>
      </c>
      <c r="I49" s="27" t="s">
        <v>244</v>
      </c>
      <c r="J49" s="31" t="s">
        <v>52</v>
      </c>
      <c r="K49" s="27" t="s">
        <v>53</v>
      </c>
      <c r="L49" s="27" t="s">
        <v>54</v>
      </c>
      <c r="M49" s="32" t="str">
        <f>HYPERLINK("http://slimages.macys.com/is/image/MCY/3578381 ")</f>
        <v xml:space="preserve">http://slimages.macys.com/is/image/MCY/3578381 </v>
      </c>
    </row>
    <row r="50" spans="1:13" ht="15.2" customHeight="1" x14ac:dyDescent="0.2">
      <c r="A50" s="26" t="s">
        <v>8195</v>
      </c>
      <c r="B50" s="27" t="s">
        <v>8196</v>
      </c>
      <c r="C50" s="28">
        <v>1</v>
      </c>
      <c r="D50" s="29">
        <v>17.86</v>
      </c>
      <c r="E50" s="29">
        <v>17.86</v>
      </c>
      <c r="F50" s="30">
        <v>49.5</v>
      </c>
      <c r="G50" s="29">
        <v>49.5</v>
      </c>
      <c r="H50" s="28" t="s">
        <v>8197</v>
      </c>
      <c r="I50" s="27" t="s">
        <v>4</v>
      </c>
      <c r="J50" s="31" t="s">
        <v>71</v>
      </c>
      <c r="K50" s="27" t="s">
        <v>53</v>
      </c>
      <c r="L50" s="27" t="s">
        <v>54</v>
      </c>
      <c r="M50" s="32" t="str">
        <f>HYPERLINK("http://slimages.macys.com/is/image/MCY/3471171 ")</f>
        <v xml:space="preserve">http://slimages.macys.com/is/image/MCY/3471171 </v>
      </c>
    </row>
    <row r="51" spans="1:13" ht="15.2" customHeight="1" x14ac:dyDescent="0.2">
      <c r="A51" s="26" t="s">
        <v>8975</v>
      </c>
      <c r="B51" s="27" t="s">
        <v>8976</v>
      </c>
      <c r="C51" s="28">
        <v>1</v>
      </c>
      <c r="D51" s="29">
        <v>17.579999999999998</v>
      </c>
      <c r="E51" s="29">
        <v>17.579999999999998</v>
      </c>
      <c r="F51" s="30">
        <v>34.99</v>
      </c>
      <c r="G51" s="29">
        <v>34.99</v>
      </c>
      <c r="H51" s="28">
        <v>323170033</v>
      </c>
      <c r="I51" s="27" t="s">
        <v>59</v>
      </c>
      <c r="J51" s="31"/>
      <c r="K51" s="27" t="s">
        <v>2</v>
      </c>
      <c r="L51" s="27" t="s">
        <v>3</v>
      </c>
      <c r="M51" s="32" t="str">
        <f>HYPERLINK("http://slimages.macys.com/is/image/MCY/2885912 ")</f>
        <v xml:space="preserve">http://slimages.macys.com/is/image/MCY/2885912 </v>
      </c>
    </row>
    <row r="52" spans="1:13" ht="15.2" customHeight="1" x14ac:dyDescent="0.2">
      <c r="A52" s="26" t="s">
        <v>8977</v>
      </c>
      <c r="B52" s="27" t="s">
        <v>8978</v>
      </c>
      <c r="C52" s="28">
        <v>1</v>
      </c>
      <c r="D52" s="29">
        <v>17.5</v>
      </c>
      <c r="E52" s="29">
        <v>17.5</v>
      </c>
      <c r="F52" s="30">
        <v>69</v>
      </c>
      <c r="G52" s="29">
        <v>69</v>
      </c>
      <c r="H52" s="28" t="s">
        <v>7496</v>
      </c>
      <c r="I52" s="27" t="s">
        <v>189</v>
      </c>
      <c r="J52" s="31" t="s">
        <v>234</v>
      </c>
      <c r="K52" s="27" t="s">
        <v>24</v>
      </c>
      <c r="L52" s="27" t="s">
        <v>101</v>
      </c>
      <c r="M52" s="32" t="str">
        <f>HYPERLINK("http://slimages.macys.com/is/image/MCY/3832795 ")</f>
        <v xml:space="preserve">http://slimages.macys.com/is/image/MCY/3832795 </v>
      </c>
    </row>
    <row r="53" spans="1:13" ht="15.2" customHeight="1" x14ac:dyDescent="0.2">
      <c r="A53" s="26" t="s">
        <v>8979</v>
      </c>
      <c r="B53" s="27" t="s">
        <v>8980</v>
      </c>
      <c r="C53" s="28">
        <v>1</v>
      </c>
      <c r="D53" s="29">
        <v>17.420000000000002</v>
      </c>
      <c r="E53" s="29">
        <v>17.420000000000002</v>
      </c>
      <c r="F53" s="30">
        <v>49.5</v>
      </c>
      <c r="G53" s="29">
        <v>49.5</v>
      </c>
      <c r="H53" s="28" t="s">
        <v>8981</v>
      </c>
      <c r="I53" s="27" t="s">
        <v>22</v>
      </c>
      <c r="J53" s="31" t="s">
        <v>32</v>
      </c>
      <c r="K53" s="27" t="s">
        <v>12</v>
      </c>
      <c r="L53" s="27" t="s">
        <v>13</v>
      </c>
      <c r="M53" s="32" t="str">
        <f>HYPERLINK("http://slimages.macys.com/is/image/MCY/3636973 ")</f>
        <v xml:space="preserve">http://slimages.macys.com/is/image/MCY/3636973 </v>
      </c>
    </row>
    <row r="54" spans="1:13" ht="15.2" customHeight="1" x14ac:dyDescent="0.2">
      <c r="A54" s="26" t="s">
        <v>8982</v>
      </c>
      <c r="B54" s="27" t="s">
        <v>8983</v>
      </c>
      <c r="C54" s="28">
        <v>1</v>
      </c>
      <c r="D54" s="29">
        <v>17.28</v>
      </c>
      <c r="E54" s="29">
        <v>17.28</v>
      </c>
      <c r="F54" s="30">
        <v>49.5</v>
      </c>
      <c r="G54" s="29">
        <v>49.5</v>
      </c>
      <c r="H54" s="28" t="s">
        <v>7499</v>
      </c>
      <c r="I54" s="27" t="s">
        <v>10</v>
      </c>
      <c r="J54" s="31" t="s">
        <v>205</v>
      </c>
      <c r="K54" s="27" t="s">
        <v>41</v>
      </c>
      <c r="L54" s="27" t="s">
        <v>45</v>
      </c>
      <c r="M54" s="32" t="str">
        <f>HYPERLINK("http://slimages.macys.com/is/image/MCY/3484718 ")</f>
        <v xml:space="preserve">http://slimages.macys.com/is/image/MCY/3484718 </v>
      </c>
    </row>
    <row r="55" spans="1:13" ht="15.2" customHeight="1" x14ac:dyDescent="0.2">
      <c r="A55" s="26" t="s">
        <v>8262</v>
      </c>
      <c r="B55" s="27" t="s">
        <v>8263</v>
      </c>
      <c r="C55" s="28">
        <v>1</v>
      </c>
      <c r="D55" s="29">
        <v>17.28</v>
      </c>
      <c r="E55" s="29">
        <v>17.28</v>
      </c>
      <c r="F55" s="30">
        <v>49.5</v>
      </c>
      <c r="G55" s="29">
        <v>49.5</v>
      </c>
      <c r="H55" s="28" t="s">
        <v>7499</v>
      </c>
      <c r="I55" s="27" t="s">
        <v>10</v>
      </c>
      <c r="J55" s="31" t="s">
        <v>108</v>
      </c>
      <c r="K55" s="27" t="s">
        <v>41</v>
      </c>
      <c r="L55" s="27" t="s">
        <v>45</v>
      </c>
      <c r="M55" s="32" t="str">
        <f>HYPERLINK("http://slimages.macys.com/is/image/MCY/3484718 ")</f>
        <v xml:space="preserve">http://slimages.macys.com/is/image/MCY/3484718 </v>
      </c>
    </row>
    <row r="56" spans="1:13" ht="15.2" customHeight="1" x14ac:dyDescent="0.2">
      <c r="A56" s="26" t="s">
        <v>8984</v>
      </c>
      <c r="B56" s="27" t="s">
        <v>8985</v>
      </c>
      <c r="C56" s="28">
        <v>1</v>
      </c>
      <c r="D56" s="29">
        <v>17.25</v>
      </c>
      <c r="E56" s="29">
        <v>17.25</v>
      </c>
      <c r="F56" s="30">
        <v>49</v>
      </c>
      <c r="G56" s="29">
        <v>49</v>
      </c>
      <c r="H56" s="28" t="s">
        <v>8767</v>
      </c>
      <c r="I56" s="27" t="s">
        <v>36</v>
      </c>
      <c r="J56" s="31" t="s">
        <v>21</v>
      </c>
      <c r="K56" s="27" t="s">
        <v>37</v>
      </c>
      <c r="L56" s="27" t="s">
        <v>38</v>
      </c>
      <c r="M56" s="32" t="str">
        <f>HYPERLINK("http://slimages.macys.com/is/image/MCY/3563215 ")</f>
        <v xml:space="preserve">http://slimages.macys.com/is/image/MCY/3563215 </v>
      </c>
    </row>
    <row r="57" spans="1:13" ht="15.2" customHeight="1" x14ac:dyDescent="0.2">
      <c r="A57" s="26" t="s">
        <v>8986</v>
      </c>
      <c r="B57" s="27" t="s">
        <v>8987</v>
      </c>
      <c r="C57" s="28">
        <v>1</v>
      </c>
      <c r="D57" s="29">
        <v>17.25</v>
      </c>
      <c r="E57" s="29">
        <v>17.25</v>
      </c>
      <c r="F57" s="30">
        <v>49</v>
      </c>
      <c r="G57" s="29">
        <v>49</v>
      </c>
      <c r="H57" s="28" t="s">
        <v>8988</v>
      </c>
      <c r="I57" s="27" t="s">
        <v>36</v>
      </c>
      <c r="J57" s="31"/>
      <c r="K57" s="27" t="s">
        <v>37</v>
      </c>
      <c r="L57" s="27" t="s">
        <v>38</v>
      </c>
      <c r="M57" s="32" t="str">
        <f>HYPERLINK("http://slimages.macys.com/is/image/MCY/3520283 ")</f>
        <v xml:space="preserve">http://slimages.macys.com/is/image/MCY/3520283 </v>
      </c>
    </row>
    <row r="58" spans="1:13" ht="15.2" customHeight="1" x14ac:dyDescent="0.2">
      <c r="A58" s="26" t="s">
        <v>8989</v>
      </c>
      <c r="B58" s="27" t="s">
        <v>8990</v>
      </c>
      <c r="C58" s="28">
        <v>1</v>
      </c>
      <c r="D58" s="29">
        <v>17.079999999999998</v>
      </c>
      <c r="E58" s="29">
        <v>17.079999999999998</v>
      </c>
      <c r="F58" s="30">
        <v>40.99</v>
      </c>
      <c r="G58" s="29">
        <v>40.99</v>
      </c>
      <c r="H58" s="28" t="s">
        <v>8991</v>
      </c>
      <c r="I58" s="27" t="s">
        <v>238</v>
      </c>
      <c r="J58" s="31" t="s">
        <v>52</v>
      </c>
      <c r="K58" s="27" t="s">
        <v>41</v>
      </c>
      <c r="L58" s="27" t="s">
        <v>45</v>
      </c>
      <c r="M58" s="32" t="str">
        <f>HYPERLINK("http://slimages.macys.com/is/image/MCY/3672029 ")</f>
        <v xml:space="preserve">http://slimages.macys.com/is/image/MCY/3672029 </v>
      </c>
    </row>
    <row r="59" spans="1:13" ht="15.2" customHeight="1" x14ac:dyDescent="0.2">
      <c r="A59" s="26" t="s">
        <v>8992</v>
      </c>
      <c r="B59" s="27" t="s">
        <v>8993</v>
      </c>
      <c r="C59" s="28">
        <v>1</v>
      </c>
      <c r="D59" s="29">
        <v>17</v>
      </c>
      <c r="E59" s="29">
        <v>17</v>
      </c>
      <c r="F59" s="30">
        <v>41.99</v>
      </c>
      <c r="G59" s="29">
        <v>41.99</v>
      </c>
      <c r="H59" s="28" t="s">
        <v>6888</v>
      </c>
      <c r="I59" s="27" t="s">
        <v>215</v>
      </c>
      <c r="J59" s="31" t="s">
        <v>5</v>
      </c>
      <c r="K59" s="27" t="s">
        <v>70</v>
      </c>
      <c r="L59" s="27" t="s">
        <v>999</v>
      </c>
      <c r="M59" s="32" t="str">
        <f>HYPERLINK("http://slimages.macys.com/is/image/MCY/3664346 ")</f>
        <v xml:space="preserve">http://slimages.macys.com/is/image/MCY/3664346 </v>
      </c>
    </row>
    <row r="60" spans="1:13" ht="15.2" customHeight="1" x14ac:dyDescent="0.2">
      <c r="A60" s="26" t="s">
        <v>8994</v>
      </c>
      <c r="B60" s="27" t="s">
        <v>8995</v>
      </c>
      <c r="C60" s="28">
        <v>1</v>
      </c>
      <c r="D60" s="29">
        <v>16.75</v>
      </c>
      <c r="E60" s="29">
        <v>16.75</v>
      </c>
      <c r="F60" s="30">
        <v>59</v>
      </c>
      <c r="G60" s="29">
        <v>59</v>
      </c>
      <c r="H60" s="28" t="s">
        <v>4986</v>
      </c>
      <c r="I60" s="27" t="s">
        <v>75</v>
      </c>
      <c r="J60" s="31"/>
      <c r="K60" s="27" t="s">
        <v>37</v>
      </c>
      <c r="L60" s="27" t="s">
        <v>38</v>
      </c>
      <c r="M60" s="32" t="str">
        <f>HYPERLINK("http://slimages.macys.com/is/image/MCY/3559689 ")</f>
        <v xml:space="preserve">http://slimages.macys.com/is/image/MCY/3559689 </v>
      </c>
    </row>
    <row r="61" spans="1:13" ht="15.2" customHeight="1" x14ac:dyDescent="0.2">
      <c r="A61" s="26" t="s">
        <v>8996</v>
      </c>
      <c r="B61" s="27" t="s">
        <v>8997</v>
      </c>
      <c r="C61" s="28">
        <v>1</v>
      </c>
      <c r="D61" s="29">
        <v>16.53</v>
      </c>
      <c r="E61" s="29">
        <v>16.53</v>
      </c>
      <c r="F61" s="30">
        <v>49.5</v>
      </c>
      <c r="G61" s="29">
        <v>49.5</v>
      </c>
      <c r="H61" s="28" t="s">
        <v>8599</v>
      </c>
      <c r="I61" s="27" t="s">
        <v>333</v>
      </c>
      <c r="J61" s="31" t="s">
        <v>5</v>
      </c>
      <c r="K61" s="27" t="s">
        <v>53</v>
      </c>
      <c r="L61" s="27" t="s">
        <v>54</v>
      </c>
      <c r="M61" s="32" t="str">
        <f>HYPERLINK("http://slimages.macys.com/is/image/MCY/2675183 ")</f>
        <v xml:space="preserve">http://slimages.macys.com/is/image/MCY/2675183 </v>
      </c>
    </row>
    <row r="62" spans="1:13" ht="15.2" customHeight="1" x14ac:dyDescent="0.2">
      <c r="A62" s="26" t="s">
        <v>8998</v>
      </c>
      <c r="B62" s="27" t="s">
        <v>8999</v>
      </c>
      <c r="C62" s="28">
        <v>1</v>
      </c>
      <c r="D62" s="29">
        <v>16.5</v>
      </c>
      <c r="E62" s="29">
        <v>16.5</v>
      </c>
      <c r="F62" s="30">
        <v>44.5</v>
      </c>
      <c r="G62" s="29">
        <v>44.5</v>
      </c>
      <c r="H62" s="28" t="s">
        <v>1158</v>
      </c>
      <c r="I62" s="27" t="s">
        <v>107</v>
      </c>
      <c r="J62" s="31" t="s">
        <v>71</v>
      </c>
      <c r="K62" s="27" t="s">
        <v>41</v>
      </c>
      <c r="L62" s="27" t="s">
        <v>45</v>
      </c>
      <c r="M62" s="32" t="str">
        <f>HYPERLINK("http://slimages.macys.com/is/image/MCY/3612231 ")</f>
        <v xml:space="preserve">http://slimages.macys.com/is/image/MCY/3612231 </v>
      </c>
    </row>
    <row r="63" spans="1:13" ht="15.2" customHeight="1" x14ac:dyDescent="0.2">
      <c r="A63" s="26" t="s">
        <v>9000</v>
      </c>
      <c r="B63" s="27" t="s">
        <v>9001</v>
      </c>
      <c r="C63" s="28">
        <v>1</v>
      </c>
      <c r="D63" s="29">
        <v>15.93</v>
      </c>
      <c r="E63" s="29">
        <v>15.93</v>
      </c>
      <c r="F63" s="30">
        <v>44.5</v>
      </c>
      <c r="G63" s="29">
        <v>44.5</v>
      </c>
      <c r="H63" s="28" t="s">
        <v>9002</v>
      </c>
      <c r="I63" s="27" t="s">
        <v>10</v>
      </c>
      <c r="J63" s="31" t="s">
        <v>205</v>
      </c>
      <c r="K63" s="27" t="s">
        <v>41</v>
      </c>
      <c r="L63" s="27" t="s">
        <v>45</v>
      </c>
      <c r="M63" s="32" t="str">
        <f>HYPERLINK("http://slimages.macys.com/is/image/MCY/2045092 ")</f>
        <v xml:space="preserve">http://slimages.macys.com/is/image/MCY/2045092 </v>
      </c>
    </row>
    <row r="64" spans="1:13" ht="15.2" customHeight="1" x14ac:dyDescent="0.2">
      <c r="A64" s="26" t="s">
        <v>9003</v>
      </c>
      <c r="B64" s="27" t="s">
        <v>9004</v>
      </c>
      <c r="C64" s="28">
        <v>1</v>
      </c>
      <c r="D64" s="29">
        <v>15.81</v>
      </c>
      <c r="E64" s="29">
        <v>15.81</v>
      </c>
      <c r="F64" s="30">
        <v>44.5</v>
      </c>
      <c r="G64" s="29">
        <v>44.5</v>
      </c>
      <c r="H64" s="28" t="s">
        <v>9005</v>
      </c>
      <c r="I64" s="27" t="s">
        <v>4</v>
      </c>
      <c r="J64" s="31" t="s">
        <v>71</v>
      </c>
      <c r="K64" s="27" t="s">
        <v>41</v>
      </c>
      <c r="L64" s="27" t="s">
        <v>83</v>
      </c>
      <c r="M64" s="32" t="str">
        <f>HYPERLINK("http://slimages.macys.com/is/image/MCY/3555646 ")</f>
        <v xml:space="preserve">http://slimages.macys.com/is/image/MCY/3555646 </v>
      </c>
    </row>
    <row r="65" spans="1:13" ht="15.2" customHeight="1" x14ac:dyDescent="0.2">
      <c r="A65" s="26" t="s">
        <v>9006</v>
      </c>
      <c r="B65" s="27" t="s">
        <v>9007</v>
      </c>
      <c r="C65" s="28">
        <v>1</v>
      </c>
      <c r="D65" s="29">
        <v>15.75</v>
      </c>
      <c r="E65" s="29">
        <v>15.75</v>
      </c>
      <c r="F65" s="30">
        <v>49</v>
      </c>
      <c r="G65" s="29">
        <v>49</v>
      </c>
      <c r="H65" s="28" t="s">
        <v>9008</v>
      </c>
      <c r="I65" s="27" t="s">
        <v>244</v>
      </c>
      <c r="J65" s="31" t="s">
        <v>5</v>
      </c>
      <c r="K65" s="27" t="s">
        <v>37</v>
      </c>
      <c r="L65" s="27" t="s">
        <v>38</v>
      </c>
      <c r="M65" s="32" t="str">
        <f>HYPERLINK("http://slimages.macys.com/is/image/MCY/3265446 ")</f>
        <v xml:space="preserve">http://slimages.macys.com/is/image/MCY/3265446 </v>
      </c>
    </row>
    <row r="66" spans="1:13" ht="15.2" customHeight="1" x14ac:dyDescent="0.2">
      <c r="A66" s="26" t="s">
        <v>9009</v>
      </c>
      <c r="B66" s="27" t="s">
        <v>9010</v>
      </c>
      <c r="C66" s="28">
        <v>1</v>
      </c>
      <c r="D66" s="29">
        <v>15.5</v>
      </c>
      <c r="E66" s="29">
        <v>15.5</v>
      </c>
      <c r="F66" s="30">
        <v>34.979999999999997</v>
      </c>
      <c r="G66" s="29">
        <v>34.979999999999997</v>
      </c>
      <c r="H66" s="28" t="s">
        <v>715</v>
      </c>
      <c r="I66" s="27" t="s">
        <v>49</v>
      </c>
      <c r="J66" s="31" t="s">
        <v>234</v>
      </c>
      <c r="K66" s="27" t="s">
        <v>154</v>
      </c>
      <c r="L66" s="27" t="s">
        <v>155</v>
      </c>
      <c r="M66" s="32" t="str">
        <f>HYPERLINK("http://slimages.macys.com/is/image/MCY/3667535 ")</f>
        <v xml:space="preserve">http://slimages.macys.com/is/image/MCY/3667535 </v>
      </c>
    </row>
    <row r="67" spans="1:13" ht="15.2" customHeight="1" x14ac:dyDescent="0.2">
      <c r="A67" s="26" t="s">
        <v>9011</v>
      </c>
      <c r="B67" s="27" t="s">
        <v>9012</v>
      </c>
      <c r="C67" s="28">
        <v>1</v>
      </c>
      <c r="D67" s="29">
        <v>15.4</v>
      </c>
      <c r="E67" s="29">
        <v>15.4</v>
      </c>
      <c r="F67" s="30">
        <v>44</v>
      </c>
      <c r="G67" s="29">
        <v>44</v>
      </c>
      <c r="H67" s="28" t="s">
        <v>5417</v>
      </c>
      <c r="I67" s="27" t="s">
        <v>36</v>
      </c>
      <c r="J67" s="31" t="s">
        <v>71</v>
      </c>
      <c r="K67" s="27" t="s">
        <v>37</v>
      </c>
      <c r="L67" s="27" t="s">
        <v>38</v>
      </c>
      <c r="M67" s="32" t="str">
        <f>HYPERLINK("http://slimages.macys.com/is/image/MCY/3717671 ")</f>
        <v xml:space="preserve">http://slimages.macys.com/is/image/MCY/3717671 </v>
      </c>
    </row>
    <row r="68" spans="1:13" ht="15.2" customHeight="1" x14ac:dyDescent="0.2">
      <c r="A68" s="26" t="s">
        <v>9013</v>
      </c>
      <c r="B68" s="27" t="s">
        <v>9014</v>
      </c>
      <c r="C68" s="28">
        <v>2</v>
      </c>
      <c r="D68" s="29">
        <v>15.4</v>
      </c>
      <c r="E68" s="29">
        <v>30.8</v>
      </c>
      <c r="F68" s="30">
        <v>44</v>
      </c>
      <c r="G68" s="29">
        <v>88</v>
      </c>
      <c r="H68" s="28" t="s">
        <v>5417</v>
      </c>
      <c r="I68" s="27" t="s">
        <v>36</v>
      </c>
      <c r="J68" s="31" t="s">
        <v>21</v>
      </c>
      <c r="K68" s="27" t="s">
        <v>37</v>
      </c>
      <c r="L68" s="27" t="s">
        <v>38</v>
      </c>
      <c r="M68" s="32" t="str">
        <f>HYPERLINK("http://slimages.macys.com/is/image/MCY/3717671 ")</f>
        <v xml:space="preserve">http://slimages.macys.com/is/image/MCY/3717671 </v>
      </c>
    </row>
    <row r="69" spans="1:13" ht="15.2" customHeight="1" x14ac:dyDescent="0.2">
      <c r="A69" s="26" t="s">
        <v>9015</v>
      </c>
      <c r="B69" s="27" t="s">
        <v>9016</v>
      </c>
      <c r="C69" s="28">
        <v>1</v>
      </c>
      <c r="D69" s="29">
        <v>15.4</v>
      </c>
      <c r="E69" s="29">
        <v>15.4</v>
      </c>
      <c r="F69" s="30">
        <v>44</v>
      </c>
      <c r="G69" s="29">
        <v>44</v>
      </c>
      <c r="H69" s="28" t="s">
        <v>5417</v>
      </c>
      <c r="I69" s="27" t="s">
        <v>36</v>
      </c>
      <c r="J69" s="31" t="s">
        <v>52</v>
      </c>
      <c r="K69" s="27" t="s">
        <v>37</v>
      </c>
      <c r="L69" s="27" t="s">
        <v>38</v>
      </c>
      <c r="M69" s="32" t="str">
        <f>HYPERLINK("http://slimages.macys.com/is/image/MCY/3717671 ")</f>
        <v xml:space="preserve">http://slimages.macys.com/is/image/MCY/3717671 </v>
      </c>
    </row>
    <row r="70" spans="1:13" ht="15.2" customHeight="1" x14ac:dyDescent="0.2">
      <c r="A70" s="26" t="s">
        <v>9017</v>
      </c>
      <c r="B70" s="27" t="s">
        <v>9018</v>
      </c>
      <c r="C70" s="28">
        <v>1</v>
      </c>
      <c r="D70" s="29">
        <v>15.22</v>
      </c>
      <c r="E70" s="29">
        <v>15.22</v>
      </c>
      <c r="F70" s="30">
        <v>27.99</v>
      </c>
      <c r="G70" s="29">
        <v>27.99</v>
      </c>
      <c r="H70" s="28">
        <v>178940032</v>
      </c>
      <c r="I70" s="27" t="s">
        <v>82</v>
      </c>
      <c r="J70" s="31"/>
      <c r="K70" s="27" t="s">
        <v>2</v>
      </c>
      <c r="L70" s="27" t="s">
        <v>3</v>
      </c>
      <c r="M70" s="32" t="str">
        <f>HYPERLINK("http://slimages.macys.com/is/image/MCY/3384911 ")</f>
        <v xml:space="preserve">http://slimages.macys.com/is/image/MCY/3384911 </v>
      </c>
    </row>
    <row r="71" spans="1:13" ht="15.2" customHeight="1" x14ac:dyDescent="0.2">
      <c r="A71" s="26" t="s">
        <v>1174</v>
      </c>
      <c r="B71" s="27" t="s">
        <v>1175</v>
      </c>
      <c r="C71" s="28">
        <v>2</v>
      </c>
      <c r="D71" s="29">
        <v>15</v>
      </c>
      <c r="E71" s="29">
        <v>30</v>
      </c>
      <c r="F71" s="30">
        <v>27.99</v>
      </c>
      <c r="G71" s="29">
        <v>55.98</v>
      </c>
      <c r="H71" s="28" t="s">
        <v>1171</v>
      </c>
      <c r="I71" s="27" t="s">
        <v>59</v>
      </c>
      <c r="J71" s="31" t="s">
        <v>21</v>
      </c>
      <c r="K71" s="27" t="s">
        <v>224</v>
      </c>
      <c r="L71" s="27" t="s">
        <v>325</v>
      </c>
      <c r="M71" s="32" t="str">
        <f>HYPERLINK("http://slimages.macys.com/is/image/MCY/3931110 ")</f>
        <v xml:space="preserve">http://slimages.macys.com/is/image/MCY/3931110 </v>
      </c>
    </row>
    <row r="72" spans="1:13" ht="15.2" customHeight="1" x14ac:dyDescent="0.2">
      <c r="A72" s="26" t="s">
        <v>9019</v>
      </c>
      <c r="B72" s="27" t="s">
        <v>9020</v>
      </c>
      <c r="C72" s="28">
        <v>1</v>
      </c>
      <c r="D72" s="29">
        <v>15</v>
      </c>
      <c r="E72" s="29">
        <v>15</v>
      </c>
      <c r="F72" s="30">
        <v>39.5</v>
      </c>
      <c r="G72" s="29">
        <v>39.5</v>
      </c>
      <c r="H72" s="28" t="s">
        <v>4446</v>
      </c>
      <c r="I72" s="27" t="s">
        <v>661</v>
      </c>
      <c r="J72" s="31" t="s">
        <v>40</v>
      </c>
      <c r="K72" s="27" t="s">
        <v>17</v>
      </c>
      <c r="L72" s="27" t="s">
        <v>18</v>
      </c>
      <c r="M72" s="32" t="str">
        <f>HYPERLINK("http://slimages.macys.com/is/image/MCY/3700534 ")</f>
        <v xml:space="preserve">http://slimages.macys.com/is/image/MCY/3700534 </v>
      </c>
    </row>
    <row r="73" spans="1:13" ht="15.2" customHeight="1" x14ac:dyDescent="0.2">
      <c r="A73" s="26" t="s">
        <v>1169</v>
      </c>
      <c r="B73" s="27" t="s">
        <v>1170</v>
      </c>
      <c r="C73" s="28">
        <v>1</v>
      </c>
      <c r="D73" s="29">
        <v>15</v>
      </c>
      <c r="E73" s="29">
        <v>15</v>
      </c>
      <c r="F73" s="30">
        <v>27.99</v>
      </c>
      <c r="G73" s="29">
        <v>27.99</v>
      </c>
      <c r="H73" s="28" t="s">
        <v>1171</v>
      </c>
      <c r="I73" s="27" t="s">
        <v>59</v>
      </c>
      <c r="J73" s="31" t="s">
        <v>40</v>
      </c>
      <c r="K73" s="27" t="s">
        <v>224</v>
      </c>
      <c r="L73" s="27" t="s">
        <v>325</v>
      </c>
      <c r="M73" s="32" t="str">
        <f>HYPERLINK("http://slimages.macys.com/is/image/MCY/3931110 ")</f>
        <v xml:space="preserve">http://slimages.macys.com/is/image/MCY/3931110 </v>
      </c>
    </row>
    <row r="74" spans="1:13" ht="15.2" customHeight="1" x14ac:dyDescent="0.2">
      <c r="A74" s="26" t="s">
        <v>6477</v>
      </c>
      <c r="B74" s="27" t="s">
        <v>6478</v>
      </c>
      <c r="C74" s="28">
        <v>1</v>
      </c>
      <c r="D74" s="29">
        <v>14.5</v>
      </c>
      <c r="E74" s="29">
        <v>14.5</v>
      </c>
      <c r="F74" s="30">
        <v>34.99</v>
      </c>
      <c r="G74" s="29">
        <v>34.99</v>
      </c>
      <c r="H74" s="28" t="s">
        <v>6479</v>
      </c>
      <c r="I74" s="27" t="s">
        <v>10</v>
      </c>
      <c r="J74" s="31" t="s">
        <v>69</v>
      </c>
      <c r="K74" s="27" t="s">
        <v>200</v>
      </c>
      <c r="L74" s="27" t="s">
        <v>133</v>
      </c>
      <c r="M74" s="32" t="str">
        <f>HYPERLINK("http://slimages.macys.com/is/image/MCY/3866390 ")</f>
        <v xml:space="preserve">http://slimages.macys.com/is/image/MCY/3866390 </v>
      </c>
    </row>
    <row r="75" spans="1:13" ht="15.2" customHeight="1" x14ac:dyDescent="0.2">
      <c r="A75" s="26" t="s">
        <v>9021</v>
      </c>
      <c r="B75" s="27" t="s">
        <v>9022</v>
      </c>
      <c r="C75" s="28">
        <v>2</v>
      </c>
      <c r="D75" s="29">
        <v>14.49</v>
      </c>
      <c r="E75" s="29">
        <v>28.98</v>
      </c>
      <c r="F75" s="30">
        <v>39.5</v>
      </c>
      <c r="G75" s="29">
        <v>79</v>
      </c>
      <c r="H75" s="28" t="s">
        <v>8605</v>
      </c>
      <c r="I75" s="27" t="s">
        <v>82</v>
      </c>
      <c r="J75" s="31" t="s">
        <v>21</v>
      </c>
      <c r="K75" s="27" t="s">
        <v>53</v>
      </c>
      <c r="L75" s="27" t="s">
        <v>54</v>
      </c>
      <c r="M75" s="32" t="str">
        <f>HYPERLINK("http://slimages.macys.com/is/image/MCY/3547385 ")</f>
        <v xml:space="preserve">http://slimages.macys.com/is/image/MCY/3547385 </v>
      </c>
    </row>
    <row r="76" spans="1:13" ht="15.2" customHeight="1" x14ac:dyDescent="0.2">
      <c r="A76" s="26" t="s">
        <v>9023</v>
      </c>
      <c r="B76" s="27" t="s">
        <v>9024</v>
      </c>
      <c r="C76" s="28">
        <v>1</v>
      </c>
      <c r="D76" s="29">
        <v>14.02</v>
      </c>
      <c r="E76" s="29">
        <v>14.02</v>
      </c>
      <c r="F76" s="30">
        <v>39.5</v>
      </c>
      <c r="G76" s="29">
        <v>39.5</v>
      </c>
      <c r="H76" s="28" t="s">
        <v>9025</v>
      </c>
      <c r="I76" s="27" t="s">
        <v>82</v>
      </c>
      <c r="J76" s="31" t="s">
        <v>65</v>
      </c>
      <c r="K76" s="27" t="s">
        <v>53</v>
      </c>
      <c r="L76" s="27" t="s">
        <v>54</v>
      </c>
      <c r="M76" s="32" t="str">
        <f>HYPERLINK("http://slimages.macys.com/is/image/MCY/3442071 ")</f>
        <v xml:space="preserve">http://slimages.macys.com/is/image/MCY/3442071 </v>
      </c>
    </row>
    <row r="77" spans="1:13" ht="15.2" customHeight="1" x14ac:dyDescent="0.2">
      <c r="A77" s="26" t="s">
        <v>5420</v>
      </c>
      <c r="B77" s="27" t="s">
        <v>5421</v>
      </c>
      <c r="C77" s="28">
        <v>2</v>
      </c>
      <c r="D77" s="29">
        <v>13.5</v>
      </c>
      <c r="E77" s="29">
        <v>27</v>
      </c>
      <c r="F77" s="30">
        <v>29.99</v>
      </c>
      <c r="G77" s="29">
        <v>59.98</v>
      </c>
      <c r="H77" s="28" t="s">
        <v>739</v>
      </c>
      <c r="I77" s="27" t="s">
        <v>189</v>
      </c>
      <c r="J77" s="31" t="s">
        <v>113</v>
      </c>
      <c r="K77" s="27" t="s">
        <v>200</v>
      </c>
      <c r="L77" s="27" t="s">
        <v>133</v>
      </c>
      <c r="M77" s="32" t="str">
        <f t="shared" ref="M77:M82" si="0">HYPERLINK("http://slimages.macys.com/is/image/MCY/3866347 ")</f>
        <v xml:space="preserve">http://slimages.macys.com/is/image/MCY/3866347 </v>
      </c>
    </row>
    <row r="78" spans="1:13" ht="15.2" customHeight="1" x14ac:dyDescent="0.2">
      <c r="A78" s="26" t="s">
        <v>1781</v>
      </c>
      <c r="B78" s="27" t="s">
        <v>1782</v>
      </c>
      <c r="C78" s="28">
        <v>2</v>
      </c>
      <c r="D78" s="29">
        <v>13.5</v>
      </c>
      <c r="E78" s="29">
        <v>27</v>
      </c>
      <c r="F78" s="30">
        <v>29.99</v>
      </c>
      <c r="G78" s="29">
        <v>59.98</v>
      </c>
      <c r="H78" s="28" t="s">
        <v>739</v>
      </c>
      <c r="I78" s="27" t="s">
        <v>189</v>
      </c>
      <c r="J78" s="31" t="s">
        <v>205</v>
      </c>
      <c r="K78" s="27" t="s">
        <v>200</v>
      </c>
      <c r="L78" s="27" t="s">
        <v>133</v>
      </c>
      <c r="M78" s="32" t="str">
        <f t="shared" si="0"/>
        <v xml:space="preserve">http://slimages.macys.com/is/image/MCY/3866347 </v>
      </c>
    </row>
    <row r="79" spans="1:13" ht="15.2" customHeight="1" x14ac:dyDescent="0.2">
      <c r="A79" s="26" t="s">
        <v>1779</v>
      </c>
      <c r="B79" s="27" t="s">
        <v>1780</v>
      </c>
      <c r="C79" s="28">
        <v>2</v>
      </c>
      <c r="D79" s="29">
        <v>13.5</v>
      </c>
      <c r="E79" s="29">
        <v>27</v>
      </c>
      <c r="F79" s="30">
        <v>29.99</v>
      </c>
      <c r="G79" s="29">
        <v>59.98</v>
      </c>
      <c r="H79" s="28" t="s">
        <v>739</v>
      </c>
      <c r="I79" s="27" t="s">
        <v>189</v>
      </c>
      <c r="J79" s="31" t="s">
        <v>216</v>
      </c>
      <c r="K79" s="27" t="s">
        <v>200</v>
      </c>
      <c r="L79" s="27" t="s">
        <v>133</v>
      </c>
      <c r="M79" s="32" t="str">
        <f t="shared" si="0"/>
        <v xml:space="preserve">http://slimages.macys.com/is/image/MCY/3866347 </v>
      </c>
    </row>
    <row r="80" spans="1:13" ht="15.2" customHeight="1" x14ac:dyDescent="0.2">
      <c r="A80" s="26" t="s">
        <v>1771</v>
      </c>
      <c r="B80" s="27" t="s">
        <v>1772</v>
      </c>
      <c r="C80" s="28">
        <v>1</v>
      </c>
      <c r="D80" s="29">
        <v>13.5</v>
      </c>
      <c r="E80" s="29">
        <v>13.5</v>
      </c>
      <c r="F80" s="30">
        <v>29.99</v>
      </c>
      <c r="G80" s="29">
        <v>29.99</v>
      </c>
      <c r="H80" s="28" t="s">
        <v>739</v>
      </c>
      <c r="I80" s="27" t="s">
        <v>189</v>
      </c>
      <c r="J80" s="31" t="s">
        <v>210</v>
      </c>
      <c r="K80" s="27" t="s">
        <v>200</v>
      </c>
      <c r="L80" s="27" t="s">
        <v>133</v>
      </c>
      <c r="M80" s="32" t="str">
        <f t="shared" si="0"/>
        <v xml:space="preserve">http://slimages.macys.com/is/image/MCY/3866347 </v>
      </c>
    </row>
    <row r="81" spans="1:13" ht="15.2" customHeight="1" x14ac:dyDescent="0.2">
      <c r="A81" s="26" t="s">
        <v>7375</v>
      </c>
      <c r="B81" s="27" t="s">
        <v>7376</v>
      </c>
      <c r="C81" s="28">
        <v>2</v>
      </c>
      <c r="D81" s="29">
        <v>13.5</v>
      </c>
      <c r="E81" s="29">
        <v>27</v>
      </c>
      <c r="F81" s="30">
        <v>29.99</v>
      </c>
      <c r="G81" s="29">
        <v>59.98</v>
      </c>
      <c r="H81" s="28" t="s">
        <v>739</v>
      </c>
      <c r="I81" s="27" t="s">
        <v>189</v>
      </c>
      <c r="J81" s="31" t="s">
        <v>230</v>
      </c>
      <c r="K81" s="27" t="s">
        <v>200</v>
      </c>
      <c r="L81" s="27" t="s">
        <v>133</v>
      </c>
      <c r="M81" s="32" t="str">
        <f t="shared" si="0"/>
        <v xml:space="preserve">http://slimages.macys.com/is/image/MCY/3866347 </v>
      </c>
    </row>
    <row r="82" spans="1:13" ht="15.2" customHeight="1" x14ac:dyDescent="0.2">
      <c r="A82" s="26" t="s">
        <v>2142</v>
      </c>
      <c r="B82" s="27" t="s">
        <v>2143</v>
      </c>
      <c r="C82" s="28">
        <v>1</v>
      </c>
      <c r="D82" s="29">
        <v>13.5</v>
      </c>
      <c r="E82" s="29">
        <v>13.5</v>
      </c>
      <c r="F82" s="30">
        <v>29.99</v>
      </c>
      <c r="G82" s="29">
        <v>29.99</v>
      </c>
      <c r="H82" s="28" t="s">
        <v>739</v>
      </c>
      <c r="I82" s="27" t="s">
        <v>189</v>
      </c>
      <c r="J82" s="31" t="s">
        <v>214</v>
      </c>
      <c r="K82" s="27" t="s">
        <v>200</v>
      </c>
      <c r="L82" s="27" t="s">
        <v>133</v>
      </c>
      <c r="M82" s="32" t="str">
        <f t="shared" si="0"/>
        <v xml:space="preserve">http://slimages.macys.com/is/image/MCY/3866347 </v>
      </c>
    </row>
    <row r="83" spans="1:13" ht="15.2" customHeight="1" x14ac:dyDescent="0.2">
      <c r="A83" s="26" t="s">
        <v>9026</v>
      </c>
      <c r="B83" s="27" t="s">
        <v>9027</v>
      </c>
      <c r="C83" s="28">
        <v>1</v>
      </c>
      <c r="D83" s="29">
        <v>13.5</v>
      </c>
      <c r="E83" s="29">
        <v>13.5</v>
      </c>
      <c r="F83" s="30">
        <v>29.99</v>
      </c>
      <c r="G83" s="29">
        <v>29.99</v>
      </c>
      <c r="H83" s="28" t="s">
        <v>9028</v>
      </c>
      <c r="I83" s="27" t="s">
        <v>152</v>
      </c>
      <c r="J83" s="31" t="s">
        <v>205</v>
      </c>
      <c r="K83" s="27" t="s">
        <v>200</v>
      </c>
      <c r="L83" s="27" t="s">
        <v>1201</v>
      </c>
      <c r="M83" s="32" t="str">
        <f>HYPERLINK("http://slimages.macys.com/is/image/MCY/3773707 ")</f>
        <v xml:space="preserve">http://slimages.macys.com/is/image/MCY/3773707 </v>
      </c>
    </row>
    <row r="84" spans="1:13" ht="15.2" customHeight="1" x14ac:dyDescent="0.2">
      <c r="A84" s="26" t="s">
        <v>9029</v>
      </c>
      <c r="B84" s="27" t="s">
        <v>9030</v>
      </c>
      <c r="C84" s="28">
        <v>2</v>
      </c>
      <c r="D84" s="29">
        <v>13.5</v>
      </c>
      <c r="E84" s="29">
        <v>27</v>
      </c>
      <c r="F84" s="30">
        <v>29.99</v>
      </c>
      <c r="G84" s="29">
        <v>59.98</v>
      </c>
      <c r="H84" s="28" t="s">
        <v>8548</v>
      </c>
      <c r="I84" s="27" t="s">
        <v>94</v>
      </c>
      <c r="J84" s="31" t="s">
        <v>71</v>
      </c>
      <c r="K84" s="27" t="s">
        <v>200</v>
      </c>
      <c r="L84" s="27" t="s">
        <v>201</v>
      </c>
      <c r="M84" s="32" t="str">
        <f>HYPERLINK("http://slimages.macys.com/is/image/MCY/3660273 ")</f>
        <v xml:space="preserve">http://slimages.macys.com/is/image/MCY/3660273 </v>
      </c>
    </row>
    <row r="85" spans="1:13" ht="15.2" customHeight="1" x14ac:dyDescent="0.2">
      <c r="A85" s="26" t="s">
        <v>9031</v>
      </c>
      <c r="B85" s="27" t="s">
        <v>9032</v>
      </c>
      <c r="C85" s="28">
        <v>2</v>
      </c>
      <c r="D85" s="29">
        <v>13.5</v>
      </c>
      <c r="E85" s="29">
        <v>27</v>
      </c>
      <c r="F85" s="30">
        <v>29.99</v>
      </c>
      <c r="G85" s="29">
        <v>59.98</v>
      </c>
      <c r="H85" s="28" t="s">
        <v>8548</v>
      </c>
      <c r="I85" s="27" t="s">
        <v>94</v>
      </c>
      <c r="J85" s="31" t="s">
        <v>40</v>
      </c>
      <c r="K85" s="27" t="s">
        <v>200</v>
      </c>
      <c r="L85" s="27" t="s">
        <v>201</v>
      </c>
      <c r="M85" s="32" t="str">
        <f>HYPERLINK("http://slimages.macys.com/is/image/MCY/3660273 ")</f>
        <v xml:space="preserve">http://slimages.macys.com/is/image/MCY/3660273 </v>
      </c>
    </row>
    <row r="86" spans="1:13" ht="15.2" customHeight="1" x14ac:dyDescent="0.2">
      <c r="A86" s="26" t="s">
        <v>9033</v>
      </c>
      <c r="B86" s="27" t="s">
        <v>9034</v>
      </c>
      <c r="C86" s="28">
        <v>2</v>
      </c>
      <c r="D86" s="29">
        <v>13.5</v>
      </c>
      <c r="E86" s="29">
        <v>27</v>
      </c>
      <c r="F86" s="30">
        <v>29.99</v>
      </c>
      <c r="G86" s="29">
        <v>59.98</v>
      </c>
      <c r="H86" s="28" t="s">
        <v>8548</v>
      </c>
      <c r="I86" s="27" t="s">
        <v>94</v>
      </c>
      <c r="J86" s="31" t="s">
        <v>21</v>
      </c>
      <c r="K86" s="27" t="s">
        <v>200</v>
      </c>
      <c r="L86" s="27" t="s">
        <v>201</v>
      </c>
      <c r="M86" s="32" t="str">
        <f>HYPERLINK("http://slimages.macys.com/is/image/MCY/3660273 ")</f>
        <v xml:space="preserve">http://slimages.macys.com/is/image/MCY/3660273 </v>
      </c>
    </row>
    <row r="87" spans="1:13" ht="15.2" customHeight="1" x14ac:dyDescent="0.2">
      <c r="A87" s="26" t="s">
        <v>9035</v>
      </c>
      <c r="B87" s="27" t="s">
        <v>9036</v>
      </c>
      <c r="C87" s="28">
        <v>2</v>
      </c>
      <c r="D87" s="29">
        <v>13.5</v>
      </c>
      <c r="E87" s="29">
        <v>27</v>
      </c>
      <c r="F87" s="30">
        <v>29.99</v>
      </c>
      <c r="G87" s="29">
        <v>59.98</v>
      </c>
      <c r="H87" s="28" t="s">
        <v>8548</v>
      </c>
      <c r="I87" s="27" t="s">
        <v>94</v>
      </c>
      <c r="J87" s="31" t="s">
        <v>5</v>
      </c>
      <c r="K87" s="27" t="s">
        <v>200</v>
      </c>
      <c r="L87" s="27" t="s">
        <v>201</v>
      </c>
      <c r="M87" s="32" t="str">
        <f>HYPERLINK("http://slimages.macys.com/is/image/MCY/3660273 ")</f>
        <v xml:space="preserve">http://slimages.macys.com/is/image/MCY/3660273 </v>
      </c>
    </row>
    <row r="88" spans="1:13" ht="15.2" customHeight="1" x14ac:dyDescent="0.2">
      <c r="A88" s="26" t="s">
        <v>9037</v>
      </c>
      <c r="B88" s="27" t="s">
        <v>9038</v>
      </c>
      <c r="C88" s="28">
        <v>1</v>
      </c>
      <c r="D88" s="29">
        <v>13.5</v>
      </c>
      <c r="E88" s="29">
        <v>13.5</v>
      </c>
      <c r="F88" s="30">
        <v>39</v>
      </c>
      <c r="G88" s="29">
        <v>39</v>
      </c>
      <c r="H88" s="28">
        <v>1062950</v>
      </c>
      <c r="I88" s="27" t="s">
        <v>59</v>
      </c>
      <c r="J88" s="31" t="s">
        <v>65</v>
      </c>
      <c r="K88" s="27" t="s">
        <v>154</v>
      </c>
      <c r="L88" s="27" t="s">
        <v>155</v>
      </c>
      <c r="M88" s="32" t="str">
        <f>HYPERLINK("http://slimages.macys.com/is/image/MCY/3221543 ")</f>
        <v xml:space="preserve">http://slimages.macys.com/is/image/MCY/3221543 </v>
      </c>
    </row>
    <row r="89" spans="1:13" ht="15.2" customHeight="1" x14ac:dyDescent="0.2">
      <c r="A89" s="26" t="s">
        <v>8608</v>
      </c>
      <c r="B89" s="27" t="s">
        <v>8609</v>
      </c>
      <c r="C89" s="28">
        <v>1</v>
      </c>
      <c r="D89" s="29">
        <v>13.5</v>
      </c>
      <c r="E89" s="29">
        <v>13.5</v>
      </c>
      <c r="F89" s="30">
        <v>29.99</v>
      </c>
      <c r="G89" s="29">
        <v>29.99</v>
      </c>
      <c r="H89" s="28" t="s">
        <v>4823</v>
      </c>
      <c r="I89" s="27" t="s">
        <v>26</v>
      </c>
      <c r="J89" s="31" t="s">
        <v>205</v>
      </c>
      <c r="K89" s="27" t="s">
        <v>200</v>
      </c>
      <c r="L89" s="27" t="s">
        <v>287</v>
      </c>
      <c r="M89" s="32" t="str">
        <f>HYPERLINK("http://slimages.macys.com/is/image/MCY/3631723 ")</f>
        <v xml:space="preserve">http://slimages.macys.com/is/image/MCY/3631723 </v>
      </c>
    </row>
    <row r="90" spans="1:13" ht="15.2" customHeight="1" x14ac:dyDescent="0.2">
      <c r="A90" s="26" t="s">
        <v>2856</v>
      </c>
      <c r="B90" s="27" t="s">
        <v>2857</v>
      </c>
      <c r="C90" s="28">
        <v>1</v>
      </c>
      <c r="D90" s="29">
        <v>13.5</v>
      </c>
      <c r="E90" s="29">
        <v>13.5</v>
      </c>
      <c r="F90" s="30">
        <v>29.99</v>
      </c>
      <c r="G90" s="29">
        <v>29.99</v>
      </c>
      <c r="H90" s="28" t="s">
        <v>739</v>
      </c>
      <c r="I90" s="27" t="s">
        <v>189</v>
      </c>
      <c r="J90" s="31" t="s">
        <v>69</v>
      </c>
      <c r="K90" s="27" t="s">
        <v>200</v>
      </c>
      <c r="L90" s="27" t="s">
        <v>133</v>
      </c>
      <c r="M90" s="32" t="str">
        <f>HYPERLINK("http://slimages.macys.com/is/image/MCY/3866347 ")</f>
        <v xml:space="preserve">http://slimages.macys.com/is/image/MCY/3866347 </v>
      </c>
    </row>
    <row r="91" spans="1:13" ht="15.2" customHeight="1" x14ac:dyDescent="0.2">
      <c r="A91" s="26" t="s">
        <v>9039</v>
      </c>
      <c r="B91" s="27" t="s">
        <v>9040</v>
      </c>
      <c r="C91" s="28">
        <v>1</v>
      </c>
      <c r="D91" s="29">
        <v>13.25</v>
      </c>
      <c r="E91" s="29">
        <v>13.25</v>
      </c>
      <c r="F91" s="30">
        <v>29.99</v>
      </c>
      <c r="G91" s="29">
        <v>29.99</v>
      </c>
      <c r="H91" s="28" t="s">
        <v>4612</v>
      </c>
      <c r="I91" s="27" t="s">
        <v>59</v>
      </c>
      <c r="J91" s="31" t="s">
        <v>205</v>
      </c>
      <c r="K91" s="27" t="s">
        <v>200</v>
      </c>
      <c r="L91" s="27" t="s">
        <v>1196</v>
      </c>
      <c r="M91" s="32" t="str">
        <f>HYPERLINK("http://slimages.macys.com/is/image/MCY/3755737 ")</f>
        <v xml:space="preserve">http://slimages.macys.com/is/image/MCY/3755737 </v>
      </c>
    </row>
    <row r="92" spans="1:13" ht="15.2" customHeight="1" x14ac:dyDescent="0.2">
      <c r="A92" s="26" t="s">
        <v>9041</v>
      </c>
      <c r="B92" s="27" t="s">
        <v>9042</v>
      </c>
      <c r="C92" s="28">
        <v>1</v>
      </c>
      <c r="D92" s="29">
        <v>13</v>
      </c>
      <c r="E92" s="29">
        <v>13</v>
      </c>
      <c r="F92" s="30">
        <v>45</v>
      </c>
      <c r="G92" s="29">
        <v>45</v>
      </c>
      <c r="H92" s="28" t="s">
        <v>9043</v>
      </c>
      <c r="I92" s="27"/>
      <c r="J92" s="31" t="s">
        <v>65</v>
      </c>
      <c r="K92" s="27" t="s">
        <v>154</v>
      </c>
      <c r="L92" s="27" t="s">
        <v>155</v>
      </c>
      <c r="M92" s="32" t="str">
        <f>HYPERLINK("http://slimages.macys.com/is/image/MCY/3597815 ")</f>
        <v xml:space="preserve">http://slimages.macys.com/is/image/MCY/3597815 </v>
      </c>
    </row>
    <row r="93" spans="1:13" ht="15.2" customHeight="1" x14ac:dyDescent="0.2">
      <c r="A93" s="26" t="s">
        <v>9044</v>
      </c>
      <c r="B93" s="27" t="s">
        <v>9045</v>
      </c>
      <c r="C93" s="28">
        <v>1</v>
      </c>
      <c r="D93" s="29">
        <v>13</v>
      </c>
      <c r="E93" s="29">
        <v>13</v>
      </c>
      <c r="F93" s="30">
        <v>29.99</v>
      </c>
      <c r="G93" s="29">
        <v>29.99</v>
      </c>
      <c r="H93" s="28" t="s">
        <v>1208</v>
      </c>
      <c r="I93" s="27" t="s">
        <v>29</v>
      </c>
      <c r="J93" s="31" t="s">
        <v>3712</v>
      </c>
      <c r="K93" s="27" t="s">
        <v>200</v>
      </c>
      <c r="L93" s="27" t="s">
        <v>747</v>
      </c>
      <c r="M93" s="32" t="str">
        <f>HYPERLINK("http://slimages.macys.com/is/image/MCY/3693179 ")</f>
        <v xml:space="preserve">http://slimages.macys.com/is/image/MCY/3693179 </v>
      </c>
    </row>
    <row r="94" spans="1:13" ht="15.2" customHeight="1" x14ac:dyDescent="0.2">
      <c r="A94" s="26" t="s">
        <v>2876</v>
      </c>
      <c r="B94" s="27" t="s">
        <v>2877</v>
      </c>
      <c r="C94" s="28">
        <v>3</v>
      </c>
      <c r="D94" s="29">
        <v>12.85</v>
      </c>
      <c r="E94" s="29">
        <v>38.549999999999997</v>
      </c>
      <c r="F94" s="30">
        <v>27.99</v>
      </c>
      <c r="G94" s="29">
        <v>83.97</v>
      </c>
      <c r="H94" s="28" t="s">
        <v>1209</v>
      </c>
      <c r="I94" s="27" t="s">
        <v>189</v>
      </c>
      <c r="J94" s="31" t="s">
        <v>21</v>
      </c>
      <c r="K94" s="27" t="s">
        <v>224</v>
      </c>
      <c r="L94" s="27" t="s">
        <v>256</v>
      </c>
      <c r="M94" s="32" t="str">
        <f>HYPERLINK("http://slimages.macys.com/is/image/MCY/3890940 ")</f>
        <v xml:space="preserve">http://slimages.macys.com/is/image/MCY/3890940 </v>
      </c>
    </row>
    <row r="95" spans="1:13" ht="15.2" customHeight="1" x14ac:dyDescent="0.2">
      <c r="A95" s="26" t="s">
        <v>8610</v>
      </c>
      <c r="B95" s="27" t="s">
        <v>8611</v>
      </c>
      <c r="C95" s="28">
        <v>1</v>
      </c>
      <c r="D95" s="29">
        <v>12.85</v>
      </c>
      <c r="E95" s="29">
        <v>12.85</v>
      </c>
      <c r="F95" s="30">
        <v>27.99</v>
      </c>
      <c r="G95" s="29">
        <v>27.99</v>
      </c>
      <c r="H95" s="28" t="s">
        <v>2875</v>
      </c>
      <c r="I95" s="27" t="s">
        <v>189</v>
      </c>
      <c r="J95" s="31" t="s">
        <v>5</v>
      </c>
      <c r="K95" s="27" t="s">
        <v>224</v>
      </c>
      <c r="L95" s="27" t="s">
        <v>256</v>
      </c>
      <c r="M95" s="32" t="str">
        <f>HYPERLINK("http://slimages.macys.com/is/image/MCY/3875983 ")</f>
        <v xml:space="preserve">http://slimages.macys.com/is/image/MCY/3875983 </v>
      </c>
    </row>
    <row r="96" spans="1:13" ht="15.2" customHeight="1" x14ac:dyDescent="0.2">
      <c r="A96" s="26" t="s">
        <v>2878</v>
      </c>
      <c r="B96" s="27" t="s">
        <v>2879</v>
      </c>
      <c r="C96" s="28">
        <v>1</v>
      </c>
      <c r="D96" s="29">
        <v>12.85</v>
      </c>
      <c r="E96" s="29">
        <v>12.85</v>
      </c>
      <c r="F96" s="30">
        <v>27.99</v>
      </c>
      <c r="G96" s="29">
        <v>27.99</v>
      </c>
      <c r="H96" s="28" t="s">
        <v>2875</v>
      </c>
      <c r="I96" s="27" t="s">
        <v>189</v>
      </c>
      <c r="J96" s="31" t="s">
        <v>21</v>
      </c>
      <c r="K96" s="27" t="s">
        <v>224</v>
      </c>
      <c r="L96" s="27" t="s">
        <v>256</v>
      </c>
      <c r="M96" s="32" t="str">
        <f>HYPERLINK("http://slimages.macys.com/is/image/MCY/3875983 ")</f>
        <v xml:space="preserve">http://slimages.macys.com/is/image/MCY/3875983 </v>
      </c>
    </row>
    <row r="97" spans="1:13" ht="15.2" customHeight="1" x14ac:dyDescent="0.2">
      <c r="A97" s="26" t="s">
        <v>9046</v>
      </c>
      <c r="B97" s="27" t="s">
        <v>9047</v>
      </c>
      <c r="C97" s="28">
        <v>1</v>
      </c>
      <c r="D97" s="29">
        <v>12.75</v>
      </c>
      <c r="E97" s="29">
        <v>12.75</v>
      </c>
      <c r="F97" s="30">
        <v>29.99</v>
      </c>
      <c r="G97" s="29">
        <v>29.99</v>
      </c>
      <c r="H97" s="28" t="s">
        <v>2880</v>
      </c>
      <c r="I97" s="27" t="s">
        <v>10</v>
      </c>
      <c r="J97" s="31" t="s">
        <v>230</v>
      </c>
      <c r="K97" s="27" t="s">
        <v>200</v>
      </c>
      <c r="L97" s="27" t="s">
        <v>552</v>
      </c>
      <c r="M97" s="32" t="str">
        <f>HYPERLINK("http://slimages.macys.com/is/image/MCY/3779565 ")</f>
        <v xml:space="preserve">http://slimages.macys.com/is/image/MCY/3779565 </v>
      </c>
    </row>
    <row r="98" spans="1:13" ht="15.2" customHeight="1" x14ac:dyDescent="0.2">
      <c r="A98" s="26" t="s">
        <v>1787</v>
      </c>
      <c r="B98" s="27" t="s">
        <v>1788</v>
      </c>
      <c r="C98" s="28">
        <v>2</v>
      </c>
      <c r="D98" s="29">
        <v>12.75</v>
      </c>
      <c r="E98" s="29">
        <v>25.5</v>
      </c>
      <c r="F98" s="30">
        <v>29.99</v>
      </c>
      <c r="G98" s="29">
        <v>59.98</v>
      </c>
      <c r="H98" s="28" t="s">
        <v>759</v>
      </c>
      <c r="I98" s="27" t="s">
        <v>4</v>
      </c>
      <c r="J98" s="31" t="s">
        <v>21</v>
      </c>
      <c r="K98" s="27" t="s">
        <v>200</v>
      </c>
      <c r="L98" s="27" t="s">
        <v>201</v>
      </c>
      <c r="M98" s="32" t="str">
        <f>HYPERLINK("http://slimages.macys.com/is/image/MCY/3798023 ")</f>
        <v xml:space="preserve">http://slimages.macys.com/is/image/MCY/3798023 </v>
      </c>
    </row>
    <row r="99" spans="1:13" ht="15.2" customHeight="1" x14ac:dyDescent="0.2">
      <c r="A99" s="26" t="s">
        <v>1785</v>
      </c>
      <c r="B99" s="27" t="s">
        <v>1786</v>
      </c>
      <c r="C99" s="28">
        <v>1</v>
      </c>
      <c r="D99" s="29">
        <v>12.75</v>
      </c>
      <c r="E99" s="29">
        <v>12.75</v>
      </c>
      <c r="F99" s="30">
        <v>29.99</v>
      </c>
      <c r="G99" s="29">
        <v>29.99</v>
      </c>
      <c r="H99" s="28" t="s">
        <v>759</v>
      </c>
      <c r="I99" s="27" t="s">
        <v>4</v>
      </c>
      <c r="J99" s="31" t="s">
        <v>52</v>
      </c>
      <c r="K99" s="27" t="s">
        <v>200</v>
      </c>
      <c r="L99" s="27" t="s">
        <v>201</v>
      </c>
      <c r="M99" s="32" t="str">
        <f>HYPERLINK("http://slimages.macys.com/is/image/MCY/3798023 ")</f>
        <v xml:space="preserve">http://slimages.macys.com/is/image/MCY/3798023 </v>
      </c>
    </row>
    <row r="100" spans="1:13" ht="15.2" customHeight="1" x14ac:dyDescent="0.2">
      <c r="A100" s="26" t="s">
        <v>7381</v>
      </c>
      <c r="B100" s="27" t="s">
        <v>7382</v>
      </c>
      <c r="C100" s="28">
        <v>1</v>
      </c>
      <c r="D100" s="29">
        <v>12.75</v>
      </c>
      <c r="E100" s="29">
        <v>12.75</v>
      </c>
      <c r="F100" s="30">
        <v>29.99</v>
      </c>
      <c r="G100" s="29">
        <v>29.99</v>
      </c>
      <c r="H100" s="28" t="s">
        <v>1789</v>
      </c>
      <c r="I100" s="27" t="s">
        <v>29</v>
      </c>
      <c r="J100" s="31" t="s">
        <v>5</v>
      </c>
      <c r="K100" s="27" t="s">
        <v>200</v>
      </c>
      <c r="L100" s="27" t="s">
        <v>201</v>
      </c>
      <c r="M100" s="32" t="str">
        <f>HYPERLINK("http://slimages.macys.com/is/image/MCY/3826877 ")</f>
        <v xml:space="preserve">http://slimages.macys.com/is/image/MCY/3826877 </v>
      </c>
    </row>
    <row r="101" spans="1:13" ht="15.2" customHeight="1" x14ac:dyDescent="0.2">
      <c r="A101" s="26" t="s">
        <v>9048</v>
      </c>
      <c r="B101" s="27" t="s">
        <v>9049</v>
      </c>
      <c r="C101" s="28">
        <v>1</v>
      </c>
      <c r="D101" s="29">
        <v>12.65</v>
      </c>
      <c r="E101" s="29">
        <v>12.65</v>
      </c>
      <c r="F101" s="30">
        <v>29.99</v>
      </c>
      <c r="G101" s="29">
        <v>29.99</v>
      </c>
      <c r="H101" s="28" t="s">
        <v>9050</v>
      </c>
      <c r="I101" s="27" t="s">
        <v>1</v>
      </c>
      <c r="J101" s="31" t="s">
        <v>216</v>
      </c>
      <c r="K101" s="27" t="s">
        <v>200</v>
      </c>
      <c r="L101" s="27" t="s">
        <v>765</v>
      </c>
      <c r="M101" s="32" t="str">
        <f>HYPERLINK("http://slimages.macys.com/is/image/MCY/3233139 ")</f>
        <v xml:space="preserve">http://slimages.macys.com/is/image/MCY/3233139 </v>
      </c>
    </row>
    <row r="102" spans="1:13" ht="15.2" customHeight="1" x14ac:dyDescent="0.2">
      <c r="A102" s="26" t="s">
        <v>9051</v>
      </c>
      <c r="B102" s="27" t="s">
        <v>9052</v>
      </c>
      <c r="C102" s="28">
        <v>1</v>
      </c>
      <c r="D102" s="29">
        <v>12.65</v>
      </c>
      <c r="E102" s="29">
        <v>12.65</v>
      </c>
      <c r="F102" s="30">
        <v>29.99</v>
      </c>
      <c r="G102" s="29">
        <v>29.99</v>
      </c>
      <c r="H102" s="28" t="s">
        <v>7526</v>
      </c>
      <c r="I102" s="27" t="s">
        <v>64</v>
      </c>
      <c r="J102" s="31" t="s">
        <v>69</v>
      </c>
      <c r="K102" s="27" t="s">
        <v>200</v>
      </c>
      <c r="L102" s="27" t="s">
        <v>765</v>
      </c>
      <c r="M102" s="32" t="str">
        <f>HYPERLINK("http://slimages.macys.com/is/image/MCY/3797822 ")</f>
        <v xml:space="preserve">http://slimages.macys.com/is/image/MCY/3797822 </v>
      </c>
    </row>
    <row r="103" spans="1:13" ht="15.2" customHeight="1" x14ac:dyDescent="0.2">
      <c r="A103" s="26" t="s">
        <v>9053</v>
      </c>
      <c r="B103" s="27" t="s">
        <v>9054</v>
      </c>
      <c r="C103" s="28">
        <v>1</v>
      </c>
      <c r="D103" s="29">
        <v>12.56</v>
      </c>
      <c r="E103" s="29">
        <v>12.56</v>
      </c>
      <c r="F103" s="30">
        <v>30.5</v>
      </c>
      <c r="G103" s="29">
        <v>30.5</v>
      </c>
      <c r="H103" s="28" t="s">
        <v>9055</v>
      </c>
      <c r="I103" s="27" t="s">
        <v>26</v>
      </c>
      <c r="J103" s="31" t="s">
        <v>5</v>
      </c>
      <c r="K103" s="27" t="s">
        <v>41</v>
      </c>
      <c r="L103" s="27" t="s">
        <v>45</v>
      </c>
      <c r="M103" s="32" t="str">
        <f>HYPERLINK("http://slimages.macys.com/is/image/MCY/3396077 ")</f>
        <v xml:space="preserve">http://slimages.macys.com/is/image/MCY/3396077 </v>
      </c>
    </row>
    <row r="104" spans="1:13" ht="15.2" customHeight="1" x14ac:dyDescent="0.2">
      <c r="A104" s="26" t="s">
        <v>9056</v>
      </c>
      <c r="B104" s="27" t="s">
        <v>9057</v>
      </c>
      <c r="C104" s="28">
        <v>1</v>
      </c>
      <c r="D104" s="29">
        <v>12.56</v>
      </c>
      <c r="E104" s="29">
        <v>12.56</v>
      </c>
      <c r="F104" s="30">
        <v>30.5</v>
      </c>
      <c r="G104" s="29">
        <v>30.5</v>
      </c>
      <c r="H104" s="28" t="s">
        <v>9058</v>
      </c>
      <c r="I104" s="27" t="s">
        <v>746</v>
      </c>
      <c r="J104" s="31" t="s">
        <v>5</v>
      </c>
      <c r="K104" s="27" t="s">
        <v>41</v>
      </c>
      <c r="L104" s="27" t="s">
        <v>45</v>
      </c>
      <c r="M104" s="32" t="str">
        <f>HYPERLINK("http://slimages.macys.com/is/image/MCY/3396077 ")</f>
        <v xml:space="preserve">http://slimages.macys.com/is/image/MCY/3396077 </v>
      </c>
    </row>
    <row r="105" spans="1:13" ht="15.2" customHeight="1" x14ac:dyDescent="0.2">
      <c r="A105" s="26" t="s">
        <v>9059</v>
      </c>
      <c r="B105" s="27" t="s">
        <v>9060</v>
      </c>
      <c r="C105" s="28">
        <v>1</v>
      </c>
      <c r="D105" s="29">
        <v>12.56</v>
      </c>
      <c r="E105" s="29">
        <v>12.56</v>
      </c>
      <c r="F105" s="30">
        <v>30.5</v>
      </c>
      <c r="G105" s="29">
        <v>30.5</v>
      </c>
      <c r="H105" s="28" t="s">
        <v>9058</v>
      </c>
      <c r="I105" s="27" t="s">
        <v>746</v>
      </c>
      <c r="J105" s="31" t="s">
        <v>71</v>
      </c>
      <c r="K105" s="27" t="s">
        <v>41</v>
      </c>
      <c r="L105" s="27" t="s">
        <v>45</v>
      </c>
      <c r="M105" s="32" t="str">
        <f>HYPERLINK("http://slimages.macys.com/is/image/MCY/3396077 ")</f>
        <v xml:space="preserve">http://slimages.macys.com/is/image/MCY/3396077 </v>
      </c>
    </row>
    <row r="106" spans="1:13" ht="15.2" customHeight="1" x14ac:dyDescent="0.2">
      <c r="A106" s="26" t="s">
        <v>9061</v>
      </c>
      <c r="B106" s="27" t="s">
        <v>9062</v>
      </c>
      <c r="C106" s="28">
        <v>1</v>
      </c>
      <c r="D106" s="29">
        <v>12.5</v>
      </c>
      <c r="E106" s="29">
        <v>12.5</v>
      </c>
      <c r="F106" s="30">
        <v>39</v>
      </c>
      <c r="G106" s="29">
        <v>39</v>
      </c>
      <c r="H106" s="28">
        <v>83668</v>
      </c>
      <c r="I106" s="27" t="s">
        <v>4</v>
      </c>
      <c r="J106" s="31" t="s">
        <v>40</v>
      </c>
      <c r="K106" s="27" t="s">
        <v>154</v>
      </c>
      <c r="L106" s="27" t="s">
        <v>155</v>
      </c>
      <c r="M106" s="32" t="str">
        <f>HYPERLINK("http://slimages.macys.com/is/image/MCY/3092118 ")</f>
        <v xml:space="preserve">http://slimages.macys.com/is/image/MCY/3092118 </v>
      </c>
    </row>
    <row r="107" spans="1:13" ht="15.2" customHeight="1" x14ac:dyDescent="0.2">
      <c r="A107" s="26" t="s">
        <v>9063</v>
      </c>
      <c r="B107" s="27" t="s">
        <v>9064</v>
      </c>
      <c r="C107" s="28">
        <v>1</v>
      </c>
      <c r="D107" s="29">
        <v>12.34</v>
      </c>
      <c r="E107" s="29">
        <v>12.34</v>
      </c>
      <c r="F107" s="30">
        <v>34.5</v>
      </c>
      <c r="G107" s="29">
        <v>34.5</v>
      </c>
      <c r="H107" s="28" t="s">
        <v>9065</v>
      </c>
      <c r="I107" s="27" t="s">
        <v>8</v>
      </c>
      <c r="J107" s="31" t="s">
        <v>52</v>
      </c>
      <c r="K107" s="27" t="s">
        <v>41</v>
      </c>
      <c r="L107" s="27" t="s">
        <v>45</v>
      </c>
      <c r="M107" s="32" t="str">
        <f>HYPERLINK("http://slimages.macys.com/is/image/MCY/3548349 ")</f>
        <v xml:space="preserve">http://slimages.macys.com/is/image/MCY/3548349 </v>
      </c>
    </row>
    <row r="108" spans="1:13" ht="15.2" customHeight="1" x14ac:dyDescent="0.2">
      <c r="A108" s="26" t="s">
        <v>1799</v>
      </c>
      <c r="B108" s="27" t="s">
        <v>1800</v>
      </c>
      <c r="C108" s="28">
        <v>1</v>
      </c>
      <c r="D108" s="29">
        <v>12</v>
      </c>
      <c r="E108" s="29">
        <v>12</v>
      </c>
      <c r="F108" s="30">
        <v>25.99</v>
      </c>
      <c r="G108" s="29">
        <v>25.99</v>
      </c>
      <c r="H108" s="28" t="s">
        <v>1798</v>
      </c>
      <c r="I108" s="27" t="s">
        <v>1472</v>
      </c>
      <c r="J108" s="31" t="s">
        <v>214</v>
      </c>
      <c r="K108" s="27" t="s">
        <v>200</v>
      </c>
      <c r="L108" s="27" t="s">
        <v>243</v>
      </c>
      <c r="M108" s="32" t="str">
        <f>HYPERLINK("http://slimages.macys.com/is/image/MCY/3832869 ")</f>
        <v xml:space="preserve">http://slimages.macys.com/is/image/MCY/3832869 </v>
      </c>
    </row>
    <row r="109" spans="1:13" ht="15.2" customHeight="1" x14ac:dyDescent="0.2">
      <c r="A109" s="26" t="s">
        <v>8782</v>
      </c>
      <c r="B109" s="27" t="s">
        <v>8783</v>
      </c>
      <c r="C109" s="28">
        <v>2</v>
      </c>
      <c r="D109" s="29">
        <v>12</v>
      </c>
      <c r="E109" s="29">
        <v>24</v>
      </c>
      <c r="F109" s="30">
        <v>29.99</v>
      </c>
      <c r="G109" s="29">
        <v>59.98</v>
      </c>
      <c r="H109" s="28" t="s">
        <v>2608</v>
      </c>
      <c r="I109" s="27" t="s">
        <v>1</v>
      </c>
      <c r="J109" s="31" t="s">
        <v>21</v>
      </c>
      <c r="K109" s="27" t="s">
        <v>70</v>
      </c>
      <c r="L109" s="27" t="s">
        <v>128</v>
      </c>
      <c r="M109" s="32" t="str">
        <f>HYPERLINK("http://slimages.macys.com/is/image/MCY/3682473 ")</f>
        <v xml:space="preserve">http://slimages.macys.com/is/image/MCY/3682473 </v>
      </c>
    </row>
    <row r="110" spans="1:13" ht="15.2" customHeight="1" x14ac:dyDescent="0.2">
      <c r="A110" s="26" t="s">
        <v>9066</v>
      </c>
      <c r="B110" s="27" t="s">
        <v>9067</v>
      </c>
      <c r="C110" s="28">
        <v>1</v>
      </c>
      <c r="D110" s="29">
        <v>12</v>
      </c>
      <c r="E110" s="29">
        <v>12</v>
      </c>
      <c r="F110" s="30">
        <v>29.99</v>
      </c>
      <c r="G110" s="29">
        <v>29.99</v>
      </c>
      <c r="H110" s="28" t="s">
        <v>2608</v>
      </c>
      <c r="I110" s="27" t="s">
        <v>1</v>
      </c>
      <c r="J110" s="31" t="s">
        <v>5</v>
      </c>
      <c r="K110" s="27" t="s">
        <v>70</v>
      </c>
      <c r="L110" s="27" t="s">
        <v>128</v>
      </c>
      <c r="M110" s="32" t="str">
        <f>HYPERLINK("http://slimages.macys.com/is/image/MCY/3682473 ")</f>
        <v xml:space="preserve">http://slimages.macys.com/is/image/MCY/3682473 </v>
      </c>
    </row>
    <row r="111" spans="1:13" ht="15.2" customHeight="1" x14ac:dyDescent="0.2">
      <c r="A111" s="26" t="s">
        <v>9068</v>
      </c>
      <c r="B111" s="27" t="s">
        <v>9069</v>
      </c>
      <c r="C111" s="28">
        <v>2</v>
      </c>
      <c r="D111" s="29">
        <v>12</v>
      </c>
      <c r="E111" s="29">
        <v>24</v>
      </c>
      <c r="F111" s="30">
        <v>29.99</v>
      </c>
      <c r="G111" s="29">
        <v>59.98</v>
      </c>
      <c r="H111" s="28" t="s">
        <v>1797</v>
      </c>
      <c r="I111" s="27" t="s">
        <v>1472</v>
      </c>
      <c r="J111" s="31" t="s">
        <v>216</v>
      </c>
      <c r="K111" s="27" t="s">
        <v>200</v>
      </c>
      <c r="L111" s="27" t="s">
        <v>765</v>
      </c>
      <c r="M111" s="32" t="str">
        <f>HYPERLINK("http://slimages.macys.com/is/image/MCY/3797822 ")</f>
        <v xml:space="preserve">http://slimages.macys.com/is/image/MCY/3797822 </v>
      </c>
    </row>
    <row r="112" spans="1:13" ht="15.2" customHeight="1" x14ac:dyDescent="0.2">
      <c r="A112" s="26" t="s">
        <v>9070</v>
      </c>
      <c r="B112" s="27" t="s">
        <v>9071</v>
      </c>
      <c r="C112" s="28">
        <v>1</v>
      </c>
      <c r="D112" s="29">
        <v>12</v>
      </c>
      <c r="E112" s="29">
        <v>12</v>
      </c>
      <c r="F112" s="30">
        <v>29.99</v>
      </c>
      <c r="G112" s="29">
        <v>29.99</v>
      </c>
      <c r="H112" s="28" t="s">
        <v>1235</v>
      </c>
      <c r="I112" s="27" t="s">
        <v>36</v>
      </c>
      <c r="J112" s="31" t="s">
        <v>230</v>
      </c>
      <c r="K112" s="27" t="s">
        <v>200</v>
      </c>
      <c r="L112" s="27" t="s">
        <v>552</v>
      </c>
      <c r="M112" s="32" t="str">
        <f>HYPERLINK("http://slimages.macys.com/is/image/MCY/3777681 ")</f>
        <v xml:space="preserve">http://slimages.macys.com/is/image/MCY/3777681 </v>
      </c>
    </row>
    <row r="113" spans="1:13" ht="15.2" customHeight="1" x14ac:dyDescent="0.2">
      <c r="A113" s="26" t="s">
        <v>9072</v>
      </c>
      <c r="B113" s="27" t="s">
        <v>9073</v>
      </c>
      <c r="C113" s="28">
        <v>2</v>
      </c>
      <c r="D113" s="29">
        <v>12</v>
      </c>
      <c r="E113" s="29">
        <v>24</v>
      </c>
      <c r="F113" s="30">
        <v>25.99</v>
      </c>
      <c r="G113" s="29">
        <v>51.98</v>
      </c>
      <c r="H113" s="28" t="s">
        <v>8612</v>
      </c>
      <c r="I113" s="27" t="s">
        <v>36</v>
      </c>
      <c r="J113" s="31" t="s">
        <v>210</v>
      </c>
      <c r="K113" s="27" t="s">
        <v>200</v>
      </c>
      <c r="L113" s="27" t="s">
        <v>133</v>
      </c>
      <c r="M113" s="32" t="str">
        <f>HYPERLINK("http://slimages.macys.com/is/image/MCY/3755516 ")</f>
        <v xml:space="preserve">http://slimages.macys.com/is/image/MCY/3755516 </v>
      </c>
    </row>
    <row r="114" spans="1:13" ht="15.2" customHeight="1" x14ac:dyDescent="0.2">
      <c r="A114" s="26" t="s">
        <v>1262</v>
      </c>
      <c r="B114" s="27" t="s">
        <v>1263</v>
      </c>
      <c r="C114" s="28">
        <v>2</v>
      </c>
      <c r="D114" s="29">
        <v>11.5</v>
      </c>
      <c r="E114" s="29">
        <v>23</v>
      </c>
      <c r="F114" s="30">
        <v>27.99</v>
      </c>
      <c r="G114" s="29">
        <v>55.98</v>
      </c>
      <c r="H114" s="28" t="s">
        <v>1261</v>
      </c>
      <c r="I114" s="27" t="s">
        <v>4</v>
      </c>
      <c r="J114" s="31" t="s">
        <v>5</v>
      </c>
      <c r="K114" s="27" t="s">
        <v>224</v>
      </c>
      <c r="L114" s="27" t="s">
        <v>325</v>
      </c>
      <c r="M114" s="32" t="str">
        <f>HYPERLINK("http://slimages.macys.com/is/image/MCY/3931141 ")</f>
        <v xml:space="preserve">http://slimages.macys.com/is/image/MCY/3931141 </v>
      </c>
    </row>
    <row r="115" spans="1:13" ht="15.2" customHeight="1" x14ac:dyDescent="0.2">
      <c r="A115" s="26" t="s">
        <v>7748</v>
      </c>
      <c r="B115" s="27" t="s">
        <v>7749</v>
      </c>
      <c r="C115" s="28">
        <v>2</v>
      </c>
      <c r="D115" s="29">
        <v>11.5</v>
      </c>
      <c r="E115" s="29">
        <v>23</v>
      </c>
      <c r="F115" s="30">
        <v>27.99</v>
      </c>
      <c r="G115" s="29">
        <v>55.98</v>
      </c>
      <c r="H115" s="28" t="s">
        <v>223</v>
      </c>
      <c r="I115" s="27" t="s">
        <v>36</v>
      </c>
      <c r="J115" s="31" t="s">
        <v>5</v>
      </c>
      <c r="K115" s="27" t="s">
        <v>224</v>
      </c>
      <c r="L115" s="27" t="s">
        <v>225</v>
      </c>
      <c r="M115" s="32" t="str">
        <f>HYPERLINK("http://slimages.macys.com/is/image/MCY/3777812 ")</f>
        <v xml:space="preserve">http://slimages.macys.com/is/image/MCY/3777812 </v>
      </c>
    </row>
    <row r="116" spans="1:13" ht="15.2" customHeight="1" x14ac:dyDescent="0.2">
      <c r="A116" s="26" t="s">
        <v>8615</v>
      </c>
      <c r="B116" s="27" t="s">
        <v>8616</v>
      </c>
      <c r="C116" s="28">
        <v>1</v>
      </c>
      <c r="D116" s="29">
        <v>11.5</v>
      </c>
      <c r="E116" s="29">
        <v>11.5</v>
      </c>
      <c r="F116" s="30">
        <v>27.99</v>
      </c>
      <c r="G116" s="29">
        <v>27.99</v>
      </c>
      <c r="H116" s="28" t="s">
        <v>223</v>
      </c>
      <c r="I116" s="27" t="s">
        <v>36</v>
      </c>
      <c r="J116" s="31" t="s">
        <v>71</v>
      </c>
      <c r="K116" s="27" t="s">
        <v>224</v>
      </c>
      <c r="L116" s="27" t="s">
        <v>225</v>
      </c>
      <c r="M116" s="32" t="str">
        <f>HYPERLINK("http://slimages.macys.com/is/image/MCY/3777812 ")</f>
        <v xml:space="preserve">http://slimages.macys.com/is/image/MCY/3777812 </v>
      </c>
    </row>
    <row r="117" spans="1:13" ht="15.2" customHeight="1" x14ac:dyDescent="0.2">
      <c r="A117" s="26" t="s">
        <v>8275</v>
      </c>
      <c r="B117" s="27" t="s">
        <v>8276</v>
      </c>
      <c r="C117" s="28">
        <v>1</v>
      </c>
      <c r="D117" s="29">
        <v>11.5</v>
      </c>
      <c r="E117" s="29">
        <v>11.5</v>
      </c>
      <c r="F117" s="30">
        <v>27.99</v>
      </c>
      <c r="G117" s="29">
        <v>27.99</v>
      </c>
      <c r="H117" s="28" t="s">
        <v>223</v>
      </c>
      <c r="I117" s="27" t="s">
        <v>59</v>
      </c>
      <c r="J117" s="31" t="s">
        <v>5</v>
      </c>
      <c r="K117" s="27" t="s">
        <v>224</v>
      </c>
      <c r="L117" s="27" t="s">
        <v>225</v>
      </c>
      <c r="M117" s="32" t="str">
        <f>HYPERLINK("http://slimages.macys.com/is/image/MCY/3777812 ")</f>
        <v xml:space="preserve">http://slimages.macys.com/is/image/MCY/3777812 </v>
      </c>
    </row>
    <row r="118" spans="1:13" ht="15.2" customHeight="1" x14ac:dyDescent="0.2">
      <c r="A118" s="26" t="s">
        <v>9074</v>
      </c>
      <c r="B118" s="27" t="s">
        <v>9075</v>
      </c>
      <c r="C118" s="28">
        <v>1</v>
      </c>
      <c r="D118" s="29">
        <v>11.5</v>
      </c>
      <c r="E118" s="29">
        <v>11.5</v>
      </c>
      <c r="F118" s="30">
        <v>39</v>
      </c>
      <c r="G118" s="29">
        <v>39</v>
      </c>
      <c r="H118" s="28" t="s">
        <v>9076</v>
      </c>
      <c r="I118" s="27" t="s">
        <v>22</v>
      </c>
      <c r="J118" s="31" t="s">
        <v>71</v>
      </c>
      <c r="K118" s="27" t="s">
        <v>154</v>
      </c>
      <c r="L118" s="27" t="s">
        <v>155</v>
      </c>
      <c r="M118" s="32" t="str">
        <f>HYPERLINK("http://slimages.macys.com/is/image/MCY/3516413 ")</f>
        <v xml:space="preserve">http://slimages.macys.com/is/image/MCY/3516413 </v>
      </c>
    </row>
    <row r="119" spans="1:13" ht="15.2" customHeight="1" x14ac:dyDescent="0.2">
      <c r="A119" s="26" t="s">
        <v>5428</v>
      </c>
      <c r="B119" s="27" t="s">
        <v>5429</v>
      </c>
      <c r="C119" s="28">
        <v>1</v>
      </c>
      <c r="D119" s="29">
        <v>11.5</v>
      </c>
      <c r="E119" s="29">
        <v>11.5</v>
      </c>
      <c r="F119" s="30">
        <v>29.99</v>
      </c>
      <c r="G119" s="29">
        <v>29.99</v>
      </c>
      <c r="H119" s="28" t="s">
        <v>3822</v>
      </c>
      <c r="I119" s="27" t="s">
        <v>1</v>
      </c>
      <c r="J119" s="31" t="s">
        <v>69</v>
      </c>
      <c r="K119" s="27" t="s">
        <v>200</v>
      </c>
      <c r="L119" s="27" t="s">
        <v>765</v>
      </c>
      <c r="M119" s="32" t="str">
        <f>HYPERLINK("http://slimages.macys.com/is/image/MCY/3581689 ")</f>
        <v xml:space="preserve">http://slimages.macys.com/is/image/MCY/3581689 </v>
      </c>
    </row>
    <row r="120" spans="1:13" ht="15.2" customHeight="1" x14ac:dyDescent="0.2">
      <c r="A120" s="26" t="s">
        <v>9077</v>
      </c>
      <c r="B120" s="27" t="s">
        <v>9078</v>
      </c>
      <c r="C120" s="28">
        <v>2</v>
      </c>
      <c r="D120" s="29">
        <v>11.5</v>
      </c>
      <c r="E120" s="29">
        <v>23</v>
      </c>
      <c r="F120" s="30">
        <v>29.99</v>
      </c>
      <c r="G120" s="29">
        <v>59.98</v>
      </c>
      <c r="H120" s="28" t="s">
        <v>9079</v>
      </c>
      <c r="I120" s="27" t="s">
        <v>29</v>
      </c>
      <c r="J120" s="31" t="s">
        <v>5</v>
      </c>
      <c r="K120" s="27" t="s">
        <v>200</v>
      </c>
      <c r="L120" s="27" t="s">
        <v>133</v>
      </c>
      <c r="M120" s="32" t="str">
        <f>HYPERLINK("http://slimages.macys.com/is/image/MCY/3773829 ")</f>
        <v xml:space="preserve">http://slimages.macys.com/is/image/MCY/3773829 </v>
      </c>
    </row>
    <row r="121" spans="1:13" ht="15.2" customHeight="1" x14ac:dyDescent="0.2">
      <c r="A121" s="26" t="s">
        <v>221</v>
      </c>
      <c r="B121" s="27" t="s">
        <v>222</v>
      </c>
      <c r="C121" s="28">
        <v>1</v>
      </c>
      <c r="D121" s="29">
        <v>11.5</v>
      </c>
      <c r="E121" s="29">
        <v>11.5</v>
      </c>
      <c r="F121" s="30">
        <v>27.99</v>
      </c>
      <c r="G121" s="29">
        <v>27.99</v>
      </c>
      <c r="H121" s="28" t="s">
        <v>223</v>
      </c>
      <c r="I121" s="27" t="s">
        <v>59</v>
      </c>
      <c r="J121" s="31" t="s">
        <v>52</v>
      </c>
      <c r="K121" s="27" t="s">
        <v>224</v>
      </c>
      <c r="L121" s="27" t="s">
        <v>225</v>
      </c>
      <c r="M121" s="32" t="str">
        <f>HYPERLINK("http://slimages.macys.com/is/image/MCY/3777812 ")</f>
        <v xml:space="preserve">http://slimages.macys.com/is/image/MCY/3777812 </v>
      </c>
    </row>
    <row r="122" spans="1:13" ht="15.2" customHeight="1" x14ac:dyDescent="0.2">
      <c r="A122" s="26" t="s">
        <v>8618</v>
      </c>
      <c r="B122" s="27" t="s">
        <v>8619</v>
      </c>
      <c r="C122" s="28">
        <v>1</v>
      </c>
      <c r="D122" s="29">
        <v>11.5</v>
      </c>
      <c r="E122" s="29">
        <v>11.5</v>
      </c>
      <c r="F122" s="30">
        <v>29.99</v>
      </c>
      <c r="G122" s="29">
        <v>29.99</v>
      </c>
      <c r="H122" s="28" t="s">
        <v>8620</v>
      </c>
      <c r="I122" s="27" t="s">
        <v>29</v>
      </c>
      <c r="J122" s="31" t="s">
        <v>5</v>
      </c>
      <c r="K122" s="27" t="s">
        <v>200</v>
      </c>
      <c r="L122" s="27" t="s">
        <v>133</v>
      </c>
      <c r="M122" s="32" t="str">
        <f>HYPERLINK("http://slimages.macys.com/is/image/MCY/3773829 ")</f>
        <v xml:space="preserve">http://slimages.macys.com/is/image/MCY/3773829 </v>
      </c>
    </row>
    <row r="123" spans="1:13" ht="15.2" customHeight="1" x14ac:dyDescent="0.2">
      <c r="A123" s="26" t="s">
        <v>8792</v>
      </c>
      <c r="B123" s="27" t="s">
        <v>8793</v>
      </c>
      <c r="C123" s="28">
        <v>1</v>
      </c>
      <c r="D123" s="29">
        <v>11.5</v>
      </c>
      <c r="E123" s="29">
        <v>11.5</v>
      </c>
      <c r="F123" s="30">
        <v>29.99</v>
      </c>
      <c r="G123" s="29">
        <v>29.99</v>
      </c>
      <c r="H123" s="28" t="s">
        <v>3822</v>
      </c>
      <c r="I123" s="27" t="s">
        <v>1</v>
      </c>
      <c r="J123" s="31" t="s">
        <v>214</v>
      </c>
      <c r="K123" s="27" t="s">
        <v>200</v>
      </c>
      <c r="L123" s="27" t="s">
        <v>765</v>
      </c>
      <c r="M123" s="32" t="str">
        <f>HYPERLINK("http://slimages.macys.com/is/image/MCY/3581689 ")</f>
        <v xml:space="preserve">http://slimages.macys.com/is/image/MCY/3581689 </v>
      </c>
    </row>
    <row r="124" spans="1:13" ht="15.2" customHeight="1" x14ac:dyDescent="0.2">
      <c r="A124" s="26" t="s">
        <v>5685</v>
      </c>
      <c r="B124" s="27" t="s">
        <v>5686</v>
      </c>
      <c r="C124" s="28">
        <v>1</v>
      </c>
      <c r="D124" s="29">
        <v>11.5</v>
      </c>
      <c r="E124" s="29">
        <v>11.5</v>
      </c>
      <c r="F124" s="30">
        <v>29.99</v>
      </c>
      <c r="G124" s="29">
        <v>29.99</v>
      </c>
      <c r="H124" s="28" t="s">
        <v>3822</v>
      </c>
      <c r="I124" s="27" t="s">
        <v>1</v>
      </c>
      <c r="J124" s="31" t="s">
        <v>234</v>
      </c>
      <c r="K124" s="27" t="s">
        <v>200</v>
      </c>
      <c r="L124" s="27" t="s">
        <v>765</v>
      </c>
      <c r="M124" s="32" t="str">
        <f>HYPERLINK("http://slimages.macys.com/is/image/MCY/3581689 ")</f>
        <v xml:space="preserve">http://slimages.macys.com/is/image/MCY/3581689 </v>
      </c>
    </row>
    <row r="125" spans="1:13" ht="15.2" customHeight="1" x14ac:dyDescent="0.2">
      <c r="A125" s="26" t="s">
        <v>9080</v>
      </c>
      <c r="B125" s="27" t="s">
        <v>9081</v>
      </c>
      <c r="C125" s="28">
        <v>1</v>
      </c>
      <c r="D125" s="29">
        <v>11.5</v>
      </c>
      <c r="E125" s="29">
        <v>11.5</v>
      </c>
      <c r="F125" s="30">
        <v>27.99</v>
      </c>
      <c r="G125" s="29">
        <v>27.99</v>
      </c>
      <c r="H125" s="28" t="s">
        <v>9082</v>
      </c>
      <c r="I125" s="27" t="s">
        <v>94</v>
      </c>
      <c r="J125" s="31" t="s">
        <v>40</v>
      </c>
      <c r="K125" s="27" t="s">
        <v>224</v>
      </c>
      <c r="L125" s="27" t="s">
        <v>325</v>
      </c>
      <c r="M125" s="32" t="str">
        <f>HYPERLINK("http://slimages.macys.com/is/image/MCY/3931157 ")</f>
        <v xml:space="preserve">http://slimages.macys.com/is/image/MCY/3931157 </v>
      </c>
    </row>
    <row r="126" spans="1:13" ht="15.2" customHeight="1" x14ac:dyDescent="0.2">
      <c r="A126" s="26" t="s">
        <v>8788</v>
      </c>
      <c r="B126" s="27" t="s">
        <v>8789</v>
      </c>
      <c r="C126" s="28">
        <v>1</v>
      </c>
      <c r="D126" s="29">
        <v>11.5</v>
      </c>
      <c r="E126" s="29">
        <v>11.5</v>
      </c>
      <c r="F126" s="30">
        <v>27.99</v>
      </c>
      <c r="G126" s="29">
        <v>27.99</v>
      </c>
      <c r="H126" s="28" t="s">
        <v>1261</v>
      </c>
      <c r="I126" s="27" t="s">
        <v>4</v>
      </c>
      <c r="J126" s="31" t="s">
        <v>71</v>
      </c>
      <c r="K126" s="27" t="s">
        <v>224</v>
      </c>
      <c r="L126" s="27" t="s">
        <v>325</v>
      </c>
      <c r="M126" s="32" t="str">
        <f>HYPERLINK("http://slimages.macys.com/is/image/MCY/3931141 ")</f>
        <v xml:space="preserve">http://slimages.macys.com/is/image/MCY/3931141 </v>
      </c>
    </row>
    <row r="127" spans="1:13" ht="15.2" customHeight="1" x14ac:dyDescent="0.2">
      <c r="A127" s="26" t="s">
        <v>9083</v>
      </c>
      <c r="B127" s="27" t="s">
        <v>9084</v>
      </c>
      <c r="C127" s="28">
        <v>3</v>
      </c>
      <c r="D127" s="29">
        <v>11.5</v>
      </c>
      <c r="E127" s="29">
        <v>34.5</v>
      </c>
      <c r="F127" s="30">
        <v>27.99</v>
      </c>
      <c r="G127" s="29">
        <v>83.97</v>
      </c>
      <c r="H127" s="28" t="s">
        <v>223</v>
      </c>
      <c r="I127" s="27" t="s">
        <v>59</v>
      </c>
      <c r="J127" s="31" t="s">
        <v>40</v>
      </c>
      <c r="K127" s="27" t="s">
        <v>224</v>
      </c>
      <c r="L127" s="27" t="s">
        <v>225</v>
      </c>
      <c r="M127" s="32" t="str">
        <f>HYPERLINK("http://slimages.macys.com/is/image/MCY/3777812 ")</f>
        <v xml:space="preserve">http://slimages.macys.com/is/image/MCY/3777812 </v>
      </c>
    </row>
    <row r="128" spans="1:13" ht="15.2" customHeight="1" x14ac:dyDescent="0.2">
      <c r="A128" s="26" t="s">
        <v>1259</v>
      </c>
      <c r="B128" s="27" t="s">
        <v>1260</v>
      </c>
      <c r="C128" s="28">
        <v>1</v>
      </c>
      <c r="D128" s="29">
        <v>11.5</v>
      </c>
      <c r="E128" s="29">
        <v>11.5</v>
      </c>
      <c r="F128" s="30">
        <v>27.99</v>
      </c>
      <c r="G128" s="29">
        <v>27.99</v>
      </c>
      <c r="H128" s="28" t="s">
        <v>1261</v>
      </c>
      <c r="I128" s="27" t="s">
        <v>4</v>
      </c>
      <c r="J128" s="31" t="s">
        <v>40</v>
      </c>
      <c r="K128" s="27" t="s">
        <v>224</v>
      </c>
      <c r="L128" s="27" t="s">
        <v>325</v>
      </c>
      <c r="M128" s="32" t="str">
        <f>HYPERLINK("http://slimages.macys.com/is/image/MCY/3931141 ")</f>
        <v xml:space="preserve">http://slimages.macys.com/is/image/MCY/3931141 </v>
      </c>
    </row>
    <row r="129" spans="1:13" ht="15.2" customHeight="1" x14ac:dyDescent="0.2">
      <c r="A129" s="26" t="s">
        <v>2897</v>
      </c>
      <c r="B129" s="27" t="s">
        <v>2898</v>
      </c>
      <c r="C129" s="28">
        <v>2</v>
      </c>
      <c r="D129" s="29">
        <v>11.5</v>
      </c>
      <c r="E129" s="29">
        <v>23</v>
      </c>
      <c r="F129" s="30">
        <v>27.99</v>
      </c>
      <c r="G129" s="29">
        <v>55.98</v>
      </c>
      <c r="H129" s="28" t="s">
        <v>1261</v>
      </c>
      <c r="I129" s="27" t="s">
        <v>4</v>
      </c>
      <c r="J129" s="31" t="s">
        <v>21</v>
      </c>
      <c r="K129" s="27" t="s">
        <v>224</v>
      </c>
      <c r="L129" s="27" t="s">
        <v>325</v>
      </c>
      <c r="M129" s="32" t="str">
        <f>HYPERLINK("http://slimages.macys.com/is/image/MCY/3931141 ")</f>
        <v xml:space="preserve">http://slimages.macys.com/is/image/MCY/3931141 </v>
      </c>
    </row>
    <row r="130" spans="1:13" ht="15.2" customHeight="1" x14ac:dyDescent="0.2">
      <c r="A130" s="26" t="s">
        <v>8613</v>
      </c>
      <c r="B130" s="27" t="s">
        <v>8614</v>
      </c>
      <c r="C130" s="28">
        <v>1</v>
      </c>
      <c r="D130" s="29">
        <v>11.5</v>
      </c>
      <c r="E130" s="29">
        <v>11.5</v>
      </c>
      <c r="F130" s="30">
        <v>27.99</v>
      </c>
      <c r="G130" s="29">
        <v>27.99</v>
      </c>
      <c r="H130" s="28" t="s">
        <v>1261</v>
      </c>
      <c r="I130" s="27" t="s">
        <v>4</v>
      </c>
      <c r="J130" s="31" t="s">
        <v>52</v>
      </c>
      <c r="K130" s="27" t="s">
        <v>224</v>
      </c>
      <c r="L130" s="27" t="s">
        <v>325</v>
      </c>
      <c r="M130" s="32" t="str">
        <f>HYPERLINK("http://slimages.macys.com/is/image/MCY/3931141 ")</f>
        <v xml:space="preserve">http://slimages.macys.com/is/image/MCY/3931141 </v>
      </c>
    </row>
    <row r="131" spans="1:13" ht="15.2" customHeight="1" x14ac:dyDescent="0.2">
      <c r="A131" s="26" t="s">
        <v>2895</v>
      </c>
      <c r="B131" s="27" t="s">
        <v>2896</v>
      </c>
      <c r="C131" s="28">
        <v>1</v>
      </c>
      <c r="D131" s="29">
        <v>11.5</v>
      </c>
      <c r="E131" s="29">
        <v>11.5</v>
      </c>
      <c r="F131" s="30">
        <v>27.99</v>
      </c>
      <c r="G131" s="29">
        <v>27.99</v>
      </c>
      <c r="H131" s="28" t="s">
        <v>223</v>
      </c>
      <c r="I131" s="27" t="s">
        <v>36</v>
      </c>
      <c r="J131" s="31" t="s">
        <v>21</v>
      </c>
      <c r="K131" s="27" t="s">
        <v>224</v>
      </c>
      <c r="L131" s="27" t="s">
        <v>225</v>
      </c>
      <c r="M131" s="32" t="str">
        <f>HYPERLINK("http://slimages.macys.com/is/image/MCY/3777812 ")</f>
        <v xml:space="preserve">http://slimages.macys.com/is/image/MCY/3777812 </v>
      </c>
    </row>
    <row r="132" spans="1:13" ht="15.2" customHeight="1" x14ac:dyDescent="0.2">
      <c r="A132" s="26" t="s">
        <v>5696</v>
      </c>
      <c r="B132" s="27" t="s">
        <v>5697</v>
      </c>
      <c r="C132" s="28">
        <v>1</v>
      </c>
      <c r="D132" s="29">
        <v>11</v>
      </c>
      <c r="E132" s="29">
        <v>11</v>
      </c>
      <c r="F132" s="30">
        <v>39</v>
      </c>
      <c r="G132" s="29">
        <v>39</v>
      </c>
      <c r="H132" s="28" t="s">
        <v>2204</v>
      </c>
      <c r="I132" s="27" t="s">
        <v>4</v>
      </c>
      <c r="J132" s="31" t="s">
        <v>52</v>
      </c>
      <c r="K132" s="27" t="s">
        <v>154</v>
      </c>
      <c r="L132" s="27" t="s">
        <v>155</v>
      </c>
      <c r="M132" s="32" t="str">
        <f>HYPERLINK("http://slimages.macys.com/is/image/MCY/3540985 ")</f>
        <v xml:space="preserve">http://slimages.macys.com/is/image/MCY/3540985 </v>
      </c>
    </row>
    <row r="133" spans="1:13" ht="15.2" customHeight="1" x14ac:dyDescent="0.2">
      <c r="A133" s="26" t="s">
        <v>9085</v>
      </c>
      <c r="B133" s="27" t="s">
        <v>9086</v>
      </c>
      <c r="C133" s="28">
        <v>1</v>
      </c>
      <c r="D133" s="29">
        <v>11</v>
      </c>
      <c r="E133" s="29">
        <v>11</v>
      </c>
      <c r="F133" s="30">
        <v>22.99</v>
      </c>
      <c r="G133" s="29">
        <v>22.99</v>
      </c>
      <c r="H133" s="28" t="s">
        <v>4461</v>
      </c>
      <c r="I133" s="27" t="s">
        <v>10</v>
      </c>
      <c r="J133" s="31" t="s">
        <v>40</v>
      </c>
      <c r="K133" s="27" t="s">
        <v>200</v>
      </c>
      <c r="L133" s="27" t="s">
        <v>243</v>
      </c>
      <c r="M133" s="32" t="str">
        <f>HYPERLINK("http://slimages.macys.com/is/image/MCY/3755177 ")</f>
        <v xml:space="preserve">http://slimages.macys.com/is/image/MCY/3755177 </v>
      </c>
    </row>
    <row r="134" spans="1:13" ht="15.2" customHeight="1" x14ac:dyDescent="0.2">
      <c r="A134" s="26" t="s">
        <v>1281</v>
      </c>
      <c r="B134" s="27" t="s">
        <v>1282</v>
      </c>
      <c r="C134" s="28">
        <v>1</v>
      </c>
      <c r="D134" s="29">
        <v>11</v>
      </c>
      <c r="E134" s="29">
        <v>11</v>
      </c>
      <c r="F134" s="30">
        <v>27.99</v>
      </c>
      <c r="G134" s="29">
        <v>27.99</v>
      </c>
      <c r="H134" s="28" t="s">
        <v>1283</v>
      </c>
      <c r="I134" s="27" t="s">
        <v>82</v>
      </c>
      <c r="J134" s="31" t="s">
        <v>21</v>
      </c>
      <c r="K134" s="27" t="s">
        <v>224</v>
      </c>
      <c r="L134" s="27" t="s">
        <v>563</v>
      </c>
      <c r="M134" s="32" t="str">
        <f>HYPERLINK("http://slimages.macys.com/is/image/MCY/3852975 ")</f>
        <v xml:space="preserve">http://slimages.macys.com/is/image/MCY/3852975 </v>
      </c>
    </row>
    <row r="135" spans="1:13" ht="15.2" customHeight="1" x14ac:dyDescent="0.2">
      <c r="A135" s="26" t="s">
        <v>8621</v>
      </c>
      <c r="B135" s="27" t="s">
        <v>8622</v>
      </c>
      <c r="C135" s="28">
        <v>3</v>
      </c>
      <c r="D135" s="29">
        <v>11</v>
      </c>
      <c r="E135" s="29">
        <v>33</v>
      </c>
      <c r="F135" s="30">
        <v>27.99</v>
      </c>
      <c r="G135" s="29">
        <v>83.97</v>
      </c>
      <c r="H135" s="28" t="s">
        <v>1283</v>
      </c>
      <c r="I135" s="27" t="s">
        <v>82</v>
      </c>
      <c r="J135" s="31" t="s">
        <v>52</v>
      </c>
      <c r="K135" s="27" t="s">
        <v>224</v>
      </c>
      <c r="L135" s="27" t="s">
        <v>563</v>
      </c>
      <c r="M135" s="32" t="str">
        <f>HYPERLINK("http://slimages.macys.com/is/image/MCY/3852975 ")</f>
        <v xml:space="preserve">http://slimages.macys.com/is/image/MCY/3852975 </v>
      </c>
    </row>
    <row r="136" spans="1:13" ht="15.2" customHeight="1" x14ac:dyDescent="0.2">
      <c r="A136" s="26" t="s">
        <v>9087</v>
      </c>
      <c r="B136" s="27" t="s">
        <v>9088</v>
      </c>
      <c r="C136" s="28">
        <v>1</v>
      </c>
      <c r="D136" s="29">
        <v>11</v>
      </c>
      <c r="E136" s="29">
        <v>11</v>
      </c>
      <c r="F136" s="30">
        <v>59</v>
      </c>
      <c r="G136" s="29">
        <v>59</v>
      </c>
      <c r="H136" s="28">
        <v>60343707</v>
      </c>
      <c r="I136" s="27" t="s">
        <v>4</v>
      </c>
      <c r="J136" s="31"/>
      <c r="K136" s="27" t="s">
        <v>6</v>
      </c>
      <c r="L136" s="27" t="s">
        <v>7</v>
      </c>
      <c r="M136" s="32" t="str">
        <f>HYPERLINK("http://slimages.macys.com/is/image/MCY/1333809 ")</f>
        <v xml:space="preserve">http://slimages.macys.com/is/image/MCY/1333809 </v>
      </c>
    </row>
    <row r="137" spans="1:13" ht="15.2" customHeight="1" x14ac:dyDescent="0.2">
      <c r="A137" s="26" t="s">
        <v>9089</v>
      </c>
      <c r="B137" s="27" t="s">
        <v>9090</v>
      </c>
      <c r="C137" s="28">
        <v>1</v>
      </c>
      <c r="D137" s="29">
        <v>11</v>
      </c>
      <c r="E137" s="29">
        <v>11</v>
      </c>
      <c r="F137" s="30">
        <v>22.99</v>
      </c>
      <c r="G137" s="29">
        <v>22.99</v>
      </c>
      <c r="H137" s="28" t="s">
        <v>9091</v>
      </c>
      <c r="I137" s="27" t="s">
        <v>248</v>
      </c>
      <c r="J137" s="31" t="s">
        <v>21</v>
      </c>
      <c r="K137" s="27" t="s">
        <v>200</v>
      </c>
      <c r="L137" s="27" t="s">
        <v>243</v>
      </c>
      <c r="M137" s="32" t="str">
        <f>HYPERLINK("http://slimages.macys.com/is/image/MCY/3794603 ")</f>
        <v xml:space="preserve">http://slimages.macys.com/is/image/MCY/3794603 </v>
      </c>
    </row>
    <row r="138" spans="1:13" ht="15.2" customHeight="1" x14ac:dyDescent="0.2">
      <c r="A138" s="26" t="s">
        <v>6032</v>
      </c>
      <c r="B138" s="27" t="s">
        <v>6033</v>
      </c>
      <c r="C138" s="28">
        <v>2</v>
      </c>
      <c r="D138" s="29">
        <v>11</v>
      </c>
      <c r="E138" s="29">
        <v>22</v>
      </c>
      <c r="F138" s="30">
        <v>44</v>
      </c>
      <c r="G138" s="29">
        <v>88</v>
      </c>
      <c r="H138" s="28" t="s">
        <v>4627</v>
      </c>
      <c r="I138" s="27"/>
      <c r="J138" s="31" t="s">
        <v>5</v>
      </c>
      <c r="K138" s="27" t="s">
        <v>42</v>
      </c>
      <c r="L138" s="27" t="s">
        <v>43</v>
      </c>
      <c r="M138" s="32" t="str">
        <f>HYPERLINK("http://slimages.macys.com/is/image/MCY/3611475 ")</f>
        <v xml:space="preserve">http://slimages.macys.com/is/image/MCY/3611475 </v>
      </c>
    </row>
    <row r="139" spans="1:13" ht="15.2" customHeight="1" x14ac:dyDescent="0.2">
      <c r="A139" s="26" t="s">
        <v>8521</v>
      </c>
      <c r="B139" s="27" t="s">
        <v>8522</v>
      </c>
      <c r="C139" s="28">
        <v>1</v>
      </c>
      <c r="D139" s="29">
        <v>11</v>
      </c>
      <c r="E139" s="29">
        <v>11</v>
      </c>
      <c r="F139" s="30">
        <v>44</v>
      </c>
      <c r="G139" s="29">
        <v>44</v>
      </c>
      <c r="H139" s="28" t="s">
        <v>4627</v>
      </c>
      <c r="I139" s="27"/>
      <c r="J139" s="31" t="s">
        <v>40</v>
      </c>
      <c r="K139" s="27" t="s">
        <v>42</v>
      </c>
      <c r="L139" s="27" t="s">
        <v>43</v>
      </c>
      <c r="M139" s="32" t="str">
        <f>HYPERLINK("http://slimages.macys.com/is/image/MCY/3611475 ")</f>
        <v xml:space="preserve">http://slimages.macys.com/is/image/MCY/3611475 </v>
      </c>
    </row>
    <row r="140" spans="1:13" ht="15.2" customHeight="1" x14ac:dyDescent="0.2">
      <c r="A140" s="26" t="s">
        <v>4625</v>
      </c>
      <c r="B140" s="27" t="s">
        <v>4626</v>
      </c>
      <c r="C140" s="28">
        <v>1</v>
      </c>
      <c r="D140" s="29">
        <v>11</v>
      </c>
      <c r="E140" s="29">
        <v>11</v>
      </c>
      <c r="F140" s="30">
        <v>44</v>
      </c>
      <c r="G140" s="29">
        <v>44</v>
      </c>
      <c r="H140" s="28" t="s">
        <v>4627</v>
      </c>
      <c r="I140" s="27"/>
      <c r="J140" s="31" t="s">
        <v>52</v>
      </c>
      <c r="K140" s="27" t="s">
        <v>42</v>
      </c>
      <c r="L140" s="27" t="s">
        <v>43</v>
      </c>
      <c r="M140" s="32" t="str">
        <f>HYPERLINK("http://slimages.macys.com/is/image/MCY/3611475 ")</f>
        <v xml:space="preserve">http://slimages.macys.com/is/image/MCY/3611475 </v>
      </c>
    </row>
    <row r="141" spans="1:13" ht="15.2" customHeight="1" x14ac:dyDescent="0.2">
      <c r="A141" s="26" t="s">
        <v>9092</v>
      </c>
      <c r="B141" s="27" t="s">
        <v>9093</v>
      </c>
      <c r="C141" s="28">
        <v>1</v>
      </c>
      <c r="D141" s="29">
        <v>10.6</v>
      </c>
      <c r="E141" s="29">
        <v>10.6</v>
      </c>
      <c r="F141" s="30">
        <v>22.99</v>
      </c>
      <c r="G141" s="29">
        <v>22.99</v>
      </c>
      <c r="H141" s="28" t="s">
        <v>6034</v>
      </c>
      <c r="I141" s="27" t="s">
        <v>267</v>
      </c>
      <c r="J141" s="31" t="s">
        <v>52</v>
      </c>
      <c r="K141" s="27" t="s">
        <v>208</v>
      </c>
      <c r="L141" s="27" t="s">
        <v>197</v>
      </c>
      <c r="M141" s="32" t="str">
        <f>HYPERLINK("http://slimages.macys.com/is/image/MCY/3755612 ")</f>
        <v xml:space="preserve">http://slimages.macys.com/is/image/MCY/3755612 </v>
      </c>
    </row>
    <row r="142" spans="1:13" ht="15.2" customHeight="1" x14ac:dyDescent="0.2">
      <c r="A142" s="26" t="s">
        <v>9094</v>
      </c>
      <c r="B142" s="27" t="s">
        <v>9095</v>
      </c>
      <c r="C142" s="28">
        <v>1</v>
      </c>
      <c r="D142" s="29">
        <v>10.5</v>
      </c>
      <c r="E142" s="29">
        <v>10.5</v>
      </c>
      <c r="F142" s="30">
        <v>39</v>
      </c>
      <c r="G142" s="29">
        <v>39</v>
      </c>
      <c r="H142" s="28" t="s">
        <v>6035</v>
      </c>
      <c r="I142" s="27" t="s">
        <v>189</v>
      </c>
      <c r="J142" s="31" t="s">
        <v>21</v>
      </c>
      <c r="K142" s="27" t="s">
        <v>42</v>
      </c>
      <c r="L142" s="27" t="s">
        <v>327</v>
      </c>
      <c r="M142" s="32" t="str">
        <f>HYPERLINK("http://slimages.macys.com/is/image/MCY/3755633 ")</f>
        <v xml:space="preserve">http://slimages.macys.com/is/image/MCY/3755633 </v>
      </c>
    </row>
    <row r="143" spans="1:13" ht="15.2" customHeight="1" x14ac:dyDescent="0.2">
      <c r="A143" s="26" t="s">
        <v>9096</v>
      </c>
      <c r="B143" s="27" t="s">
        <v>9097</v>
      </c>
      <c r="C143" s="28">
        <v>2</v>
      </c>
      <c r="D143" s="29">
        <v>10.5</v>
      </c>
      <c r="E143" s="29">
        <v>21</v>
      </c>
      <c r="F143" s="30">
        <v>27.99</v>
      </c>
      <c r="G143" s="29">
        <v>55.98</v>
      </c>
      <c r="H143" s="28" t="s">
        <v>253</v>
      </c>
      <c r="I143" s="27" t="s">
        <v>274</v>
      </c>
      <c r="J143" s="31" t="s">
        <v>52</v>
      </c>
      <c r="K143" s="27" t="s">
        <v>224</v>
      </c>
      <c r="L143" s="27" t="s">
        <v>254</v>
      </c>
      <c r="M143" s="32" t="str">
        <f>HYPERLINK("http://slimages.macys.com/is/image/MCY/3798053 ")</f>
        <v xml:space="preserve">http://slimages.macys.com/is/image/MCY/3798053 </v>
      </c>
    </row>
    <row r="144" spans="1:13" ht="15.2" customHeight="1" x14ac:dyDescent="0.2">
      <c r="A144" s="26" t="s">
        <v>9098</v>
      </c>
      <c r="B144" s="27" t="s">
        <v>9099</v>
      </c>
      <c r="C144" s="28">
        <v>1</v>
      </c>
      <c r="D144" s="29">
        <v>10.5</v>
      </c>
      <c r="E144" s="29">
        <v>10.5</v>
      </c>
      <c r="F144" s="30">
        <v>24.99</v>
      </c>
      <c r="G144" s="29">
        <v>24.99</v>
      </c>
      <c r="H144" s="28" t="s">
        <v>259</v>
      </c>
      <c r="I144" s="27" t="s">
        <v>26</v>
      </c>
      <c r="J144" s="31" t="s">
        <v>5</v>
      </c>
      <c r="K144" s="27" t="s">
        <v>224</v>
      </c>
      <c r="L144" s="27" t="s">
        <v>260</v>
      </c>
      <c r="M144" s="32" t="str">
        <f>HYPERLINK("http://slimages.macys.com/is/image/MCY/3832929 ")</f>
        <v xml:space="preserve">http://slimages.macys.com/is/image/MCY/3832929 </v>
      </c>
    </row>
    <row r="145" spans="1:13" ht="15.2" customHeight="1" x14ac:dyDescent="0.2">
      <c r="A145" s="26" t="s">
        <v>9100</v>
      </c>
      <c r="B145" s="27" t="s">
        <v>9101</v>
      </c>
      <c r="C145" s="28">
        <v>1</v>
      </c>
      <c r="D145" s="29">
        <v>10.5</v>
      </c>
      <c r="E145" s="29">
        <v>10.5</v>
      </c>
      <c r="F145" s="30">
        <v>24.99</v>
      </c>
      <c r="G145" s="29">
        <v>24.99</v>
      </c>
      <c r="H145" s="28" t="s">
        <v>259</v>
      </c>
      <c r="I145" s="27" t="s">
        <v>26</v>
      </c>
      <c r="J145" s="31" t="s">
        <v>52</v>
      </c>
      <c r="K145" s="27" t="s">
        <v>224</v>
      </c>
      <c r="L145" s="27" t="s">
        <v>260</v>
      </c>
      <c r="M145" s="32" t="str">
        <f>HYPERLINK("http://slimages.macys.com/is/image/MCY/3832935 ")</f>
        <v xml:space="preserve">http://slimages.macys.com/is/image/MCY/3832935 </v>
      </c>
    </row>
    <row r="146" spans="1:13" ht="15.2" customHeight="1" x14ac:dyDescent="0.2">
      <c r="A146" s="26" t="s">
        <v>9102</v>
      </c>
      <c r="B146" s="27" t="s">
        <v>9103</v>
      </c>
      <c r="C146" s="28">
        <v>1</v>
      </c>
      <c r="D146" s="29">
        <v>10.5</v>
      </c>
      <c r="E146" s="29">
        <v>10.5</v>
      </c>
      <c r="F146" s="30">
        <v>27.99</v>
      </c>
      <c r="G146" s="29">
        <v>27.99</v>
      </c>
      <c r="H146" s="28" t="s">
        <v>253</v>
      </c>
      <c r="I146" s="27" t="s">
        <v>274</v>
      </c>
      <c r="J146" s="31" t="s">
        <v>5</v>
      </c>
      <c r="K146" s="27" t="s">
        <v>224</v>
      </c>
      <c r="L146" s="27" t="s">
        <v>254</v>
      </c>
      <c r="M146" s="32" t="str">
        <f>HYPERLINK("http://slimages.macys.com/is/image/MCY/3798053 ")</f>
        <v xml:space="preserve">http://slimages.macys.com/is/image/MCY/3798053 </v>
      </c>
    </row>
    <row r="147" spans="1:13" ht="15.2" customHeight="1" x14ac:dyDescent="0.2">
      <c r="A147" s="26" t="s">
        <v>5048</v>
      </c>
      <c r="B147" s="27" t="s">
        <v>5049</v>
      </c>
      <c r="C147" s="28">
        <v>1</v>
      </c>
      <c r="D147" s="29">
        <v>10.5</v>
      </c>
      <c r="E147" s="29">
        <v>10.5</v>
      </c>
      <c r="F147" s="30">
        <v>24.99</v>
      </c>
      <c r="G147" s="29">
        <v>24.99</v>
      </c>
      <c r="H147" s="28" t="s">
        <v>259</v>
      </c>
      <c r="I147" s="27" t="s">
        <v>26</v>
      </c>
      <c r="J147" s="31" t="s">
        <v>40</v>
      </c>
      <c r="K147" s="27" t="s">
        <v>224</v>
      </c>
      <c r="L147" s="27" t="s">
        <v>260</v>
      </c>
      <c r="M147" s="32" t="str">
        <f>HYPERLINK("http://slimages.macys.com/is/image/MCY/3832935 ")</f>
        <v xml:space="preserve">http://slimages.macys.com/is/image/MCY/3832935 </v>
      </c>
    </row>
    <row r="148" spans="1:13" ht="15.2" customHeight="1" x14ac:dyDescent="0.2">
      <c r="A148" s="26" t="s">
        <v>4470</v>
      </c>
      <c r="B148" s="27" t="s">
        <v>4471</v>
      </c>
      <c r="C148" s="28">
        <v>1</v>
      </c>
      <c r="D148" s="29">
        <v>10.5</v>
      </c>
      <c r="E148" s="29">
        <v>10.5</v>
      </c>
      <c r="F148" s="30">
        <v>24.99</v>
      </c>
      <c r="G148" s="29">
        <v>24.99</v>
      </c>
      <c r="H148" s="28" t="s">
        <v>259</v>
      </c>
      <c r="I148" s="27" t="s">
        <v>26</v>
      </c>
      <c r="J148" s="31" t="s">
        <v>5</v>
      </c>
      <c r="K148" s="27" t="s">
        <v>224</v>
      </c>
      <c r="L148" s="27" t="s">
        <v>260</v>
      </c>
      <c r="M148" s="32" t="str">
        <f>HYPERLINK("http://slimages.macys.com/is/image/MCY/3832935 ")</f>
        <v xml:space="preserve">http://slimages.macys.com/is/image/MCY/3832935 </v>
      </c>
    </row>
    <row r="149" spans="1:13" ht="15.2" customHeight="1" x14ac:dyDescent="0.2">
      <c r="A149" s="26" t="s">
        <v>9104</v>
      </c>
      <c r="B149" s="27" t="s">
        <v>9105</v>
      </c>
      <c r="C149" s="28">
        <v>1</v>
      </c>
      <c r="D149" s="29">
        <v>10.5</v>
      </c>
      <c r="E149" s="29">
        <v>10.5</v>
      </c>
      <c r="F149" s="30">
        <v>24.99</v>
      </c>
      <c r="G149" s="29">
        <v>24.99</v>
      </c>
      <c r="H149" s="28" t="s">
        <v>259</v>
      </c>
      <c r="I149" s="27" t="s">
        <v>26</v>
      </c>
      <c r="J149" s="31" t="s">
        <v>52</v>
      </c>
      <c r="K149" s="27" t="s">
        <v>224</v>
      </c>
      <c r="L149" s="27" t="s">
        <v>260</v>
      </c>
      <c r="M149" s="32" t="str">
        <f>HYPERLINK("http://slimages.macys.com/is/image/MCY/3832929 ")</f>
        <v xml:space="preserve">http://slimages.macys.com/is/image/MCY/3832929 </v>
      </c>
    </row>
    <row r="150" spans="1:13" ht="15.2" customHeight="1" x14ac:dyDescent="0.2">
      <c r="A150" s="26" t="s">
        <v>9106</v>
      </c>
      <c r="B150" s="27" t="s">
        <v>9107</v>
      </c>
      <c r="C150" s="28">
        <v>1</v>
      </c>
      <c r="D150" s="29">
        <v>10.25</v>
      </c>
      <c r="E150" s="29">
        <v>10.25</v>
      </c>
      <c r="F150" s="30">
        <v>25.99</v>
      </c>
      <c r="G150" s="29">
        <v>25.99</v>
      </c>
      <c r="H150" s="28" t="s">
        <v>1815</v>
      </c>
      <c r="I150" s="27" t="s">
        <v>22</v>
      </c>
      <c r="J150" s="31" t="s">
        <v>40</v>
      </c>
      <c r="K150" s="27" t="s">
        <v>200</v>
      </c>
      <c r="L150" s="27" t="s">
        <v>552</v>
      </c>
      <c r="M150" s="32" t="str">
        <f>HYPERLINK("http://slimages.macys.com/is/image/MCY/3820932 ")</f>
        <v xml:space="preserve">http://slimages.macys.com/is/image/MCY/3820932 </v>
      </c>
    </row>
    <row r="151" spans="1:13" ht="15.2" customHeight="1" x14ac:dyDescent="0.2">
      <c r="A151" s="26" t="s">
        <v>9108</v>
      </c>
      <c r="B151" s="27" t="s">
        <v>9109</v>
      </c>
      <c r="C151" s="28">
        <v>1</v>
      </c>
      <c r="D151" s="29">
        <v>10.25</v>
      </c>
      <c r="E151" s="29">
        <v>10.25</v>
      </c>
      <c r="F151" s="30">
        <v>25.99</v>
      </c>
      <c r="G151" s="29">
        <v>25.99</v>
      </c>
      <c r="H151" s="28" t="s">
        <v>1815</v>
      </c>
      <c r="I151" s="27" t="s">
        <v>94</v>
      </c>
      <c r="J151" s="31" t="s">
        <v>40</v>
      </c>
      <c r="K151" s="27" t="s">
        <v>200</v>
      </c>
      <c r="L151" s="27" t="s">
        <v>552</v>
      </c>
      <c r="M151" s="32" t="str">
        <f>HYPERLINK("http://slimages.macys.com/is/image/MCY/3820932 ")</f>
        <v xml:space="preserve">http://slimages.macys.com/is/image/MCY/3820932 </v>
      </c>
    </row>
    <row r="152" spans="1:13" ht="15.2" customHeight="1" x14ac:dyDescent="0.2">
      <c r="A152" s="26" t="s">
        <v>9110</v>
      </c>
      <c r="B152" s="27" t="s">
        <v>9111</v>
      </c>
      <c r="C152" s="28">
        <v>1</v>
      </c>
      <c r="D152" s="29">
        <v>10.199999999999999</v>
      </c>
      <c r="E152" s="29">
        <v>10.199999999999999</v>
      </c>
      <c r="F152" s="30">
        <v>22.99</v>
      </c>
      <c r="G152" s="29">
        <v>22.99</v>
      </c>
      <c r="H152" s="28" t="s">
        <v>8300</v>
      </c>
      <c r="I152" s="27" t="s">
        <v>4</v>
      </c>
      <c r="J152" s="31" t="s">
        <v>52</v>
      </c>
      <c r="K152" s="27" t="s">
        <v>208</v>
      </c>
      <c r="L152" s="27" t="s">
        <v>197</v>
      </c>
      <c r="M152" s="32" t="str">
        <f>HYPERLINK("http://slimages.macys.com/is/image/MCY/3752197 ")</f>
        <v xml:space="preserve">http://slimages.macys.com/is/image/MCY/3752197 </v>
      </c>
    </row>
    <row r="153" spans="1:13" ht="15.2" customHeight="1" x14ac:dyDescent="0.2">
      <c r="A153" s="26" t="s">
        <v>8808</v>
      </c>
      <c r="B153" s="27" t="s">
        <v>8809</v>
      </c>
      <c r="C153" s="28">
        <v>2</v>
      </c>
      <c r="D153" s="29">
        <v>10</v>
      </c>
      <c r="E153" s="29">
        <v>20</v>
      </c>
      <c r="F153" s="30">
        <v>27.99</v>
      </c>
      <c r="G153" s="29">
        <v>55.98</v>
      </c>
      <c r="H153" s="28" t="s">
        <v>279</v>
      </c>
      <c r="I153" s="27" t="s">
        <v>4</v>
      </c>
      <c r="J153" s="31" t="s">
        <v>40</v>
      </c>
      <c r="K153" s="27" t="s">
        <v>224</v>
      </c>
      <c r="L153" s="27" t="s">
        <v>237</v>
      </c>
      <c r="M153" s="32" t="str">
        <f>HYPERLINK("http://slimages.macys.com/is/image/MCY/3820977 ")</f>
        <v xml:space="preserve">http://slimages.macys.com/is/image/MCY/3820977 </v>
      </c>
    </row>
    <row r="154" spans="1:13" ht="15.2" customHeight="1" x14ac:dyDescent="0.2">
      <c r="A154" s="26" t="s">
        <v>2910</v>
      </c>
      <c r="B154" s="27" t="s">
        <v>2911</v>
      </c>
      <c r="C154" s="28">
        <v>2</v>
      </c>
      <c r="D154" s="29">
        <v>10</v>
      </c>
      <c r="E154" s="29">
        <v>20</v>
      </c>
      <c r="F154" s="30">
        <v>27.99</v>
      </c>
      <c r="G154" s="29">
        <v>55.98</v>
      </c>
      <c r="H154" s="28" t="s">
        <v>279</v>
      </c>
      <c r="I154" s="27" t="s">
        <v>4</v>
      </c>
      <c r="J154" s="31" t="s">
        <v>21</v>
      </c>
      <c r="K154" s="27" t="s">
        <v>224</v>
      </c>
      <c r="L154" s="27" t="s">
        <v>237</v>
      </c>
      <c r="M154" s="32" t="str">
        <f>HYPERLINK("http://slimages.macys.com/is/image/MCY/3820977 ")</f>
        <v xml:space="preserve">http://slimages.macys.com/is/image/MCY/3820977 </v>
      </c>
    </row>
    <row r="155" spans="1:13" ht="15.2" customHeight="1" x14ac:dyDescent="0.2">
      <c r="A155" s="26" t="s">
        <v>9112</v>
      </c>
      <c r="B155" s="27" t="s">
        <v>9113</v>
      </c>
      <c r="C155" s="28">
        <v>1</v>
      </c>
      <c r="D155" s="29">
        <v>10</v>
      </c>
      <c r="E155" s="29">
        <v>10</v>
      </c>
      <c r="F155" s="30">
        <v>24.99</v>
      </c>
      <c r="G155" s="29">
        <v>24.99</v>
      </c>
      <c r="H155" s="28" t="s">
        <v>9114</v>
      </c>
      <c r="I155" s="27" t="s">
        <v>1280</v>
      </c>
      <c r="J155" s="31" t="s">
        <v>52</v>
      </c>
      <c r="K155" s="27" t="s">
        <v>70</v>
      </c>
      <c r="L155" s="27" t="s">
        <v>101</v>
      </c>
      <c r="M155" s="32" t="str">
        <f>HYPERLINK("http://slimages.macys.com/is/image/MCY/3822615 ")</f>
        <v xml:space="preserve">http://slimages.macys.com/is/image/MCY/3822615 </v>
      </c>
    </row>
    <row r="156" spans="1:13" ht="15.2" customHeight="1" x14ac:dyDescent="0.2">
      <c r="A156" s="26" t="s">
        <v>8551</v>
      </c>
      <c r="B156" s="27" t="s">
        <v>8552</v>
      </c>
      <c r="C156" s="28">
        <v>5</v>
      </c>
      <c r="D156" s="29">
        <v>10</v>
      </c>
      <c r="E156" s="29">
        <v>50</v>
      </c>
      <c r="F156" s="30">
        <v>27.99</v>
      </c>
      <c r="G156" s="29">
        <v>139.94999999999999</v>
      </c>
      <c r="H156" s="28" t="s">
        <v>279</v>
      </c>
      <c r="I156" s="27" t="s">
        <v>4</v>
      </c>
      <c r="J156" s="31" t="s">
        <v>5</v>
      </c>
      <c r="K156" s="27" t="s">
        <v>224</v>
      </c>
      <c r="L156" s="27" t="s">
        <v>237</v>
      </c>
      <c r="M156" s="32" t="str">
        <f>HYPERLINK("http://slimages.macys.com/is/image/MCY/3820977 ")</f>
        <v xml:space="preserve">http://slimages.macys.com/is/image/MCY/3820977 </v>
      </c>
    </row>
    <row r="157" spans="1:13" ht="15.2" customHeight="1" x14ac:dyDescent="0.2">
      <c r="A157" s="26" t="s">
        <v>8627</v>
      </c>
      <c r="B157" s="27" t="s">
        <v>8628</v>
      </c>
      <c r="C157" s="28">
        <v>1</v>
      </c>
      <c r="D157" s="29">
        <v>10</v>
      </c>
      <c r="E157" s="29">
        <v>10</v>
      </c>
      <c r="F157" s="30">
        <v>27.99</v>
      </c>
      <c r="G157" s="29">
        <v>27.99</v>
      </c>
      <c r="H157" s="28" t="s">
        <v>279</v>
      </c>
      <c r="I157" s="27" t="s">
        <v>4</v>
      </c>
      <c r="J157" s="31" t="s">
        <v>52</v>
      </c>
      <c r="K157" s="27" t="s">
        <v>224</v>
      </c>
      <c r="L157" s="27" t="s">
        <v>237</v>
      </c>
      <c r="M157" s="32" t="str">
        <f>HYPERLINK("http://slimages.macys.com/is/image/MCY/3820977 ")</f>
        <v xml:space="preserve">http://slimages.macys.com/is/image/MCY/3820977 </v>
      </c>
    </row>
    <row r="158" spans="1:13" ht="15.2" customHeight="1" x14ac:dyDescent="0.2">
      <c r="A158" s="26" t="s">
        <v>9115</v>
      </c>
      <c r="B158" s="27" t="s">
        <v>9116</v>
      </c>
      <c r="C158" s="28">
        <v>1</v>
      </c>
      <c r="D158" s="29">
        <v>10</v>
      </c>
      <c r="E158" s="29">
        <v>10</v>
      </c>
      <c r="F158" s="30">
        <v>27.99</v>
      </c>
      <c r="G158" s="29">
        <v>27.99</v>
      </c>
      <c r="H158" s="28" t="s">
        <v>9117</v>
      </c>
      <c r="I158" s="27" t="s">
        <v>189</v>
      </c>
      <c r="J158" s="31" t="s">
        <v>71</v>
      </c>
      <c r="K158" s="27" t="s">
        <v>224</v>
      </c>
      <c r="L158" s="27" t="s">
        <v>563</v>
      </c>
      <c r="M158" s="32" t="str">
        <f>HYPERLINK("http://slimages.macys.com/is/image/MCY/3931026 ")</f>
        <v xml:space="preserve">http://slimages.macys.com/is/image/MCY/3931026 </v>
      </c>
    </row>
    <row r="159" spans="1:13" ht="15.2" customHeight="1" x14ac:dyDescent="0.2">
      <c r="A159" s="26" t="s">
        <v>8398</v>
      </c>
      <c r="B159" s="27" t="s">
        <v>8399</v>
      </c>
      <c r="C159" s="28">
        <v>1</v>
      </c>
      <c r="D159" s="29">
        <v>10</v>
      </c>
      <c r="E159" s="29">
        <v>10</v>
      </c>
      <c r="F159" s="30">
        <v>27.99</v>
      </c>
      <c r="G159" s="29">
        <v>27.99</v>
      </c>
      <c r="H159" s="28" t="s">
        <v>279</v>
      </c>
      <c r="I159" s="27" t="s">
        <v>127</v>
      </c>
      <c r="J159" s="31" t="s">
        <v>5</v>
      </c>
      <c r="K159" s="27" t="s">
        <v>224</v>
      </c>
      <c r="L159" s="27" t="s">
        <v>237</v>
      </c>
      <c r="M159" s="32" t="str">
        <f>HYPERLINK("http://slimages.macys.com/is/image/MCY/3820964 ")</f>
        <v xml:space="preserve">http://slimages.macys.com/is/image/MCY/3820964 </v>
      </c>
    </row>
    <row r="160" spans="1:13" ht="15.2" customHeight="1" x14ac:dyDescent="0.2">
      <c r="A160" s="26" t="s">
        <v>8806</v>
      </c>
      <c r="B160" s="27" t="s">
        <v>8807</v>
      </c>
      <c r="C160" s="28">
        <v>1</v>
      </c>
      <c r="D160" s="29">
        <v>10</v>
      </c>
      <c r="E160" s="29">
        <v>10</v>
      </c>
      <c r="F160" s="30">
        <v>27.99</v>
      </c>
      <c r="G160" s="29">
        <v>27.99</v>
      </c>
      <c r="H160" s="28" t="s">
        <v>279</v>
      </c>
      <c r="I160" s="27" t="s">
        <v>4</v>
      </c>
      <c r="J160" s="31" t="s">
        <v>71</v>
      </c>
      <c r="K160" s="27" t="s">
        <v>224</v>
      </c>
      <c r="L160" s="27" t="s">
        <v>237</v>
      </c>
      <c r="M160" s="32" t="str">
        <f>HYPERLINK("http://slimages.macys.com/is/image/MCY/3820977 ")</f>
        <v xml:space="preserve">http://slimages.macys.com/is/image/MCY/3820977 </v>
      </c>
    </row>
    <row r="161" spans="1:13" ht="15.2" customHeight="1" x14ac:dyDescent="0.2">
      <c r="A161" s="26" t="s">
        <v>8803</v>
      </c>
      <c r="B161" s="27" t="s">
        <v>8804</v>
      </c>
      <c r="C161" s="28">
        <v>1</v>
      </c>
      <c r="D161" s="29">
        <v>10</v>
      </c>
      <c r="E161" s="29">
        <v>10</v>
      </c>
      <c r="F161" s="30">
        <v>22.99</v>
      </c>
      <c r="G161" s="29">
        <v>22.99</v>
      </c>
      <c r="H161" s="28" t="s">
        <v>8805</v>
      </c>
      <c r="I161" s="27" t="s">
        <v>59</v>
      </c>
      <c r="J161" s="31" t="s">
        <v>21</v>
      </c>
      <c r="K161" s="27" t="s">
        <v>196</v>
      </c>
      <c r="L161" s="27" t="s">
        <v>256</v>
      </c>
      <c r="M161" s="32" t="str">
        <f>HYPERLINK("http://slimages.macys.com/is/image/MCY/3755144 ")</f>
        <v xml:space="preserve">http://slimages.macys.com/is/image/MCY/3755144 </v>
      </c>
    </row>
    <row r="162" spans="1:13" ht="15.2" customHeight="1" x14ac:dyDescent="0.2">
      <c r="A162" s="26" t="s">
        <v>9118</v>
      </c>
      <c r="B162" s="27" t="s">
        <v>9119</v>
      </c>
      <c r="C162" s="28">
        <v>2</v>
      </c>
      <c r="D162" s="29">
        <v>10</v>
      </c>
      <c r="E162" s="29">
        <v>20</v>
      </c>
      <c r="F162" s="30">
        <v>22.99</v>
      </c>
      <c r="G162" s="29">
        <v>45.98</v>
      </c>
      <c r="H162" s="28" t="s">
        <v>8805</v>
      </c>
      <c r="I162" s="27" t="s">
        <v>59</v>
      </c>
      <c r="J162" s="31" t="s">
        <v>52</v>
      </c>
      <c r="K162" s="27" t="s">
        <v>196</v>
      </c>
      <c r="L162" s="27" t="s">
        <v>256</v>
      </c>
      <c r="M162" s="32" t="str">
        <f>HYPERLINK("http://slimages.macys.com/is/image/MCY/3755144 ")</f>
        <v xml:space="preserve">http://slimages.macys.com/is/image/MCY/3755144 </v>
      </c>
    </row>
    <row r="163" spans="1:13" ht="15.2" customHeight="1" x14ac:dyDescent="0.2">
      <c r="A163" s="26" t="s">
        <v>9120</v>
      </c>
      <c r="B163" s="27" t="s">
        <v>9121</v>
      </c>
      <c r="C163" s="28">
        <v>1</v>
      </c>
      <c r="D163" s="29">
        <v>10</v>
      </c>
      <c r="E163" s="29">
        <v>10</v>
      </c>
      <c r="F163" s="30">
        <v>24.98</v>
      </c>
      <c r="G163" s="29">
        <v>24.98</v>
      </c>
      <c r="H163" s="28" t="s">
        <v>9122</v>
      </c>
      <c r="I163" s="27" t="s">
        <v>244</v>
      </c>
      <c r="J163" s="31" t="s">
        <v>5</v>
      </c>
      <c r="K163" s="27" t="s">
        <v>154</v>
      </c>
      <c r="L163" s="27" t="s">
        <v>155</v>
      </c>
      <c r="M163" s="32" t="str">
        <f>HYPERLINK("http://slimages.macys.com/is/image/MCY/3563031 ")</f>
        <v xml:space="preserve">http://slimages.macys.com/is/image/MCY/3563031 </v>
      </c>
    </row>
    <row r="164" spans="1:13" ht="15.2" customHeight="1" x14ac:dyDescent="0.2">
      <c r="A164" s="26" t="s">
        <v>8635</v>
      </c>
      <c r="B164" s="27" t="s">
        <v>8636</v>
      </c>
      <c r="C164" s="28">
        <v>1</v>
      </c>
      <c r="D164" s="29">
        <v>10</v>
      </c>
      <c r="E164" s="29">
        <v>10</v>
      </c>
      <c r="F164" s="30">
        <v>22.99</v>
      </c>
      <c r="G164" s="29">
        <v>22.99</v>
      </c>
      <c r="H164" s="28" t="s">
        <v>266</v>
      </c>
      <c r="I164" s="27" t="s">
        <v>267</v>
      </c>
      <c r="J164" s="31" t="s">
        <v>40</v>
      </c>
      <c r="K164" s="27" t="s">
        <v>208</v>
      </c>
      <c r="L164" s="27" t="s">
        <v>197</v>
      </c>
      <c r="M164" s="32" t="str">
        <f>HYPERLINK("http://slimages.macys.com/is/image/MCY/3687920 ")</f>
        <v xml:space="preserve">http://slimages.macys.com/is/image/MCY/3687920 </v>
      </c>
    </row>
    <row r="165" spans="1:13" ht="15.2" customHeight="1" x14ac:dyDescent="0.2">
      <c r="A165" s="26" t="s">
        <v>8632</v>
      </c>
      <c r="B165" s="27" t="s">
        <v>8633</v>
      </c>
      <c r="C165" s="28">
        <v>1</v>
      </c>
      <c r="D165" s="29">
        <v>10</v>
      </c>
      <c r="E165" s="29">
        <v>10</v>
      </c>
      <c r="F165" s="30">
        <v>24.99</v>
      </c>
      <c r="G165" s="29">
        <v>24.99</v>
      </c>
      <c r="H165" s="28" t="s">
        <v>8634</v>
      </c>
      <c r="I165" s="27" t="s">
        <v>20</v>
      </c>
      <c r="J165" s="31" t="s">
        <v>5</v>
      </c>
      <c r="K165" s="27" t="s">
        <v>70</v>
      </c>
      <c r="L165" s="27" t="s">
        <v>197</v>
      </c>
      <c r="M165" s="32" t="str">
        <f>HYPERLINK("http://slimages.macys.com/is/image/MCY/3757616 ")</f>
        <v xml:space="preserve">http://slimages.macys.com/is/image/MCY/3757616 </v>
      </c>
    </row>
    <row r="166" spans="1:13" ht="15.2" customHeight="1" x14ac:dyDescent="0.2">
      <c r="A166" s="26" t="s">
        <v>9123</v>
      </c>
      <c r="B166" s="27" t="s">
        <v>9124</v>
      </c>
      <c r="C166" s="28">
        <v>1</v>
      </c>
      <c r="D166" s="29">
        <v>10</v>
      </c>
      <c r="E166" s="29">
        <v>10</v>
      </c>
      <c r="F166" s="30">
        <v>39</v>
      </c>
      <c r="G166" s="29">
        <v>39</v>
      </c>
      <c r="H166" s="28" t="s">
        <v>7664</v>
      </c>
      <c r="I166" s="27" t="s">
        <v>5519</v>
      </c>
      <c r="J166" s="31" t="s">
        <v>65</v>
      </c>
      <c r="K166" s="27" t="s">
        <v>154</v>
      </c>
      <c r="L166" s="27" t="s">
        <v>155</v>
      </c>
      <c r="M166" s="32" t="str">
        <f>HYPERLINK("http://slimages.macys.com/is/image/MCY/3562864 ")</f>
        <v xml:space="preserve">http://slimages.macys.com/is/image/MCY/3562864 </v>
      </c>
    </row>
    <row r="167" spans="1:13" ht="15.2" customHeight="1" x14ac:dyDescent="0.2">
      <c r="A167" s="26" t="s">
        <v>9125</v>
      </c>
      <c r="B167" s="27" t="s">
        <v>9126</v>
      </c>
      <c r="C167" s="28">
        <v>1</v>
      </c>
      <c r="D167" s="29">
        <v>10</v>
      </c>
      <c r="E167" s="29">
        <v>10</v>
      </c>
      <c r="F167" s="30">
        <v>27.99</v>
      </c>
      <c r="G167" s="29">
        <v>27.99</v>
      </c>
      <c r="H167" s="28" t="s">
        <v>7750</v>
      </c>
      <c r="I167" s="27" t="s">
        <v>4</v>
      </c>
      <c r="J167" s="31" t="s">
        <v>40</v>
      </c>
      <c r="K167" s="27" t="s">
        <v>224</v>
      </c>
      <c r="L167" s="27" t="s">
        <v>225</v>
      </c>
      <c r="M167" s="32" t="str">
        <f>HYPERLINK("http://slimages.macys.com/is/image/MCY/3931031 ")</f>
        <v xml:space="preserve">http://slimages.macys.com/is/image/MCY/3931031 </v>
      </c>
    </row>
    <row r="168" spans="1:13" ht="15.2" customHeight="1" x14ac:dyDescent="0.2">
      <c r="A168" s="26" t="s">
        <v>2912</v>
      </c>
      <c r="B168" s="27" t="s">
        <v>2913</v>
      </c>
      <c r="C168" s="28">
        <v>2</v>
      </c>
      <c r="D168" s="29">
        <v>10</v>
      </c>
      <c r="E168" s="29">
        <v>20</v>
      </c>
      <c r="F168" s="30">
        <v>27.99</v>
      </c>
      <c r="G168" s="29">
        <v>55.98</v>
      </c>
      <c r="H168" s="28" t="s">
        <v>279</v>
      </c>
      <c r="I168" s="27" t="s">
        <v>127</v>
      </c>
      <c r="J168" s="31" t="s">
        <v>21</v>
      </c>
      <c r="K168" s="27" t="s">
        <v>224</v>
      </c>
      <c r="L168" s="27" t="s">
        <v>237</v>
      </c>
      <c r="M168" s="32" t="str">
        <f>HYPERLINK("http://slimages.macys.com/is/image/MCY/3820964 ")</f>
        <v xml:space="preserve">http://slimages.macys.com/is/image/MCY/3820964 </v>
      </c>
    </row>
    <row r="169" spans="1:13" ht="15.2" customHeight="1" x14ac:dyDescent="0.2">
      <c r="A169" s="26" t="s">
        <v>8395</v>
      </c>
      <c r="B169" s="27" t="s">
        <v>8396</v>
      </c>
      <c r="C169" s="28">
        <v>1</v>
      </c>
      <c r="D169" s="29">
        <v>10</v>
      </c>
      <c r="E169" s="29">
        <v>10</v>
      </c>
      <c r="F169" s="30">
        <v>27.99</v>
      </c>
      <c r="G169" s="29">
        <v>27.99</v>
      </c>
      <c r="H169" s="28" t="s">
        <v>279</v>
      </c>
      <c r="I169" s="27" t="s">
        <v>127</v>
      </c>
      <c r="J169" s="31" t="s">
        <v>40</v>
      </c>
      <c r="K169" s="27" t="s">
        <v>224</v>
      </c>
      <c r="L169" s="27" t="s">
        <v>237</v>
      </c>
      <c r="M169" s="32" t="str">
        <f>HYPERLINK("http://slimages.macys.com/is/image/MCY/3820964 ")</f>
        <v xml:space="preserve">http://slimages.macys.com/is/image/MCY/3820964 </v>
      </c>
    </row>
    <row r="170" spans="1:13" ht="15.2" customHeight="1" x14ac:dyDescent="0.2">
      <c r="A170" s="26" t="s">
        <v>8641</v>
      </c>
      <c r="B170" s="27" t="s">
        <v>8642</v>
      </c>
      <c r="C170" s="28">
        <v>1</v>
      </c>
      <c r="D170" s="29">
        <v>9.85</v>
      </c>
      <c r="E170" s="29">
        <v>9.85</v>
      </c>
      <c r="F170" s="30">
        <v>22.99</v>
      </c>
      <c r="G170" s="29">
        <v>22.99</v>
      </c>
      <c r="H170" s="28" t="s">
        <v>2222</v>
      </c>
      <c r="I170" s="27" t="s">
        <v>29</v>
      </c>
      <c r="J170" s="31" t="s">
        <v>21</v>
      </c>
      <c r="K170" s="27" t="s">
        <v>200</v>
      </c>
      <c r="L170" s="27" t="s">
        <v>2223</v>
      </c>
      <c r="M170" s="32" t="str">
        <f>HYPERLINK("http://slimages.macys.com/is/image/MCY/3698013 ")</f>
        <v xml:space="preserve">http://slimages.macys.com/is/image/MCY/3698013 </v>
      </c>
    </row>
    <row r="171" spans="1:13" ht="15.2" customHeight="1" x14ac:dyDescent="0.2">
      <c r="A171" s="26" t="s">
        <v>8643</v>
      </c>
      <c r="B171" s="27" t="s">
        <v>8644</v>
      </c>
      <c r="C171" s="28">
        <v>1</v>
      </c>
      <c r="D171" s="29">
        <v>9.75</v>
      </c>
      <c r="E171" s="29">
        <v>9.75</v>
      </c>
      <c r="F171" s="30">
        <v>24.99</v>
      </c>
      <c r="G171" s="29">
        <v>24.99</v>
      </c>
      <c r="H171" s="28" t="s">
        <v>2919</v>
      </c>
      <c r="I171" s="27" t="s">
        <v>383</v>
      </c>
      <c r="J171" s="31" t="s">
        <v>5</v>
      </c>
      <c r="K171" s="27" t="s">
        <v>224</v>
      </c>
      <c r="L171" s="27" t="s">
        <v>197</v>
      </c>
      <c r="M171" s="32" t="str">
        <f>HYPERLINK("http://slimages.macys.com/is/image/MCY/3820960 ")</f>
        <v xml:space="preserve">http://slimages.macys.com/is/image/MCY/3820960 </v>
      </c>
    </row>
    <row r="172" spans="1:13" ht="15.2" customHeight="1" x14ac:dyDescent="0.2">
      <c r="A172" s="26" t="s">
        <v>8648</v>
      </c>
      <c r="B172" s="27" t="s">
        <v>8649</v>
      </c>
      <c r="C172" s="28">
        <v>2</v>
      </c>
      <c r="D172" s="29">
        <v>9.75</v>
      </c>
      <c r="E172" s="29">
        <v>19.5</v>
      </c>
      <c r="F172" s="30">
        <v>27.99</v>
      </c>
      <c r="G172" s="29">
        <v>55.98</v>
      </c>
      <c r="H172" s="28" t="s">
        <v>8303</v>
      </c>
      <c r="I172" s="27" t="s">
        <v>94</v>
      </c>
      <c r="J172" s="31" t="s">
        <v>5</v>
      </c>
      <c r="K172" s="27" t="s">
        <v>224</v>
      </c>
      <c r="L172" s="27" t="s">
        <v>563</v>
      </c>
      <c r="M172" s="32" t="str">
        <f>HYPERLINK("http://slimages.macys.com/is/image/MCY/3954242 ")</f>
        <v xml:space="preserve">http://slimages.macys.com/is/image/MCY/3954242 </v>
      </c>
    </row>
    <row r="173" spans="1:13" ht="15.2" customHeight="1" x14ac:dyDescent="0.2">
      <c r="A173" s="26" t="s">
        <v>9127</v>
      </c>
      <c r="B173" s="27" t="s">
        <v>9128</v>
      </c>
      <c r="C173" s="28">
        <v>1</v>
      </c>
      <c r="D173" s="29">
        <v>9.75</v>
      </c>
      <c r="E173" s="29">
        <v>9.75</v>
      </c>
      <c r="F173" s="30">
        <v>24.99</v>
      </c>
      <c r="G173" s="29">
        <v>24.99</v>
      </c>
      <c r="H173" s="28" t="s">
        <v>2919</v>
      </c>
      <c r="I173" s="27" t="s">
        <v>383</v>
      </c>
      <c r="J173" s="31" t="s">
        <v>71</v>
      </c>
      <c r="K173" s="27" t="s">
        <v>224</v>
      </c>
      <c r="L173" s="27" t="s">
        <v>197</v>
      </c>
      <c r="M173" s="32" t="str">
        <f>HYPERLINK("http://slimages.macys.com/is/image/MCY/3820960 ")</f>
        <v xml:space="preserve">http://slimages.macys.com/is/image/MCY/3820960 </v>
      </c>
    </row>
    <row r="174" spans="1:13" ht="15.2" customHeight="1" x14ac:dyDescent="0.2">
      <c r="A174" s="26" t="s">
        <v>9129</v>
      </c>
      <c r="B174" s="27" t="s">
        <v>9130</v>
      </c>
      <c r="C174" s="28">
        <v>1</v>
      </c>
      <c r="D174" s="29">
        <v>9.75</v>
      </c>
      <c r="E174" s="29">
        <v>9.75</v>
      </c>
      <c r="F174" s="30">
        <v>27.99</v>
      </c>
      <c r="G174" s="29">
        <v>27.99</v>
      </c>
      <c r="H174" s="28" t="s">
        <v>8303</v>
      </c>
      <c r="I174" s="27" t="s">
        <v>94</v>
      </c>
      <c r="J174" s="31" t="s">
        <v>52</v>
      </c>
      <c r="K174" s="27" t="s">
        <v>224</v>
      </c>
      <c r="L174" s="27" t="s">
        <v>563</v>
      </c>
      <c r="M174" s="32" t="str">
        <f>HYPERLINK("http://slimages.macys.com/is/image/MCY/3954242 ")</f>
        <v xml:space="preserve">http://slimages.macys.com/is/image/MCY/3954242 </v>
      </c>
    </row>
    <row r="175" spans="1:13" ht="15.2" customHeight="1" x14ac:dyDescent="0.2">
      <c r="A175" s="26" t="s">
        <v>2930</v>
      </c>
      <c r="B175" s="27" t="s">
        <v>2931</v>
      </c>
      <c r="C175" s="28">
        <v>2</v>
      </c>
      <c r="D175" s="29">
        <v>9.5</v>
      </c>
      <c r="E175" s="29">
        <v>19</v>
      </c>
      <c r="F175" s="30">
        <v>24.99</v>
      </c>
      <c r="G175" s="29">
        <v>49.98</v>
      </c>
      <c r="H175" s="28" t="s">
        <v>288</v>
      </c>
      <c r="I175" s="27"/>
      <c r="J175" s="31" t="s">
        <v>21</v>
      </c>
      <c r="K175" s="27" t="s">
        <v>224</v>
      </c>
      <c r="L175" s="27" t="s">
        <v>239</v>
      </c>
      <c r="M175" s="32" t="str">
        <f>HYPERLINK("http://slimages.macys.com/is/image/MCY/3719840 ")</f>
        <v xml:space="preserve">http://slimages.macys.com/is/image/MCY/3719840 </v>
      </c>
    </row>
    <row r="176" spans="1:13" ht="15.2" customHeight="1" x14ac:dyDescent="0.2">
      <c r="A176" s="26" t="s">
        <v>9131</v>
      </c>
      <c r="B176" s="27" t="s">
        <v>9132</v>
      </c>
      <c r="C176" s="28">
        <v>1</v>
      </c>
      <c r="D176" s="29">
        <v>9.5</v>
      </c>
      <c r="E176" s="29">
        <v>9.5</v>
      </c>
      <c r="F176" s="30">
        <v>22.99</v>
      </c>
      <c r="G176" s="29">
        <v>22.99</v>
      </c>
      <c r="H176" s="28" t="s">
        <v>8408</v>
      </c>
      <c r="I176" s="27" t="s">
        <v>274</v>
      </c>
      <c r="J176" s="31" t="s">
        <v>71</v>
      </c>
      <c r="K176" s="27" t="s">
        <v>196</v>
      </c>
      <c r="L176" s="27" t="s">
        <v>1329</v>
      </c>
      <c r="M176" s="32" t="str">
        <f>HYPERLINK("http://slimages.macys.com/is/image/MCY/3732859 ")</f>
        <v xml:space="preserve">http://slimages.macys.com/is/image/MCY/3732859 </v>
      </c>
    </row>
    <row r="177" spans="1:13" ht="15.2" customHeight="1" x14ac:dyDescent="0.2">
      <c r="A177" s="26" t="s">
        <v>5066</v>
      </c>
      <c r="B177" s="27" t="s">
        <v>5067</v>
      </c>
      <c r="C177" s="28">
        <v>1</v>
      </c>
      <c r="D177" s="29">
        <v>9.5</v>
      </c>
      <c r="E177" s="29">
        <v>9.5</v>
      </c>
      <c r="F177" s="30">
        <v>24.99</v>
      </c>
      <c r="G177" s="29">
        <v>24.99</v>
      </c>
      <c r="H177" s="28" t="s">
        <v>288</v>
      </c>
      <c r="I177" s="27" t="s">
        <v>1</v>
      </c>
      <c r="J177" s="31" t="s">
        <v>71</v>
      </c>
      <c r="K177" s="27" t="s">
        <v>224</v>
      </c>
      <c r="L177" s="27" t="s">
        <v>239</v>
      </c>
      <c r="M177" s="32" t="str">
        <f>HYPERLINK("http://slimages.macys.com/is/image/MCY/3719840 ")</f>
        <v xml:space="preserve">http://slimages.macys.com/is/image/MCY/3719840 </v>
      </c>
    </row>
    <row r="178" spans="1:13" ht="15.2" customHeight="1" x14ac:dyDescent="0.2">
      <c r="A178" s="26" t="s">
        <v>9133</v>
      </c>
      <c r="B178" s="27" t="s">
        <v>9134</v>
      </c>
      <c r="C178" s="28">
        <v>1</v>
      </c>
      <c r="D178" s="29">
        <v>9.5</v>
      </c>
      <c r="E178" s="29">
        <v>9.5</v>
      </c>
      <c r="F178" s="30">
        <v>22.99</v>
      </c>
      <c r="G178" s="29">
        <v>22.99</v>
      </c>
      <c r="H178" s="28" t="s">
        <v>7550</v>
      </c>
      <c r="I178" s="27" t="s">
        <v>207</v>
      </c>
      <c r="J178" s="31" t="s">
        <v>52</v>
      </c>
      <c r="K178" s="27" t="s">
        <v>200</v>
      </c>
      <c r="L178" s="27" t="s">
        <v>133</v>
      </c>
      <c r="M178" s="32" t="str">
        <f>HYPERLINK("http://slimages.macys.com/is/image/MCY/3755512 ")</f>
        <v xml:space="preserve">http://slimages.macys.com/is/image/MCY/3755512 </v>
      </c>
    </row>
    <row r="179" spans="1:13" ht="15.2" customHeight="1" x14ac:dyDescent="0.2">
      <c r="A179" s="26" t="s">
        <v>9135</v>
      </c>
      <c r="B179" s="27" t="s">
        <v>9136</v>
      </c>
      <c r="C179" s="28">
        <v>1</v>
      </c>
      <c r="D179" s="29">
        <v>9.5</v>
      </c>
      <c r="E179" s="29">
        <v>9.5</v>
      </c>
      <c r="F179" s="30">
        <v>22.99</v>
      </c>
      <c r="G179" s="29">
        <v>22.99</v>
      </c>
      <c r="H179" s="28" t="s">
        <v>286</v>
      </c>
      <c r="I179" s="27" t="s">
        <v>189</v>
      </c>
      <c r="J179" s="31" t="s">
        <v>40</v>
      </c>
      <c r="K179" s="27" t="s">
        <v>200</v>
      </c>
      <c r="L179" s="27" t="s">
        <v>133</v>
      </c>
      <c r="M179" s="32" t="str">
        <f>HYPERLINK("http://slimages.macys.com/is/image/MCY/3773700 ")</f>
        <v xml:space="preserve">http://slimages.macys.com/is/image/MCY/3773700 </v>
      </c>
    </row>
    <row r="180" spans="1:13" ht="15.2" customHeight="1" x14ac:dyDescent="0.2">
      <c r="A180" s="26" t="s">
        <v>9137</v>
      </c>
      <c r="B180" s="27" t="s">
        <v>9138</v>
      </c>
      <c r="C180" s="28">
        <v>1</v>
      </c>
      <c r="D180" s="29">
        <v>9.5</v>
      </c>
      <c r="E180" s="29">
        <v>9.5</v>
      </c>
      <c r="F180" s="30">
        <v>24.99</v>
      </c>
      <c r="G180" s="29">
        <v>24.99</v>
      </c>
      <c r="H180" s="28" t="s">
        <v>284</v>
      </c>
      <c r="I180" s="27" t="s">
        <v>1</v>
      </c>
      <c r="J180" s="31" t="s">
        <v>52</v>
      </c>
      <c r="K180" s="27" t="s">
        <v>224</v>
      </c>
      <c r="L180" s="27" t="s">
        <v>239</v>
      </c>
      <c r="M180" s="32" t="str">
        <f>HYPERLINK("http://slimages.macys.com/is/image/MCY/3734881 ")</f>
        <v xml:space="preserve">http://slimages.macys.com/is/image/MCY/3734881 </v>
      </c>
    </row>
    <row r="181" spans="1:13" ht="15.2" customHeight="1" x14ac:dyDescent="0.2">
      <c r="A181" s="26" t="s">
        <v>7665</v>
      </c>
      <c r="B181" s="27" t="s">
        <v>7666</v>
      </c>
      <c r="C181" s="28">
        <v>1</v>
      </c>
      <c r="D181" s="29">
        <v>9.5</v>
      </c>
      <c r="E181" s="29">
        <v>9.5</v>
      </c>
      <c r="F181" s="30">
        <v>24.99</v>
      </c>
      <c r="G181" s="29">
        <v>24.99</v>
      </c>
      <c r="H181" s="28" t="s">
        <v>288</v>
      </c>
      <c r="I181" s="27" t="s">
        <v>285</v>
      </c>
      <c r="J181" s="31" t="s">
        <v>52</v>
      </c>
      <c r="K181" s="27" t="s">
        <v>224</v>
      </c>
      <c r="L181" s="27" t="s">
        <v>239</v>
      </c>
      <c r="M181" s="32" t="str">
        <f>HYPERLINK("http://slimages.macys.com/is/image/MCY/3719840 ")</f>
        <v xml:space="preserve">http://slimages.macys.com/is/image/MCY/3719840 </v>
      </c>
    </row>
    <row r="182" spans="1:13" ht="15.2" customHeight="1" x14ac:dyDescent="0.2">
      <c r="A182" s="26" t="s">
        <v>9139</v>
      </c>
      <c r="B182" s="27" t="s">
        <v>9140</v>
      </c>
      <c r="C182" s="28">
        <v>1</v>
      </c>
      <c r="D182" s="29">
        <v>9.5</v>
      </c>
      <c r="E182" s="29">
        <v>9.5</v>
      </c>
      <c r="F182" s="30">
        <v>22.99</v>
      </c>
      <c r="G182" s="29">
        <v>22.99</v>
      </c>
      <c r="H182" s="28" t="s">
        <v>9141</v>
      </c>
      <c r="I182" s="27" t="s">
        <v>4</v>
      </c>
      <c r="J182" s="31" t="s">
        <v>5</v>
      </c>
      <c r="K182" s="27" t="s">
        <v>196</v>
      </c>
      <c r="L182" s="27" t="s">
        <v>1329</v>
      </c>
      <c r="M182" s="32" t="str">
        <f>HYPERLINK("http://slimages.macys.com/is/image/MCY/3732859 ")</f>
        <v xml:space="preserve">http://slimages.macys.com/is/image/MCY/3732859 </v>
      </c>
    </row>
    <row r="183" spans="1:13" ht="15.2" customHeight="1" x14ac:dyDescent="0.2">
      <c r="A183" s="26" t="s">
        <v>2928</v>
      </c>
      <c r="B183" s="27" t="s">
        <v>2929</v>
      </c>
      <c r="C183" s="28">
        <v>2</v>
      </c>
      <c r="D183" s="29">
        <v>9.5</v>
      </c>
      <c r="E183" s="29">
        <v>19</v>
      </c>
      <c r="F183" s="30">
        <v>24.99</v>
      </c>
      <c r="G183" s="29">
        <v>49.98</v>
      </c>
      <c r="H183" s="28" t="s">
        <v>288</v>
      </c>
      <c r="I183" s="27" t="s">
        <v>285</v>
      </c>
      <c r="J183" s="31" t="s">
        <v>40</v>
      </c>
      <c r="K183" s="27" t="s">
        <v>224</v>
      </c>
      <c r="L183" s="27" t="s">
        <v>239</v>
      </c>
      <c r="M183" s="32" t="str">
        <f>HYPERLINK("http://slimages.macys.com/is/image/MCY/3719840 ")</f>
        <v xml:space="preserve">http://slimages.macys.com/is/image/MCY/3719840 </v>
      </c>
    </row>
    <row r="184" spans="1:13" ht="15.2" customHeight="1" x14ac:dyDescent="0.2">
      <c r="A184" s="26" t="s">
        <v>2633</v>
      </c>
      <c r="B184" s="27" t="s">
        <v>2634</v>
      </c>
      <c r="C184" s="28">
        <v>1</v>
      </c>
      <c r="D184" s="29">
        <v>9.5</v>
      </c>
      <c r="E184" s="29">
        <v>9.5</v>
      </c>
      <c r="F184" s="30">
        <v>24.99</v>
      </c>
      <c r="G184" s="29">
        <v>24.99</v>
      </c>
      <c r="H184" s="28" t="s">
        <v>288</v>
      </c>
      <c r="I184" s="27" t="s">
        <v>285</v>
      </c>
      <c r="J184" s="31" t="s">
        <v>5</v>
      </c>
      <c r="K184" s="27" t="s">
        <v>224</v>
      </c>
      <c r="L184" s="27" t="s">
        <v>239</v>
      </c>
      <c r="M184" s="32" t="str">
        <f>HYPERLINK("http://slimages.macys.com/is/image/MCY/3719840 ")</f>
        <v xml:space="preserve">http://slimages.macys.com/is/image/MCY/3719840 </v>
      </c>
    </row>
    <row r="185" spans="1:13" ht="15.2" customHeight="1" x14ac:dyDescent="0.2">
      <c r="A185" s="26" t="s">
        <v>8816</v>
      </c>
      <c r="B185" s="27" t="s">
        <v>8817</v>
      </c>
      <c r="C185" s="28">
        <v>3</v>
      </c>
      <c r="D185" s="29">
        <v>9.25</v>
      </c>
      <c r="E185" s="29">
        <v>27.75</v>
      </c>
      <c r="F185" s="30">
        <v>19.989999999999998</v>
      </c>
      <c r="G185" s="29">
        <v>59.97</v>
      </c>
      <c r="H185" s="28" t="s">
        <v>808</v>
      </c>
      <c r="I185" s="27" t="s">
        <v>4</v>
      </c>
      <c r="J185" s="31" t="s">
        <v>21</v>
      </c>
      <c r="K185" s="27" t="s">
        <v>282</v>
      </c>
      <c r="L185" s="27" t="s">
        <v>283</v>
      </c>
      <c r="M185" s="32" t="str">
        <f>HYPERLINK("http://slimages.macys.com/is/image/MCY/3835617 ")</f>
        <v xml:space="preserve">http://slimages.macys.com/is/image/MCY/3835617 </v>
      </c>
    </row>
    <row r="186" spans="1:13" ht="15.2" customHeight="1" x14ac:dyDescent="0.2">
      <c r="A186" s="26" t="s">
        <v>8652</v>
      </c>
      <c r="B186" s="27" t="s">
        <v>8653</v>
      </c>
      <c r="C186" s="28">
        <v>1</v>
      </c>
      <c r="D186" s="29">
        <v>9.25</v>
      </c>
      <c r="E186" s="29">
        <v>9.25</v>
      </c>
      <c r="F186" s="30">
        <v>19.989999999999998</v>
      </c>
      <c r="G186" s="29">
        <v>19.989999999999998</v>
      </c>
      <c r="H186" s="28" t="s">
        <v>7555</v>
      </c>
      <c r="I186" s="27" t="s">
        <v>215</v>
      </c>
      <c r="J186" s="31" t="s">
        <v>40</v>
      </c>
      <c r="K186" s="27" t="s">
        <v>282</v>
      </c>
      <c r="L186" s="27" t="s">
        <v>283</v>
      </c>
      <c r="M186" s="32" t="str">
        <f>HYPERLINK("http://slimages.macys.com/is/image/MCY/3832893 ")</f>
        <v xml:space="preserve">http://slimages.macys.com/is/image/MCY/3832893 </v>
      </c>
    </row>
    <row r="187" spans="1:13" ht="15.2" customHeight="1" x14ac:dyDescent="0.2">
      <c r="A187" s="26" t="s">
        <v>806</v>
      </c>
      <c r="B187" s="27" t="s">
        <v>807</v>
      </c>
      <c r="C187" s="28">
        <v>2</v>
      </c>
      <c r="D187" s="29">
        <v>9.25</v>
      </c>
      <c r="E187" s="29">
        <v>18.5</v>
      </c>
      <c r="F187" s="30">
        <v>19.989999999999998</v>
      </c>
      <c r="G187" s="29">
        <v>39.979999999999997</v>
      </c>
      <c r="H187" s="28" t="s">
        <v>808</v>
      </c>
      <c r="I187" s="27" t="s">
        <v>4</v>
      </c>
      <c r="J187" s="31" t="s">
        <v>5</v>
      </c>
      <c r="K187" s="27" t="s">
        <v>282</v>
      </c>
      <c r="L187" s="27" t="s">
        <v>283</v>
      </c>
      <c r="M187" s="32" t="str">
        <f>HYPERLINK("http://slimages.macys.com/is/image/MCY/3835617 ")</f>
        <v xml:space="preserve">http://slimages.macys.com/is/image/MCY/3835617 </v>
      </c>
    </row>
    <row r="188" spans="1:13" ht="15.2" customHeight="1" x14ac:dyDescent="0.2">
      <c r="A188" s="26" t="s">
        <v>8307</v>
      </c>
      <c r="B188" s="27" t="s">
        <v>8308</v>
      </c>
      <c r="C188" s="28">
        <v>2</v>
      </c>
      <c r="D188" s="29">
        <v>9.25</v>
      </c>
      <c r="E188" s="29">
        <v>18.5</v>
      </c>
      <c r="F188" s="30">
        <v>19.989999999999998</v>
      </c>
      <c r="G188" s="29">
        <v>39.979999999999997</v>
      </c>
      <c r="H188" s="28" t="s">
        <v>808</v>
      </c>
      <c r="I188" s="27" t="s">
        <v>4</v>
      </c>
      <c r="J188" s="31" t="s">
        <v>40</v>
      </c>
      <c r="K188" s="27" t="s">
        <v>282</v>
      </c>
      <c r="L188" s="27" t="s">
        <v>283</v>
      </c>
      <c r="M188" s="32" t="str">
        <f>HYPERLINK("http://slimages.macys.com/is/image/MCY/3835617 ")</f>
        <v xml:space="preserve">http://slimages.macys.com/is/image/MCY/3835617 </v>
      </c>
    </row>
    <row r="189" spans="1:13" ht="15.2" customHeight="1" x14ac:dyDescent="0.2">
      <c r="A189" s="26" t="s">
        <v>9142</v>
      </c>
      <c r="B189" s="27" t="s">
        <v>9143</v>
      </c>
      <c r="C189" s="28">
        <v>2</v>
      </c>
      <c r="D189" s="29">
        <v>9.25</v>
      </c>
      <c r="E189" s="29">
        <v>18.5</v>
      </c>
      <c r="F189" s="30">
        <v>19.989999999999998</v>
      </c>
      <c r="G189" s="29">
        <v>39.979999999999997</v>
      </c>
      <c r="H189" s="28" t="s">
        <v>7555</v>
      </c>
      <c r="I189" s="27" t="s">
        <v>215</v>
      </c>
      <c r="J189" s="31" t="s">
        <v>52</v>
      </c>
      <c r="K189" s="27" t="s">
        <v>282</v>
      </c>
      <c r="L189" s="27" t="s">
        <v>283</v>
      </c>
      <c r="M189" s="32" t="str">
        <f>HYPERLINK("http://slimages.macys.com/is/image/MCY/3832893 ")</f>
        <v xml:space="preserve">http://slimages.macys.com/is/image/MCY/3832893 </v>
      </c>
    </row>
    <row r="190" spans="1:13" ht="15.2" customHeight="1" x14ac:dyDescent="0.2">
      <c r="A190" s="26" t="s">
        <v>9144</v>
      </c>
      <c r="B190" s="27" t="s">
        <v>9145</v>
      </c>
      <c r="C190" s="28">
        <v>1</v>
      </c>
      <c r="D190" s="29">
        <v>9.25</v>
      </c>
      <c r="E190" s="29">
        <v>9.25</v>
      </c>
      <c r="F190" s="30">
        <v>19.989999999999998</v>
      </c>
      <c r="G190" s="29">
        <v>19.989999999999998</v>
      </c>
      <c r="H190" s="28">
        <v>60394972</v>
      </c>
      <c r="I190" s="27" t="s">
        <v>22</v>
      </c>
      <c r="J190" s="31" t="s">
        <v>5</v>
      </c>
      <c r="K190" s="27" t="s">
        <v>224</v>
      </c>
      <c r="L190" s="27" t="s">
        <v>255</v>
      </c>
      <c r="M190" s="32" t="str">
        <f>HYPERLINK("http://slimages.macys.com/is/image/MCY/2469379 ")</f>
        <v xml:space="preserve">http://slimages.macys.com/is/image/MCY/2469379 </v>
      </c>
    </row>
    <row r="191" spans="1:13" ht="15.2" customHeight="1" x14ac:dyDescent="0.2">
      <c r="A191" s="26" t="s">
        <v>1335</v>
      </c>
      <c r="B191" s="27" t="s">
        <v>1336</v>
      </c>
      <c r="C191" s="28">
        <v>1</v>
      </c>
      <c r="D191" s="29">
        <v>9.25</v>
      </c>
      <c r="E191" s="29">
        <v>9.25</v>
      </c>
      <c r="F191" s="30">
        <v>21.99</v>
      </c>
      <c r="G191" s="29">
        <v>21.99</v>
      </c>
      <c r="H191" s="28" t="s">
        <v>1332</v>
      </c>
      <c r="I191" s="27" t="s">
        <v>36</v>
      </c>
      <c r="J191" s="31" t="s">
        <v>5</v>
      </c>
      <c r="K191" s="27" t="s">
        <v>159</v>
      </c>
      <c r="L191" s="27" t="s">
        <v>160</v>
      </c>
      <c r="M191" s="32" t="str">
        <f>HYPERLINK("http://slimages.macys.com/is/image/MCY/3640472 ")</f>
        <v xml:space="preserve">http://slimages.macys.com/is/image/MCY/3640472 </v>
      </c>
    </row>
    <row r="192" spans="1:13" ht="15.2" customHeight="1" x14ac:dyDescent="0.2">
      <c r="A192" s="26" t="s">
        <v>1333</v>
      </c>
      <c r="B192" s="27" t="s">
        <v>1334</v>
      </c>
      <c r="C192" s="28">
        <v>2</v>
      </c>
      <c r="D192" s="29">
        <v>9.25</v>
      </c>
      <c r="E192" s="29">
        <v>18.5</v>
      </c>
      <c r="F192" s="30">
        <v>21.99</v>
      </c>
      <c r="G192" s="29">
        <v>43.98</v>
      </c>
      <c r="H192" s="28" t="s">
        <v>1332</v>
      </c>
      <c r="I192" s="27" t="s">
        <v>36</v>
      </c>
      <c r="J192" s="31" t="s">
        <v>52</v>
      </c>
      <c r="K192" s="27" t="s">
        <v>159</v>
      </c>
      <c r="L192" s="27" t="s">
        <v>160</v>
      </c>
      <c r="M192" s="32" t="str">
        <f>HYPERLINK("http://slimages.macys.com/is/image/MCY/3640472 ")</f>
        <v xml:space="preserve">http://slimages.macys.com/is/image/MCY/3640472 </v>
      </c>
    </row>
    <row r="193" spans="1:13" ht="15.2" customHeight="1" x14ac:dyDescent="0.2">
      <c r="A193" s="26" t="s">
        <v>9146</v>
      </c>
      <c r="B193" s="27" t="s">
        <v>9147</v>
      </c>
      <c r="C193" s="28">
        <v>1</v>
      </c>
      <c r="D193" s="29">
        <v>9.1999999999999993</v>
      </c>
      <c r="E193" s="29">
        <v>9.1999999999999993</v>
      </c>
      <c r="F193" s="30">
        <v>21.99</v>
      </c>
      <c r="G193" s="29">
        <v>21.99</v>
      </c>
      <c r="H193" s="28" t="s">
        <v>9148</v>
      </c>
      <c r="I193" s="27" t="s">
        <v>4</v>
      </c>
      <c r="J193" s="31" t="s">
        <v>71</v>
      </c>
      <c r="K193" s="27" t="s">
        <v>159</v>
      </c>
      <c r="L193" s="27" t="s">
        <v>160</v>
      </c>
      <c r="M193" s="32" t="str">
        <f>HYPERLINK("http://slimages.macys.com/is/image/MCY/3549891 ")</f>
        <v xml:space="preserve">http://slimages.macys.com/is/image/MCY/3549891 </v>
      </c>
    </row>
    <row r="194" spans="1:13" ht="15.2" customHeight="1" x14ac:dyDescent="0.2">
      <c r="A194" s="26" t="s">
        <v>9149</v>
      </c>
      <c r="B194" s="27" t="s">
        <v>9150</v>
      </c>
      <c r="C194" s="28">
        <v>1</v>
      </c>
      <c r="D194" s="29">
        <v>9.16</v>
      </c>
      <c r="E194" s="29">
        <v>9.16</v>
      </c>
      <c r="F194" s="30">
        <v>21.99</v>
      </c>
      <c r="G194" s="29">
        <v>21.99</v>
      </c>
      <c r="H194" s="28" t="s">
        <v>9151</v>
      </c>
      <c r="I194" s="27" t="s">
        <v>4</v>
      </c>
      <c r="J194" s="31" t="s">
        <v>40</v>
      </c>
      <c r="K194" s="27" t="s">
        <v>159</v>
      </c>
      <c r="L194" s="27" t="s">
        <v>160</v>
      </c>
      <c r="M194" s="32" t="str">
        <f>HYPERLINK("http://slimages.macys.com/is/image/MCY/3632980 ")</f>
        <v xml:space="preserve">http://slimages.macys.com/is/image/MCY/3632980 </v>
      </c>
    </row>
    <row r="195" spans="1:13" ht="15.2" customHeight="1" x14ac:dyDescent="0.2">
      <c r="A195" s="26" t="s">
        <v>9152</v>
      </c>
      <c r="B195" s="27" t="s">
        <v>9153</v>
      </c>
      <c r="C195" s="28">
        <v>1</v>
      </c>
      <c r="D195" s="29">
        <v>9.16</v>
      </c>
      <c r="E195" s="29">
        <v>9.16</v>
      </c>
      <c r="F195" s="30">
        <v>21.99</v>
      </c>
      <c r="G195" s="29">
        <v>21.99</v>
      </c>
      <c r="H195" s="28" t="s">
        <v>9151</v>
      </c>
      <c r="I195" s="27" t="s">
        <v>4</v>
      </c>
      <c r="J195" s="31" t="s">
        <v>5</v>
      </c>
      <c r="K195" s="27" t="s">
        <v>159</v>
      </c>
      <c r="L195" s="27" t="s">
        <v>160</v>
      </c>
      <c r="M195" s="32" t="str">
        <f>HYPERLINK("http://slimages.macys.com/is/image/MCY/3632980 ")</f>
        <v xml:space="preserve">http://slimages.macys.com/is/image/MCY/3632980 </v>
      </c>
    </row>
    <row r="196" spans="1:13" ht="15.2" customHeight="1" x14ac:dyDescent="0.2">
      <c r="A196" s="26" t="s">
        <v>9154</v>
      </c>
      <c r="B196" s="27" t="s">
        <v>9155</v>
      </c>
      <c r="C196" s="28">
        <v>2</v>
      </c>
      <c r="D196" s="29">
        <v>9.16</v>
      </c>
      <c r="E196" s="29">
        <v>18.32</v>
      </c>
      <c r="F196" s="30">
        <v>21.99</v>
      </c>
      <c r="G196" s="29">
        <v>43.98</v>
      </c>
      <c r="H196" s="28" t="s">
        <v>9151</v>
      </c>
      <c r="I196" s="27" t="s">
        <v>4</v>
      </c>
      <c r="J196" s="31" t="s">
        <v>65</v>
      </c>
      <c r="K196" s="27" t="s">
        <v>159</v>
      </c>
      <c r="L196" s="27" t="s">
        <v>160</v>
      </c>
      <c r="M196" s="32" t="str">
        <f>HYPERLINK("http://slimages.macys.com/is/image/MCY/3632980 ")</f>
        <v xml:space="preserve">http://slimages.macys.com/is/image/MCY/3632980 </v>
      </c>
    </row>
    <row r="197" spans="1:13" ht="15.2" customHeight="1" x14ac:dyDescent="0.2">
      <c r="A197" s="26" t="s">
        <v>9156</v>
      </c>
      <c r="B197" s="27" t="s">
        <v>9157</v>
      </c>
      <c r="C197" s="28">
        <v>1</v>
      </c>
      <c r="D197" s="29">
        <v>9.16</v>
      </c>
      <c r="E197" s="29">
        <v>9.16</v>
      </c>
      <c r="F197" s="30">
        <v>21.99</v>
      </c>
      <c r="G197" s="29">
        <v>21.99</v>
      </c>
      <c r="H197" s="28" t="s">
        <v>9151</v>
      </c>
      <c r="I197" s="27" t="s">
        <v>4</v>
      </c>
      <c r="J197" s="31" t="s">
        <v>52</v>
      </c>
      <c r="K197" s="27" t="s">
        <v>159</v>
      </c>
      <c r="L197" s="27" t="s">
        <v>160</v>
      </c>
      <c r="M197" s="32" t="str">
        <f>HYPERLINK("http://slimages.macys.com/is/image/MCY/3632980 ")</f>
        <v xml:space="preserve">http://slimages.macys.com/is/image/MCY/3632980 </v>
      </c>
    </row>
    <row r="198" spans="1:13" ht="15.2" customHeight="1" x14ac:dyDescent="0.2">
      <c r="A198" s="26" t="s">
        <v>9158</v>
      </c>
      <c r="B198" s="27" t="s">
        <v>9159</v>
      </c>
      <c r="C198" s="28">
        <v>1</v>
      </c>
      <c r="D198" s="29">
        <v>9.15</v>
      </c>
      <c r="E198" s="29">
        <v>9.15</v>
      </c>
      <c r="F198" s="30">
        <v>21.99</v>
      </c>
      <c r="G198" s="29">
        <v>21.99</v>
      </c>
      <c r="H198" s="28" t="s">
        <v>8309</v>
      </c>
      <c r="I198" s="27" t="s">
        <v>4</v>
      </c>
      <c r="J198" s="31" t="s">
        <v>52</v>
      </c>
      <c r="K198" s="27" t="s">
        <v>159</v>
      </c>
      <c r="L198" s="27" t="s">
        <v>160</v>
      </c>
      <c r="M198" s="32" t="str">
        <f>HYPERLINK("http://slimages.macys.com/is/image/MCY/3459574 ")</f>
        <v xml:space="preserve">http://slimages.macys.com/is/image/MCY/3459574 </v>
      </c>
    </row>
    <row r="199" spans="1:13" ht="15.2" customHeight="1" x14ac:dyDescent="0.2">
      <c r="A199" s="26" t="s">
        <v>8823</v>
      </c>
      <c r="B199" s="27" t="s">
        <v>8824</v>
      </c>
      <c r="C199" s="28">
        <v>1</v>
      </c>
      <c r="D199" s="29">
        <v>9.15</v>
      </c>
      <c r="E199" s="29">
        <v>9.15</v>
      </c>
      <c r="F199" s="30">
        <v>21.99</v>
      </c>
      <c r="G199" s="29">
        <v>21.99</v>
      </c>
      <c r="H199" s="28" t="s">
        <v>8654</v>
      </c>
      <c r="I199" s="27" t="s">
        <v>4</v>
      </c>
      <c r="J199" s="31" t="s">
        <v>52</v>
      </c>
      <c r="K199" s="27" t="s">
        <v>159</v>
      </c>
      <c r="L199" s="27" t="s">
        <v>160</v>
      </c>
      <c r="M199" s="32" t="str">
        <f>HYPERLINK("http://slimages.macys.com/is/image/MCY/3600433 ")</f>
        <v xml:space="preserve">http://slimages.macys.com/is/image/MCY/3600433 </v>
      </c>
    </row>
    <row r="200" spans="1:13" ht="15.2" customHeight="1" x14ac:dyDescent="0.2">
      <c r="A200" s="26" t="s">
        <v>9160</v>
      </c>
      <c r="B200" s="27" t="s">
        <v>9161</v>
      </c>
      <c r="C200" s="28">
        <v>1</v>
      </c>
      <c r="D200" s="29">
        <v>9.0500000000000007</v>
      </c>
      <c r="E200" s="29">
        <v>9.0500000000000007</v>
      </c>
      <c r="F200" s="30">
        <v>21.99</v>
      </c>
      <c r="G200" s="29">
        <v>21.99</v>
      </c>
      <c r="H200" s="28" t="s">
        <v>2961</v>
      </c>
      <c r="I200" s="27" t="s">
        <v>4</v>
      </c>
      <c r="J200" s="31" t="s">
        <v>52</v>
      </c>
      <c r="K200" s="27" t="s">
        <v>159</v>
      </c>
      <c r="L200" s="27" t="s">
        <v>160</v>
      </c>
      <c r="M200" s="32" t="str">
        <f>HYPERLINK("http://slimages.macys.com/is/image/MCY/3597160 ")</f>
        <v xml:space="preserve">http://slimages.macys.com/is/image/MCY/3597160 </v>
      </c>
    </row>
    <row r="201" spans="1:13" ht="15.2" customHeight="1" x14ac:dyDescent="0.2">
      <c r="A201" s="26" t="s">
        <v>9162</v>
      </c>
      <c r="B201" s="27" t="s">
        <v>9163</v>
      </c>
      <c r="C201" s="28">
        <v>1</v>
      </c>
      <c r="D201" s="29">
        <v>9.0500000000000007</v>
      </c>
      <c r="E201" s="29">
        <v>9.0500000000000007</v>
      </c>
      <c r="F201" s="30">
        <v>21.99</v>
      </c>
      <c r="G201" s="29">
        <v>21.99</v>
      </c>
      <c r="H201" s="28" t="s">
        <v>9164</v>
      </c>
      <c r="I201" s="27" t="s">
        <v>4</v>
      </c>
      <c r="J201" s="31" t="s">
        <v>65</v>
      </c>
      <c r="K201" s="27" t="s">
        <v>159</v>
      </c>
      <c r="L201" s="27" t="s">
        <v>160</v>
      </c>
      <c r="M201" s="32" t="str">
        <f>HYPERLINK("http://slimages.macys.com/is/image/MCY/3596817 ")</f>
        <v xml:space="preserve">http://slimages.macys.com/is/image/MCY/3596817 </v>
      </c>
    </row>
    <row r="202" spans="1:13" ht="15.2" customHeight="1" x14ac:dyDescent="0.2">
      <c r="A202" s="26" t="s">
        <v>9165</v>
      </c>
      <c r="B202" s="27" t="s">
        <v>9166</v>
      </c>
      <c r="C202" s="28">
        <v>1</v>
      </c>
      <c r="D202" s="29">
        <v>9.0500000000000007</v>
      </c>
      <c r="E202" s="29">
        <v>9.0500000000000007</v>
      </c>
      <c r="F202" s="30">
        <v>21.99</v>
      </c>
      <c r="G202" s="29">
        <v>21.99</v>
      </c>
      <c r="H202" s="28" t="s">
        <v>9167</v>
      </c>
      <c r="I202" s="27" t="s">
        <v>4</v>
      </c>
      <c r="J202" s="31" t="s">
        <v>65</v>
      </c>
      <c r="K202" s="27" t="s">
        <v>159</v>
      </c>
      <c r="L202" s="27" t="s">
        <v>160</v>
      </c>
      <c r="M202" s="32" t="str">
        <f>HYPERLINK("http://slimages.macys.com/is/image/MCY/3597160 ")</f>
        <v xml:space="preserve">http://slimages.macys.com/is/image/MCY/3597160 </v>
      </c>
    </row>
    <row r="203" spans="1:13" ht="15.2" customHeight="1" x14ac:dyDescent="0.2">
      <c r="A203" s="26" t="s">
        <v>9168</v>
      </c>
      <c r="B203" s="27" t="s">
        <v>9169</v>
      </c>
      <c r="C203" s="28">
        <v>1</v>
      </c>
      <c r="D203" s="29">
        <v>9.0500000000000007</v>
      </c>
      <c r="E203" s="29">
        <v>9.0500000000000007</v>
      </c>
      <c r="F203" s="30">
        <v>21.99</v>
      </c>
      <c r="G203" s="29">
        <v>21.99</v>
      </c>
      <c r="H203" s="28" t="s">
        <v>2961</v>
      </c>
      <c r="I203" s="27" t="s">
        <v>4</v>
      </c>
      <c r="J203" s="31" t="s">
        <v>65</v>
      </c>
      <c r="K203" s="27" t="s">
        <v>159</v>
      </c>
      <c r="L203" s="27" t="s">
        <v>160</v>
      </c>
      <c r="M203" s="32" t="str">
        <f>HYPERLINK("http://slimages.macys.com/is/image/MCY/3597160 ")</f>
        <v xml:space="preserve">http://slimages.macys.com/is/image/MCY/3597160 </v>
      </c>
    </row>
    <row r="204" spans="1:13" ht="15.2" customHeight="1" x14ac:dyDescent="0.2">
      <c r="A204" s="26" t="s">
        <v>9170</v>
      </c>
      <c r="B204" s="27" t="s">
        <v>9171</v>
      </c>
      <c r="C204" s="28">
        <v>1</v>
      </c>
      <c r="D204" s="29">
        <v>9</v>
      </c>
      <c r="E204" s="29">
        <v>9</v>
      </c>
      <c r="F204" s="30">
        <v>19.989999999999998</v>
      </c>
      <c r="G204" s="29">
        <v>19.989999999999998</v>
      </c>
      <c r="H204" s="28">
        <v>60433255</v>
      </c>
      <c r="I204" s="27" t="s">
        <v>280</v>
      </c>
      <c r="J204" s="31" t="s">
        <v>52</v>
      </c>
      <c r="K204" s="27" t="s">
        <v>208</v>
      </c>
      <c r="L204" s="27" t="s">
        <v>255</v>
      </c>
      <c r="M204" s="32" t="str">
        <f>HYPERLINK("http://slimages.macys.com/is/image/MCY/3580264 ")</f>
        <v xml:space="preserve">http://slimages.macys.com/is/image/MCY/3580264 </v>
      </c>
    </row>
    <row r="205" spans="1:13" ht="15.2" customHeight="1" x14ac:dyDescent="0.2">
      <c r="A205" s="26" t="s">
        <v>9172</v>
      </c>
      <c r="B205" s="27" t="s">
        <v>9173</v>
      </c>
      <c r="C205" s="28">
        <v>1</v>
      </c>
      <c r="D205" s="29">
        <v>9</v>
      </c>
      <c r="E205" s="29">
        <v>9</v>
      </c>
      <c r="F205" s="30">
        <v>19.989999999999998</v>
      </c>
      <c r="G205" s="29">
        <v>19.989999999999998</v>
      </c>
      <c r="H205" s="28" t="s">
        <v>2243</v>
      </c>
      <c r="I205" s="27" t="s">
        <v>4</v>
      </c>
      <c r="J205" s="31" t="s">
        <v>21</v>
      </c>
      <c r="K205" s="27" t="s">
        <v>196</v>
      </c>
      <c r="L205" s="27" t="s">
        <v>804</v>
      </c>
      <c r="M205" s="32" t="str">
        <f>HYPERLINK("http://slimages.macys.com/is/image/MCY/3207034 ")</f>
        <v xml:space="preserve">http://slimages.macys.com/is/image/MCY/3207034 </v>
      </c>
    </row>
    <row r="206" spans="1:13" ht="15.2" customHeight="1" x14ac:dyDescent="0.2">
      <c r="A206" s="26" t="s">
        <v>9174</v>
      </c>
      <c r="B206" s="27" t="s">
        <v>9175</v>
      </c>
      <c r="C206" s="28">
        <v>1</v>
      </c>
      <c r="D206" s="29">
        <v>9</v>
      </c>
      <c r="E206" s="29">
        <v>9</v>
      </c>
      <c r="F206" s="30">
        <v>19.989999999999998</v>
      </c>
      <c r="G206" s="29">
        <v>19.989999999999998</v>
      </c>
      <c r="H206" s="28">
        <v>60433238</v>
      </c>
      <c r="I206" s="27" t="s">
        <v>383</v>
      </c>
      <c r="J206" s="31" t="s">
        <v>5</v>
      </c>
      <c r="K206" s="27" t="s">
        <v>208</v>
      </c>
      <c r="L206" s="27" t="s">
        <v>255</v>
      </c>
      <c r="M206" s="32" t="str">
        <f>HYPERLINK("http://slimages.macys.com/is/image/MCY/3580235 ")</f>
        <v xml:space="preserve">http://slimages.macys.com/is/image/MCY/3580235 </v>
      </c>
    </row>
    <row r="207" spans="1:13" ht="15.2" customHeight="1" x14ac:dyDescent="0.2">
      <c r="A207" s="26" t="s">
        <v>9176</v>
      </c>
      <c r="B207" s="27" t="s">
        <v>9177</v>
      </c>
      <c r="C207" s="28">
        <v>1</v>
      </c>
      <c r="D207" s="29">
        <v>8.9</v>
      </c>
      <c r="E207" s="29">
        <v>8.9</v>
      </c>
      <c r="F207" s="30">
        <v>19.989999999999998</v>
      </c>
      <c r="G207" s="29">
        <v>19.989999999999998</v>
      </c>
      <c r="H207" s="28" t="s">
        <v>5438</v>
      </c>
      <c r="I207" s="27" t="s">
        <v>4</v>
      </c>
      <c r="J207" s="31" t="s">
        <v>52</v>
      </c>
      <c r="K207" s="27" t="s">
        <v>224</v>
      </c>
      <c r="L207" s="27" t="s">
        <v>239</v>
      </c>
      <c r="M207" s="32" t="str">
        <f>HYPERLINK("http://slimages.macys.com/is/image/MCY/3832923 ")</f>
        <v xml:space="preserve">http://slimages.macys.com/is/image/MCY/3832923 </v>
      </c>
    </row>
    <row r="208" spans="1:13" ht="15.2" customHeight="1" x14ac:dyDescent="0.2">
      <c r="A208" s="26" t="s">
        <v>7669</v>
      </c>
      <c r="B208" s="27" t="s">
        <v>7670</v>
      </c>
      <c r="C208" s="28">
        <v>1</v>
      </c>
      <c r="D208" s="29">
        <v>8.9</v>
      </c>
      <c r="E208" s="29">
        <v>8.9</v>
      </c>
      <c r="F208" s="30">
        <v>19.989999999999998</v>
      </c>
      <c r="G208" s="29">
        <v>19.989999999999998</v>
      </c>
      <c r="H208" s="28" t="s">
        <v>5438</v>
      </c>
      <c r="I208" s="27" t="s">
        <v>10</v>
      </c>
      <c r="J208" s="31" t="s">
        <v>40</v>
      </c>
      <c r="K208" s="27" t="s">
        <v>224</v>
      </c>
      <c r="L208" s="27" t="s">
        <v>239</v>
      </c>
      <c r="M208" s="32" t="str">
        <f>HYPERLINK("http://slimages.macys.com/is/image/MCY/3832923 ")</f>
        <v xml:space="preserve">http://slimages.macys.com/is/image/MCY/3832923 </v>
      </c>
    </row>
    <row r="209" spans="1:13" ht="15.2" customHeight="1" x14ac:dyDescent="0.2">
      <c r="A209" s="26" t="s">
        <v>7671</v>
      </c>
      <c r="B209" s="27" t="s">
        <v>7672</v>
      </c>
      <c r="C209" s="28">
        <v>1</v>
      </c>
      <c r="D209" s="29">
        <v>8.9</v>
      </c>
      <c r="E209" s="29">
        <v>8.9</v>
      </c>
      <c r="F209" s="30">
        <v>19.989999999999998</v>
      </c>
      <c r="G209" s="29">
        <v>19.989999999999998</v>
      </c>
      <c r="H209" s="28" t="s">
        <v>5438</v>
      </c>
      <c r="I209" s="27" t="s">
        <v>4</v>
      </c>
      <c r="J209" s="31" t="s">
        <v>5</v>
      </c>
      <c r="K209" s="27" t="s">
        <v>224</v>
      </c>
      <c r="L209" s="27" t="s">
        <v>239</v>
      </c>
      <c r="M209" s="32" t="str">
        <f>HYPERLINK("http://slimages.macys.com/is/image/MCY/3832923 ")</f>
        <v xml:space="preserve">http://slimages.macys.com/is/image/MCY/3832923 </v>
      </c>
    </row>
    <row r="210" spans="1:13" ht="15.2" customHeight="1" x14ac:dyDescent="0.2">
      <c r="A210" s="26" t="s">
        <v>9178</v>
      </c>
      <c r="B210" s="27" t="s">
        <v>9179</v>
      </c>
      <c r="C210" s="28">
        <v>1</v>
      </c>
      <c r="D210" s="29">
        <v>8.9</v>
      </c>
      <c r="E210" s="29">
        <v>8.9</v>
      </c>
      <c r="F210" s="30">
        <v>19.989999999999998</v>
      </c>
      <c r="G210" s="29">
        <v>19.989999999999998</v>
      </c>
      <c r="H210" s="28" t="s">
        <v>5438</v>
      </c>
      <c r="I210" s="27" t="s">
        <v>10</v>
      </c>
      <c r="J210" s="31" t="s">
        <v>71</v>
      </c>
      <c r="K210" s="27" t="s">
        <v>224</v>
      </c>
      <c r="L210" s="27" t="s">
        <v>239</v>
      </c>
      <c r="M210" s="32" t="str">
        <f>HYPERLINK("http://slimages.macys.com/is/image/MCY/3832923 ")</f>
        <v xml:space="preserve">http://slimages.macys.com/is/image/MCY/3832923 </v>
      </c>
    </row>
    <row r="211" spans="1:13" ht="15.2" customHeight="1" x14ac:dyDescent="0.2">
      <c r="A211" s="26" t="s">
        <v>8670</v>
      </c>
      <c r="B211" s="27" t="s">
        <v>8671</v>
      </c>
      <c r="C211" s="28">
        <v>1</v>
      </c>
      <c r="D211" s="29">
        <v>8.5</v>
      </c>
      <c r="E211" s="29">
        <v>8.5</v>
      </c>
      <c r="F211" s="30">
        <v>19.989999999999998</v>
      </c>
      <c r="G211" s="29">
        <v>19.989999999999998</v>
      </c>
      <c r="H211" s="28" t="s">
        <v>1374</v>
      </c>
      <c r="I211" s="27" t="s">
        <v>271</v>
      </c>
      <c r="J211" s="31" t="s">
        <v>5</v>
      </c>
      <c r="K211" s="27" t="s">
        <v>196</v>
      </c>
      <c r="L211" s="27" t="s">
        <v>322</v>
      </c>
      <c r="M211" s="32" t="str">
        <f>HYPERLINK("http://slimages.macys.com/is/image/MCY/3915487 ")</f>
        <v xml:space="preserve">http://slimages.macys.com/is/image/MCY/3915487 </v>
      </c>
    </row>
    <row r="212" spans="1:13" ht="15.2" customHeight="1" x14ac:dyDescent="0.2">
      <c r="A212" s="26" t="s">
        <v>8001</v>
      </c>
      <c r="B212" s="27" t="s">
        <v>8002</v>
      </c>
      <c r="C212" s="28">
        <v>1</v>
      </c>
      <c r="D212" s="29">
        <v>8.5</v>
      </c>
      <c r="E212" s="29">
        <v>8.5</v>
      </c>
      <c r="F212" s="30">
        <v>19.989999999999998</v>
      </c>
      <c r="G212" s="29">
        <v>19.989999999999998</v>
      </c>
      <c r="H212" s="28" t="s">
        <v>7760</v>
      </c>
      <c r="I212" s="27" t="s">
        <v>189</v>
      </c>
      <c r="J212" s="31" t="s">
        <v>21</v>
      </c>
      <c r="K212" s="27" t="s">
        <v>282</v>
      </c>
      <c r="L212" s="27" t="s">
        <v>327</v>
      </c>
      <c r="M212" s="32" t="str">
        <f>HYPERLINK("http://slimages.macys.com/is/image/MCY/3961906 ")</f>
        <v xml:space="preserve">http://slimages.macys.com/is/image/MCY/3961906 </v>
      </c>
    </row>
    <row r="213" spans="1:13" ht="15.2" customHeight="1" x14ac:dyDescent="0.2">
      <c r="A213" s="26" t="s">
        <v>7411</v>
      </c>
      <c r="B213" s="27" t="s">
        <v>7412</v>
      </c>
      <c r="C213" s="28">
        <v>1</v>
      </c>
      <c r="D213" s="29">
        <v>8.5</v>
      </c>
      <c r="E213" s="29">
        <v>8.5</v>
      </c>
      <c r="F213" s="30">
        <v>19.989999999999998</v>
      </c>
      <c r="G213" s="29">
        <v>19.989999999999998</v>
      </c>
      <c r="H213" s="28" t="s">
        <v>318</v>
      </c>
      <c r="I213" s="27" t="s">
        <v>59</v>
      </c>
      <c r="J213" s="31" t="s">
        <v>40</v>
      </c>
      <c r="K213" s="27" t="s">
        <v>282</v>
      </c>
      <c r="L213" s="27" t="s">
        <v>312</v>
      </c>
      <c r="M213" s="32" t="str">
        <f>HYPERLINK("http://slimages.macys.com/is/image/MCY/3905653 ")</f>
        <v xml:space="preserve">http://slimages.macys.com/is/image/MCY/3905653 </v>
      </c>
    </row>
    <row r="214" spans="1:13" ht="15.2" customHeight="1" x14ac:dyDescent="0.2">
      <c r="A214" s="26" t="s">
        <v>7758</v>
      </c>
      <c r="B214" s="27" t="s">
        <v>7759</v>
      </c>
      <c r="C214" s="28">
        <v>1</v>
      </c>
      <c r="D214" s="29">
        <v>8.5</v>
      </c>
      <c r="E214" s="29">
        <v>8.5</v>
      </c>
      <c r="F214" s="30">
        <v>19.989999999999998</v>
      </c>
      <c r="G214" s="29">
        <v>19.989999999999998</v>
      </c>
      <c r="H214" s="28" t="s">
        <v>7760</v>
      </c>
      <c r="I214" s="27" t="s">
        <v>189</v>
      </c>
      <c r="J214" s="31" t="s">
        <v>5</v>
      </c>
      <c r="K214" s="27" t="s">
        <v>282</v>
      </c>
      <c r="L214" s="27" t="s">
        <v>327</v>
      </c>
      <c r="M214" s="32" t="str">
        <f>HYPERLINK("http://slimages.macys.com/is/image/MCY/3961906 ")</f>
        <v xml:space="preserve">http://slimages.macys.com/is/image/MCY/3961906 </v>
      </c>
    </row>
    <row r="215" spans="1:13" ht="15.2" customHeight="1" x14ac:dyDescent="0.2">
      <c r="A215" s="26" t="s">
        <v>4635</v>
      </c>
      <c r="B215" s="27" t="s">
        <v>4636</v>
      </c>
      <c r="C215" s="28">
        <v>6</v>
      </c>
      <c r="D215" s="29">
        <v>8.5</v>
      </c>
      <c r="E215" s="29">
        <v>51</v>
      </c>
      <c r="F215" s="30">
        <v>19.989999999999998</v>
      </c>
      <c r="G215" s="29">
        <v>119.94</v>
      </c>
      <c r="H215" s="28" t="s">
        <v>1374</v>
      </c>
      <c r="I215" s="27" t="s">
        <v>82</v>
      </c>
      <c r="J215" s="31" t="s">
        <v>21</v>
      </c>
      <c r="K215" s="27" t="s">
        <v>196</v>
      </c>
      <c r="L215" s="27" t="s">
        <v>322</v>
      </c>
      <c r="M215" s="32" t="str">
        <f>HYPERLINK("http://slimages.macys.com/is/image/MCY/3915487 ")</f>
        <v xml:space="preserve">http://slimages.macys.com/is/image/MCY/3915487 </v>
      </c>
    </row>
    <row r="216" spans="1:13" ht="15.2" customHeight="1" x14ac:dyDescent="0.2">
      <c r="A216" s="26" t="s">
        <v>7405</v>
      </c>
      <c r="B216" s="27" t="s">
        <v>7406</v>
      </c>
      <c r="C216" s="28">
        <v>3</v>
      </c>
      <c r="D216" s="29">
        <v>8.5</v>
      </c>
      <c r="E216" s="29">
        <v>25.5</v>
      </c>
      <c r="F216" s="30">
        <v>19.989999999999998</v>
      </c>
      <c r="G216" s="29">
        <v>59.97</v>
      </c>
      <c r="H216" s="28" t="s">
        <v>1374</v>
      </c>
      <c r="I216" s="27" t="s">
        <v>82</v>
      </c>
      <c r="J216" s="31" t="s">
        <v>40</v>
      </c>
      <c r="K216" s="27" t="s">
        <v>196</v>
      </c>
      <c r="L216" s="27" t="s">
        <v>322</v>
      </c>
      <c r="M216" s="32" t="str">
        <f>HYPERLINK("http://slimages.macys.com/is/image/MCY/3915487 ")</f>
        <v xml:space="preserve">http://slimages.macys.com/is/image/MCY/3915487 </v>
      </c>
    </row>
    <row r="217" spans="1:13" ht="15.2" customHeight="1" x14ac:dyDescent="0.2">
      <c r="A217" s="26" t="s">
        <v>7767</v>
      </c>
      <c r="B217" s="27" t="s">
        <v>7768</v>
      </c>
      <c r="C217" s="28">
        <v>2</v>
      </c>
      <c r="D217" s="29">
        <v>8.5</v>
      </c>
      <c r="E217" s="29">
        <v>17</v>
      </c>
      <c r="F217" s="30">
        <v>19.989999999999998</v>
      </c>
      <c r="G217" s="29">
        <v>39.979999999999997</v>
      </c>
      <c r="H217" s="28" t="s">
        <v>2970</v>
      </c>
      <c r="I217" s="27" t="s">
        <v>333</v>
      </c>
      <c r="J217" s="31" t="s">
        <v>52</v>
      </c>
      <c r="K217" s="27" t="s">
        <v>196</v>
      </c>
      <c r="L217" s="27" t="s">
        <v>322</v>
      </c>
      <c r="M217" s="32" t="str">
        <f>HYPERLINK("http://slimages.macys.com/is/image/MCY/3915487 ")</f>
        <v xml:space="preserve">http://slimages.macys.com/is/image/MCY/3915487 </v>
      </c>
    </row>
    <row r="218" spans="1:13" ht="15.2" customHeight="1" x14ac:dyDescent="0.2">
      <c r="A218" s="26" t="s">
        <v>2657</v>
      </c>
      <c r="B218" s="27" t="s">
        <v>2658</v>
      </c>
      <c r="C218" s="28">
        <v>1</v>
      </c>
      <c r="D218" s="29">
        <v>8.5</v>
      </c>
      <c r="E218" s="29">
        <v>8.5</v>
      </c>
      <c r="F218" s="30">
        <v>19.989999999999998</v>
      </c>
      <c r="G218" s="29">
        <v>19.989999999999998</v>
      </c>
      <c r="H218" s="28" t="s">
        <v>334</v>
      </c>
      <c r="I218" s="27" t="s">
        <v>33</v>
      </c>
      <c r="J218" s="31" t="s">
        <v>40</v>
      </c>
      <c r="K218" s="27" t="s">
        <v>196</v>
      </c>
      <c r="L218" s="27" t="s">
        <v>239</v>
      </c>
      <c r="M218" s="32" t="str">
        <f>HYPERLINK("http://slimages.macys.com/is/image/MCY/3890886 ")</f>
        <v xml:space="preserve">http://slimages.macys.com/is/image/MCY/3890886 </v>
      </c>
    </row>
    <row r="219" spans="1:13" ht="15.2" customHeight="1" x14ac:dyDescent="0.2">
      <c r="A219" s="26" t="s">
        <v>8827</v>
      </c>
      <c r="B219" s="27" t="s">
        <v>8828</v>
      </c>
      <c r="C219" s="28">
        <v>3</v>
      </c>
      <c r="D219" s="29">
        <v>8.5</v>
      </c>
      <c r="E219" s="29">
        <v>25.5</v>
      </c>
      <c r="F219" s="30">
        <v>19.989999999999998</v>
      </c>
      <c r="G219" s="29">
        <v>59.97</v>
      </c>
      <c r="H219" s="28" t="s">
        <v>1374</v>
      </c>
      <c r="I219" s="27" t="s">
        <v>271</v>
      </c>
      <c r="J219" s="31" t="s">
        <v>40</v>
      </c>
      <c r="K219" s="27" t="s">
        <v>196</v>
      </c>
      <c r="L219" s="27" t="s">
        <v>322</v>
      </c>
      <c r="M219" s="32" t="str">
        <f>HYPERLINK("http://slimages.macys.com/is/image/MCY/3915487 ")</f>
        <v xml:space="preserve">http://slimages.macys.com/is/image/MCY/3915487 </v>
      </c>
    </row>
    <row r="220" spans="1:13" ht="15.2" customHeight="1" x14ac:dyDescent="0.2">
      <c r="A220" s="26" t="s">
        <v>8655</v>
      </c>
      <c r="B220" s="27" t="s">
        <v>8656</v>
      </c>
      <c r="C220" s="28">
        <v>2</v>
      </c>
      <c r="D220" s="29">
        <v>8.5</v>
      </c>
      <c r="E220" s="29">
        <v>17</v>
      </c>
      <c r="F220" s="30">
        <v>19.989999999999998</v>
      </c>
      <c r="G220" s="29">
        <v>39.979999999999997</v>
      </c>
      <c r="H220" s="28" t="s">
        <v>1374</v>
      </c>
      <c r="I220" s="27" t="s">
        <v>271</v>
      </c>
      <c r="J220" s="31" t="s">
        <v>21</v>
      </c>
      <c r="K220" s="27" t="s">
        <v>196</v>
      </c>
      <c r="L220" s="27" t="s">
        <v>322</v>
      </c>
      <c r="M220" s="32" t="str">
        <f>HYPERLINK("http://slimages.macys.com/is/image/MCY/3915487 ")</f>
        <v xml:space="preserve">http://slimages.macys.com/is/image/MCY/3915487 </v>
      </c>
    </row>
    <row r="221" spans="1:13" ht="15.2" customHeight="1" x14ac:dyDescent="0.2">
      <c r="A221" s="26" t="s">
        <v>8664</v>
      </c>
      <c r="B221" s="27" t="s">
        <v>8665</v>
      </c>
      <c r="C221" s="28">
        <v>3</v>
      </c>
      <c r="D221" s="29">
        <v>8.5</v>
      </c>
      <c r="E221" s="29">
        <v>25.5</v>
      </c>
      <c r="F221" s="30">
        <v>19.989999999999998</v>
      </c>
      <c r="G221" s="29">
        <v>59.97</v>
      </c>
      <c r="H221" s="28" t="s">
        <v>1374</v>
      </c>
      <c r="I221" s="27" t="s">
        <v>82</v>
      </c>
      <c r="J221" s="31" t="s">
        <v>5</v>
      </c>
      <c r="K221" s="27" t="s">
        <v>196</v>
      </c>
      <c r="L221" s="27" t="s">
        <v>322</v>
      </c>
      <c r="M221" s="32" t="str">
        <f>HYPERLINK("http://slimages.macys.com/is/image/MCY/3915487 ")</f>
        <v xml:space="preserve">http://slimages.macys.com/is/image/MCY/3915487 </v>
      </c>
    </row>
    <row r="222" spans="1:13" ht="15.2" customHeight="1" x14ac:dyDescent="0.2">
      <c r="A222" s="26" t="s">
        <v>9180</v>
      </c>
      <c r="B222" s="27" t="s">
        <v>9181</v>
      </c>
      <c r="C222" s="28">
        <v>1</v>
      </c>
      <c r="D222" s="29">
        <v>8.5</v>
      </c>
      <c r="E222" s="29">
        <v>8.5</v>
      </c>
      <c r="F222" s="30">
        <v>19.989999999999998</v>
      </c>
      <c r="G222" s="29">
        <v>19.989999999999998</v>
      </c>
      <c r="H222" s="28" t="s">
        <v>9182</v>
      </c>
      <c r="I222" s="27" t="s">
        <v>864</v>
      </c>
      <c r="J222" s="31" t="s">
        <v>71</v>
      </c>
      <c r="K222" s="27" t="s">
        <v>196</v>
      </c>
      <c r="L222" s="27" t="s">
        <v>1329</v>
      </c>
      <c r="M222" s="32" t="str">
        <f>HYPERLINK("http://slimages.macys.com/is/image/MCY/3660114 ")</f>
        <v xml:space="preserve">http://slimages.macys.com/is/image/MCY/3660114 </v>
      </c>
    </row>
    <row r="223" spans="1:13" ht="15.2" customHeight="1" x14ac:dyDescent="0.2">
      <c r="A223" s="26" t="s">
        <v>8009</v>
      </c>
      <c r="B223" s="27" t="s">
        <v>8010</v>
      </c>
      <c r="C223" s="28">
        <v>3</v>
      </c>
      <c r="D223" s="29">
        <v>8.5</v>
      </c>
      <c r="E223" s="29">
        <v>25.5</v>
      </c>
      <c r="F223" s="30">
        <v>19.989999999999998</v>
      </c>
      <c r="G223" s="29">
        <v>59.97</v>
      </c>
      <c r="H223" s="28" t="s">
        <v>2970</v>
      </c>
      <c r="I223" s="27" t="s">
        <v>26</v>
      </c>
      <c r="J223" s="31" t="s">
        <v>5</v>
      </c>
      <c r="K223" s="27" t="s">
        <v>196</v>
      </c>
      <c r="L223" s="27" t="s">
        <v>322</v>
      </c>
      <c r="M223" s="32" t="str">
        <f>HYPERLINK("http://slimages.macys.com/is/image/MCY/3915487 ")</f>
        <v xml:space="preserve">http://slimages.macys.com/is/image/MCY/3915487 </v>
      </c>
    </row>
    <row r="224" spans="1:13" ht="15.2" customHeight="1" x14ac:dyDescent="0.2">
      <c r="A224" s="26" t="s">
        <v>7556</v>
      </c>
      <c r="B224" s="27" t="s">
        <v>7557</v>
      </c>
      <c r="C224" s="28">
        <v>2</v>
      </c>
      <c r="D224" s="29">
        <v>8.5</v>
      </c>
      <c r="E224" s="29">
        <v>17</v>
      </c>
      <c r="F224" s="30">
        <v>19.989999999999998</v>
      </c>
      <c r="G224" s="29">
        <v>39.979999999999997</v>
      </c>
      <c r="H224" s="28" t="s">
        <v>2970</v>
      </c>
      <c r="I224" s="27" t="s">
        <v>26</v>
      </c>
      <c r="J224" s="31" t="s">
        <v>21</v>
      </c>
      <c r="K224" s="27" t="s">
        <v>196</v>
      </c>
      <c r="L224" s="27" t="s">
        <v>322</v>
      </c>
      <c r="M224" s="32" t="str">
        <f>HYPERLINK("http://slimages.macys.com/is/image/MCY/3915487 ")</f>
        <v xml:space="preserve">http://slimages.macys.com/is/image/MCY/3915487 </v>
      </c>
    </row>
    <row r="225" spans="1:13" ht="15.2" customHeight="1" x14ac:dyDescent="0.2">
      <c r="A225" s="26" t="s">
        <v>8668</v>
      </c>
      <c r="B225" s="27" t="s">
        <v>8669</v>
      </c>
      <c r="C225" s="28">
        <v>2</v>
      </c>
      <c r="D225" s="29">
        <v>8.5</v>
      </c>
      <c r="E225" s="29">
        <v>17</v>
      </c>
      <c r="F225" s="30">
        <v>19.989999999999998</v>
      </c>
      <c r="G225" s="29">
        <v>39.979999999999997</v>
      </c>
      <c r="H225" s="28" t="s">
        <v>2970</v>
      </c>
      <c r="I225" s="27" t="s">
        <v>26</v>
      </c>
      <c r="J225" s="31" t="s">
        <v>52</v>
      </c>
      <c r="K225" s="27" t="s">
        <v>196</v>
      </c>
      <c r="L225" s="27" t="s">
        <v>322</v>
      </c>
      <c r="M225" s="32" t="str">
        <f>HYPERLINK("http://slimages.macys.com/is/image/MCY/3915487 ")</f>
        <v xml:space="preserve">http://slimages.macys.com/is/image/MCY/3915487 </v>
      </c>
    </row>
    <row r="226" spans="1:13" ht="15.2" customHeight="1" x14ac:dyDescent="0.2">
      <c r="A226" s="26" t="s">
        <v>8657</v>
      </c>
      <c r="B226" s="27" t="s">
        <v>8658</v>
      </c>
      <c r="C226" s="28">
        <v>1</v>
      </c>
      <c r="D226" s="29">
        <v>8.5</v>
      </c>
      <c r="E226" s="29">
        <v>8.5</v>
      </c>
      <c r="F226" s="30">
        <v>19.989999999999998</v>
      </c>
      <c r="G226" s="29">
        <v>19.989999999999998</v>
      </c>
      <c r="H226" s="28" t="s">
        <v>2970</v>
      </c>
      <c r="I226" s="27" t="s">
        <v>26</v>
      </c>
      <c r="J226" s="31" t="s">
        <v>71</v>
      </c>
      <c r="K226" s="27" t="s">
        <v>196</v>
      </c>
      <c r="L226" s="27" t="s">
        <v>322</v>
      </c>
      <c r="M226" s="32" t="str">
        <f>HYPERLINK("http://slimages.macys.com/is/image/MCY/3915487 ")</f>
        <v xml:space="preserve">http://slimages.macys.com/is/image/MCY/3915487 </v>
      </c>
    </row>
    <row r="227" spans="1:13" ht="15.2" customHeight="1" x14ac:dyDescent="0.2">
      <c r="A227" s="26" t="s">
        <v>8672</v>
      </c>
      <c r="B227" s="27" t="s">
        <v>8673</v>
      </c>
      <c r="C227" s="28">
        <v>2</v>
      </c>
      <c r="D227" s="29">
        <v>8.3000000000000007</v>
      </c>
      <c r="E227" s="29">
        <v>16.600000000000001</v>
      </c>
      <c r="F227" s="30">
        <v>19.989999999999998</v>
      </c>
      <c r="G227" s="29">
        <v>39.979999999999997</v>
      </c>
      <c r="H227" s="28" t="s">
        <v>8674</v>
      </c>
      <c r="I227" s="27" t="s">
        <v>64</v>
      </c>
      <c r="J227" s="31" t="s">
        <v>5</v>
      </c>
      <c r="K227" s="27" t="s">
        <v>159</v>
      </c>
      <c r="L227" s="27" t="s">
        <v>160</v>
      </c>
      <c r="M227" s="32" t="str">
        <f>HYPERLINK("http://slimages.macys.com/is/image/MCY/3640472 ")</f>
        <v xml:space="preserve">http://slimages.macys.com/is/image/MCY/3640472 </v>
      </c>
    </row>
    <row r="228" spans="1:13" ht="15.2" customHeight="1" x14ac:dyDescent="0.2">
      <c r="A228" s="26" t="s">
        <v>9183</v>
      </c>
      <c r="B228" s="27" t="s">
        <v>9184</v>
      </c>
      <c r="C228" s="28">
        <v>1</v>
      </c>
      <c r="D228" s="29">
        <v>8.25</v>
      </c>
      <c r="E228" s="29">
        <v>8.25</v>
      </c>
      <c r="F228" s="30">
        <v>19.989999999999998</v>
      </c>
      <c r="G228" s="29">
        <v>19.989999999999998</v>
      </c>
      <c r="H228" s="28" t="s">
        <v>8677</v>
      </c>
      <c r="I228" s="27" t="s">
        <v>94</v>
      </c>
      <c r="J228" s="31" t="s">
        <v>5</v>
      </c>
      <c r="K228" s="27" t="s">
        <v>196</v>
      </c>
      <c r="L228" s="27" t="s">
        <v>336</v>
      </c>
      <c r="M228" s="32" t="str">
        <f>HYPERLINK("http://slimages.macys.com/is/image/MCY/3821003 ")</f>
        <v xml:space="preserve">http://slimages.macys.com/is/image/MCY/3821003 </v>
      </c>
    </row>
    <row r="229" spans="1:13" ht="15.2" customHeight="1" x14ac:dyDescent="0.2">
      <c r="A229" s="26" t="s">
        <v>9185</v>
      </c>
      <c r="B229" s="27" t="s">
        <v>9186</v>
      </c>
      <c r="C229" s="28">
        <v>1</v>
      </c>
      <c r="D229" s="29">
        <v>8.25</v>
      </c>
      <c r="E229" s="29">
        <v>8.25</v>
      </c>
      <c r="F229" s="30">
        <v>19.989999999999998</v>
      </c>
      <c r="G229" s="29">
        <v>19.989999999999998</v>
      </c>
      <c r="H229" s="28" t="s">
        <v>1388</v>
      </c>
      <c r="I229" s="27" t="s">
        <v>4</v>
      </c>
      <c r="J229" s="31" t="s">
        <v>40</v>
      </c>
      <c r="K229" s="27" t="s">
        <v>282</v>
      </c>
      <c r="L229" s="27" t="s">
        <v>283</v>
      </c>
      <c r="M229" s="32" t="str">
        <f>HYPERLINK("http://slimages.macys.com/is/image/MCY/3773924 ")</f>
        <v xml:space="preserve">http://slimages.macys.com/is/image/MCY/3773924 </v>
      </c>
    </row>
    <row r="230" spans="1:13" ht="15.2" customHeight="1" x14ac:dyDescent="0.2">
      <c r="A230" s="26" t="s">
        <v>8678</v>
      </c>
      <c r="B230" s="27" t="s">
        <v>8679</v>
      </c>
      <c r="C230" s="28">
        <v>1</v>
      </c>
      <c r="D230" s="29">
        <v>8.25</v>
      </c>
      <c r="E230" s="29">
        <v>8.25</v>
      </c>
      <c r="F230" s="30">
        <v>19.989999999999998</v>
      </c>
      <c r="G230" s="29">
        <v>19.989999999999998</v>
      </c>
      <c r="H230" s="28" t="s">
        <v>8675</v>
      </c>
      <c r="I230" s="27" t="s">
        <v>377</v>
      </c>
      <c r="J230" s="31" t="s">
        <v>5</v>
      </c>
      <c r="K230" s="27" t="s">
        <v>196</v>
      </c>
      <c r="L230" s="27" t="s">
        <v>225</v>
      </c>
      <c r="M230" s="32" t="str">
        <f>HYPERLINK("http://slimages.macys.com/is/image/MCY/3832889 ")</f>
        <v xml:space="preserve">http://slimages.macys.com/is/image/MCY/3832889 </v>
      </c>
    </row>
    <row r="231" spans="1:13" ht="15.2" customHeight="1" x14ac:dyDescent="0.2">
      <c r="A231" s="26" t="s">
        <v>9187</v>
      </c>
      <c r="B231" s="27" t="s">
        <v>9188</v>
      </c>
      <c r="C231" s="28">
        <v>1</v>
      </c>
      <c r="D231" s="29">
        <v>8.25</v>
      </c>
      <c r="E231" s="29">
        <v>8.25</v>
      </c>
      <c r="F231" s="30">
        <v>19.989999999999998</v>
      </c>
      <c r="G231" s="29">
        <v>19.989999999999998</v>
      </c>
      <c r="H231" s="28" t="s">
        <v>8677</v>
      </c>
      <c r="I231" s="27" t="s">
        <v>4</v>
      </c>
      <c r="J231" s="31" t="s">
        <v>52</v>
      </c>
      <c r="K231" s="27" t="s">
        <v>196</v>
      </c>
      <c r="L231" s="27" t="s">
        <v>336</v>
      </c>
      <c r="M231" s="32" t="str">
        <f>HYPERLINK("http://slimages.macys.com/is/image/MCY/3821003 ")</f>
        <v xml:space="preserve">http://slimages.macys.com/is/image/MCY/3821003 </v>
      </c>
    </row>
    <row r="232" spans="1:13" ht="15.2" customHeight="1" x14ac:dyDescent="0.2">
      <c r="A232" s="26" t="s">
        <v>9189</v>
      </c>
      <c r="B232" s="27" t="s">
        <v>9190</v>
      </c>
      <c r="C232" s="28">
        <v>1</v>
      </c>
      <c r="D232" s="29">
        <v>8.25</v>
      </c>
      <c r="E232" s="29">
        <v>8.25</v>
      </c>
      <c r="F232" s="30">
        <v>19.989999999999998</v>
      </c>
      <c r="G232" s="29">
        <v>19.989999999999998</v>
      </c>
      <c r="H232" s="28" t="s">
        <v>340</v>
      </c>
      <c r="I232" s="27" t="s">
        <v>248</v>
      </c>
      <c r="J232" s="31" t="s">
        <v>5</v>
      </c>
      <c r="K232" s="27" t="s">
        <v>196</v>
      </c>
      <c r="L232" s="27" t="s">
        <v>225</v>
      </c>
      <c r="M232" s="32" t="str">
        <f>HYPERLINK("http://slimages.macys.com/is/image/MCY/3875563 ")</f>
        <v xml:space="preserve">http://slimages.macys.com/is/image/MCY/3875563 </v>
      </c>
    </row>
    <row r="233" spans="1:13" ht="15.2" customHeight="1" x14ac:dyDescent="0.2">
      <c r="A233" s="26" t="s">
        <v>9191</v>
      </c>
      <c r="B233" s="27" t="s">
        <v>9192</v>
      </c>
      <c r="C233" s="28">
        <v>1</v>
      </c>
      <c r="D233" s="29">
        <v>8.25</v>
      </c>
      <c r="E233" s="29">
        <v>8.25</v>
      </c>
      <c r="F233" s="30">
        <v>19.989999999999998</v>
      </c>
      <c r="G233" s="29">
        <v>19.989999999999998</v>
      </c>
      <c r="H233" s="28" t="s">
        <v>1388</v>
      </c>
      <c r="I233" s="27" t="s">
        <v>4</v>
      </c>
      <c r="J233" s="31" t="s">
        <v>71</v>
      </c>
      <c r="K233" s="27" t="s">
        <v>282</v>
      </c>
      <c r="L233" s="27" t="s">
        <v>283</v>
      </c>
      <c r="M233" s="32" t="str">
        <f>HYPERLINK("http://slimages.macys.com/is/image/MCY/3773924 ")</f>
        <v xml:space="preserve">http://slimages.macys.com/is/image/MCY/3773924 </v>
      </c>
    </row>
    <row r="234" spans="1:13" ht="15.2" customHeight="1" x14ac:dyDescent="0.2">
      <c r="A234" s="26" t="s">
        <v>9193</v>
      </c>
      <c r="B234" s="27" t="s">
        <v>9194</v>
      </c>
      <c r="C234" s="28">
        <v>1</v>
      </c>
      <c r="D234" s="29">
        <v>8.25</v>
      </c>
      <c r="E234" s="29">
        <v>8.25</v>
      </c>
      <c r="F234" s="30">
        <v>19.989999999999998</v>
      </c>
      <c r="G234" s="29">
        <v>19.989999999999998</v>
      </c>
      <c r="H234" s="28" t="s">
        <v>2975</v>
      </c>
      <c r="I234" s="27" t="s">
        <v>29</v>
      </c>
      <c r="J234" s="31" t="s">
        <v>5</v>
      </c>
      <c r="K234" s="27" t="s">
        <v>196</v>
      </c>
      <c r="L234" s="27" t="s">
        <v>225</v>
      </c>
      <c r="M234" s="32" t="str">
        <f>HYPERLINK("http://slimages.macys.com/is/image/MCY/3651791 ")</f>
        <v xml:space="preserve">http://slimages.macys.com/is/image/MCY/3651791 </v>
      </c>
    </row>
    <row r="235" spans="1:13" ht="15.2" customHeight="1" x14ac:dyDescent="0.2">
      <c r="A235" s="26" t="s">
        <v>8833</v>
      </c>
      <c r="B235" s="27" t="s">
        <v>8834</v>
      </c>
      <c r="C235" s="28">
        <v>2</v>
      </c>
      <c r="D235" s="29">
        <v>8.25</v>
      </c>
      <c r="E235" s="29">
        <v>16.5</v>
      </c>
      <c r="F235" s="30">
        <v>19.989999999999998</v>
      </c>
      <c r="G235" s="29">
        <v>39.979999999999997</v>
      </c>
      <c r="H235" s="28" t="s">
        <v>2975</v>
      </c>
      <c r="I235" s="27" t="s">
        <v>29</v>
      </c>
      <c r="J235" s="31" t="s">
        <v>52</v>
      </c>
      <c r="K235" s="27" t="s">
        <v>196</v>
      </c>
      <c r="L235" s="27" t="s">
        <v>225</v>
      </c>
      <c r="M235" s="32" t="str">
        <f>HYPERLINK("http://slimages.macys.com/is/image/MCY/3651791 ")</f>
        <v xml:space="preserve">http://slimages.macys.com/is/image/MCY/3651791 </v>
      </c>
    </row>
    <row r="236" spans="1:13" ht="15.2" customHeight="1" x14ac:dyDescent="0.2">
      <c r="A236" s="26" t="s">
        <v>9195</v>
      </c>
      <c r="B236" s="27" t="s">
        <v>9196</v>
      </c>
      <c r="C236" s="28">
        <v>1</v>
      </c>
      <c r="D236" s="29">
        <v>8.25</v>
      </c>
      <c r="E236" s="29">
        <v>8.25</v>
      </c>
      <c r="F236" s="30">
        <v>19.989999999999998</v>
      </c>
      <c r="G236" s="29">
        <v>19.989999999999998</v>
      </c>
      <c r="H236" s="28" t="s">
        <v>2976</v>
      </c>
      <c r="I236" s="27" t="s">
        <v>271</v>
      </c>
      <c r="J236" s="31" t="s">
        <v>40</v>
      </c>
      <c r="K236" s="27" t="s">
        <v>196</v>
      </c>
      <c r="L236" s="27" t="s">
        <v>260</v>
      </c>
      <c r="M236" s="32" t="str">
        <f>HYPERLINK("http://slimages.macys.com/is/image/MCY/3700257 ")</f>
        <v xml:space="preserve">http://slimages.macys.com/is/image/MCY/3700257 </v>
      </c>
    </row>
    <row r="237" spans="1:13" ht="15.2" customHeight="1" x14ac:dyDescent="0.2">
      <c r="A237" s="26" t="s">
        <v>9197</v>
      </c>
      <c r="B237" s="27" t="s">
        <v>9198</v>
      </c>
      <c r="C237" s="28">
        <v>1</v>
      </c>
      <c r="D237" s="29">
        <v>8.25</v>
      </c>
      <c r="E237" s="29">
        <v>8.25</v>
      </c>
      <c r="F237" s="30">
        <v>19.989999999999998</v>
      </c>
      <c r="G237" s="29">
        <v>19.989999999999998</v>
      </c>
      <c r="H237" s="28" t="s">
        <v>2976</v>
      </c>
      <c r="I237" s="27" t="s">
        <v>271</v>
      </c>
      <c r="J237" s="31" t="s">
        <v>71</v>
      </c>
      <c r="K237" s="27" t="s">
        <v>196</v>
      </c>
      <c r="L237" s="27" t="s">
        <v>260</v>
      </c>
      <c r="M237" s="32" t="str">
        <f>HYPERLINK("http://slimages.macys.com/is/image/MCY/3700257 ")</f>
        <v xml:space="preserve">http://slimages.macys.com/is/image/MCY/3700257 </v>
      </c>
    </row>
    <row r="238" spans="1:13" ht="15.2" customHeight="1" x14ac:dyDescent="0.2">
      <c r="A238" s="26" t="s">
        <v>9199</v>
      </c>
      <c r="B238" s="27" t="s">
        <v>9200</v>
      </c>
      <c r="C238" s="28">
        <v>1</v>
      </c>
      <c r="D238" s="29">
        <v>8.2100000000000009</v>
      </c>
      <c r="E238" s="29">
        <v>8.2100000000000009</v>
      </c>
      <c r="F238" s="30">
        <v>19.989999999999998</v>
      </c>
      <c r="G238" s="29">
        <v>19.989999999999998</v>
      </c>
      <c r="H238" s="28" t="s">
        <v>9201</v>
      </c>
      <c r="I238" s="27" t="s">
        <v>4</v>
      </c>
      <c r="J238" s="31" t="s">
        <v>40</v>
      </c>
      <c r="K238" s="27" t="s">
        <v>159</v>
      </c>
      <c r="L238" s="27" t="s">
        <v>160</v>
      </c>
      <c r="M238" s="32" t="str">
        <f>HYPERLINK("http://slimages.macys.com/is/image/MCY/3450111 ")</f>
        <v xml:space="preserve">http://slimages.macys.com/is/image/MCY/3450111 </v>
      </c>
    </row>
    <row r="239" spans="1:13" ht="15.2" customHeight="1" x14ac:dyDescent="0.2">
      <c r="A239" s="26" t="s">
        <v>9202</v>
      </c>
      <c r="B239" s="27" t="s">
        <v>9203</v>
      </c>
      <c r="C239" s="28">
        <v>1</v>
      </c>
      <c r="D239" s="29">
        <v>8.2100000000000009</v>
      </c>
      <c r="E239" s="29">
        <v>8.2100000000000009</v>
      </c>
      <c r="F239" s="30">
        <v>19.989999999999998</v>
      </c>
      <c r="G239" s="29">
        <v>19.989999999999998</v>
      </c>
      <c r="H239" s="28" t="s">
        <v>9201</v>
      </c>
      <c r="I239" s="27" t="s">
        <v>4</v>
      </c>
      <c r="J239" s="31" t="s">
        <v>21</v>
      </c>
      <c r="K239" s="27" t="s">
        <v>159</v>
      </c>
      <c r="L239" s="27" t="s">
        <v>160</v>
      </c>
      <c r="M239" s="32" t="str">
        <f>HYPERLINK("http://slimages.macys.com/is/image/MCY/3450111 ")</f>
        <v xml:space="preserve">http://slimages.macys.com/is/image/MCY/3450111 </v>
      </c>
    </row>
    <row r="240" spans="1:13" ht="15.2" customHeight="1" x14ac:dyDescent="0.2">
      <c r="A240" s="26" t="s">
        <v>9204</v>
      </c>
      <c r="B240" s="27" t="s">
        <v>9205</v>
      </c>
      <c r="C240" s="28">
        <v>1</v>
      </c>
      <c r="D240" s="29">
        <v>8.1</v>
      </c>
      <c r="E240" s="29">
        <v>8.1</v>
      </c>
      <c r="F240" s="30">
        <v>22.99</v>
      </c>
      <c r="G240" s="29">
        <v>22.99</v>
      </c>
      <c r="H240" s="28" t="s">
        <v>8835</v>
      </c>
      <c r="I240" s="27" t="s">
        <v>274</v>
      </c>
      <c r="J240" s="31" t="s">
        <v>21</v>
      </c>
      <c r="K240" s="27" t="s">
        <v>200</v>
      </c>
      <c r="L240" s="27" t="s">
        <v>322</v>
      </c>
      <c r="M240" s="32" t="str">
        <f>HYPERLINK("http://slimages.macys.com/is/image/MCY/3755236 ")</f>
        <v xml:space="preserve">http://slimages.macys.com/is/image/MCY/3755236 </v>
      </c>
    </row>
    <row r="241" spans="1:13" ht="15.2" customHeight="1" x14ac:dyDescent="0.2">
      <c r="A241" s="26" t="s">
        <v>9206</v>
      </c>
      <c r="B241" s="27" t="s">
        <v>9207</v>
      </c>
      <c r="C241" s="28">
        <v>1</v>
      </c>
      <c r="D241" s="29">
        <v>8.1</v>
      </c>
      <c r="E241" s="29">
        <v>8.1</v>
      </c>
      <c r="F241" s="30">
        <v>22.99</v>
      </c>
      <c r="G241" s="29">
        <v>22.99</v>
      </c>
      <c r="H241" s="28" t="s">
        <v>8835</v>
      </c>
      <c r="I241" s="27" t="s">
        <v>274</v>
      </c>
      <c r="J241" s="31" t="s">
        <v>5</v>
      </c>
      <c r="K241" s="27" t="s">
        <v>200</v>
      </c>
      <c r="L241" s="27" t="s">
        <v>322</v>
      </c>
      <c r="M241" s="32" t="str">
        <f>HYPERLINK("http://slimages.macys.com/is/image/MCY/3755236 ")</f>
        <v xml:space="preserve">http://slimages.macys.com/is/image/MCY/3755236 </v>
      </c>
    </row>
    <row r="242" spans="1:13" ht="15.2" customHeight="1" x14ac:dyDescent="0.2">
      <c r="A242" s="26" t="s">
        <v>9208</v>
      </c>
      <c r="B242" s="27" t="s">
        <v>9209</v>
      </c>
      <c r="C242" s="28">
        <v>1</v>
      </c>
      <c r="D242" s="29">
        <v>8</v>
      </c>
      <c r="E242" s="29">
        <v>8</v>
      </c>
      <c r="F242" s="30">
        <v>19.989999999999998</v>
      </c>
      <c r="G242" s="29">
        <v>19.989999999999998</v>
      </c>
      <c r="H242" s="28" t="s">
        <v>9210</v>
      </c>
      <c r="I242" s="27" t="s">
        <v>271</v>
      </c>
      <c r="J242" s="31" t="s">
        <v>5</v>
      </c>
      <c r="K242" s="27" t="s">
        <v>196</v>
      </c>
      <c r="L242" s="27" t="s">
        <v>336</v>
      </c>
      <c r="M242" s="32" t="str">
        <f>HYPERLINK("http://slimages.macys.com/is/image/MCY/3503321 ")</f>
        <v xml:space="preserve">http://slimages.macys.com/is/image/MCY/3503321 </v>
      </c>
    </row>
    <row r="243" spans="1:13" ht="15.2" customHeight="1" x14ac:dyDescent="0.2">
      <c r="A243" s="26" t="s">
        <v>9211</v>
      </c>
      <c r="B243" s="27" t="s">
        <v>9212</v>
      </c>
      <c r="C243" s="28">
        <v>1</v>
      </c>
      <c r="D243" s="29">
        <v>8</v>
      </c>
      <c r="E243" s="29">
        <v>8</v>
      </c>
      <c r="F243" s="30">
        <v>19.989999999999998</v>
      </c>
      <c r="G243" s="29">
        <v>19.989999999999998</v>
      </c>
      <c r="H243" s="28" t="s">
        <v>9213</v>
      </c>
      <c r="I243" s="27" t="s">
        <v>64</v>
      </c>
      <c r="J243" s="31" t="s">
        <v>52</v>
      </c>
      <c r="K243" s="27" t="s">
        <v>196</v>
      </c>
      <c r="L243" s="27" t="s">
        <v>322</v>
      </c>
      <c r="M243" s="32" t="str">
        <f>HYPERLINK("http://slimages.macys.com/is/image/MCY/3517476 ")</f>
        <v xml:space="preserve">http://slimages.macys.com/is/image/MCY/3517476 </v>
      </c>
    </row>
    <row r="244" spans="1:13" ht="15.2" customHeight="1" x14ac:dyDescent="0.2">
      <c r="A244" s="26" t="s">
        <v>9214</v>
      </c>
      <c r="B244" s="27" t="s">
        <v>9215</v>
      </c>
      <c r="C244" s="28">
        <v>1</v>
      </c>
      <c r="D244" s="29">
        <v>8</v>
      </c>
      <c r="E244" s="29">
        <v>8</v>
      </c>
      <c r="F244" s="30">
        <v>19.989999999999998</v>
      </c>
      <c r="G244" s="29">
        <v>19.989999999999998</v>
      </c>
      <c r="H244" s="28" t="s">
        <v>9213</v>
      </c>
      <c r="I244" s="27" t="s">
        <v>64</v>
      </c>
      <c r="J244" s="31" t="s">
        <v>40</v>
      </c>
      <c r="K244" s="27" t="s">
        <v>196</v>
      </c>
      <c r="L244" s="27" t="s">
        <v>322</v>
      </c>
      <c r="M244" s="32" t="str">
        <f>HYPERLINK("http://slimages.macys.com/is/image/MCY/3517476 ")</f>
        <v xml:space="preserve">http://slimages.macys.com/is/image/MCY/3517476 </v>
      </c>
    </row>
    <row r="245" spans="1:13" ht="15.2" customHeight="1" x14ac:dyDescent="0.2">
      <c r="A245" s="26" t="s">
        <v>9216</v>
      </c>
      <c r="B245" s="27" t="s">
        <v>9217</v>
      </c>
      <c r="C245" s="28">
        <v>1</v>
      </c>
      <c r="D245" s="29">
        <v>8</v>
      </c>
      <c r="E245" s="29">
        <v>8</v>
      </c>
      <c r="F245" s="30">
        <v>19.989999999999998</v>
      </c>
      <c r="G245" s="29">
        <v>19.989999999999998</v>
      </c>
      <c r="H245" s="28" t="s">
        <v>9218</v>
      </c>
      <c r="I245" s="27" t="s">
        <v>4</v>
      </c>
      <c r="J245" s="31" t="s">
        <v>40</v>
      </c>
      <c r="K245" s="27" t="s">
        <v>196</v>
      </c>
      <c r="L245" s="27" t="s">
        <v>322</v>
      </c>
      <c r="M245" s="32" t="str">
        <f>HYPERLINK("http://slimages.macys.com/is/image/MCY/3517476 ")</f>
        <v xml:space="preserve">http://slimages.macys.com/is/image/MCY/3517476 </v>
      </c>
    </row>
    <row r="246" spans="1:13" ht="15.2" customHeight="1" x14ac:dyDescent="0.2">
      <c r="A246" s="26" t="s">
        <v>1410</v>
      </c>
      <c r="B246" s="27" t="s">
        <v>1411</v>
      </c>
      <c r="C246" s="28">
        <v>1</v>
      </c>
      <c r="D246" s="29">
        <v>8</v>
      </c>
      <c r="E246" s="29">
        <v>8</v>
      </c>
      <c r="F246" s="30">
        <v>22.99</v>
      </c>
      <c r="G246" s="29">
        <v>22.99</v>
      </c>
      <c r="H246" s="28" t="s">
        <v>1412</v>
      </c>
      <c r="I246" s="27" t="s">
        <v>4</v>
      </c>
      <c r="J246" s="31" t="s">
        <v>21</v>
      </c>
      <c r="K246" s="27" t="s">
        <v>200</v>
      </c>
      <c r="L246" s="27" t="s">
        <v>325</v>
      </c>
      <c r="M246" s="32" t="str">
        <f>HYPERLINK("http://slimages.macys.com/is/image/MCY/3937194 ")</f>
        <v xml:space="preserve">http://slimages.macys.com/is/image/MCY/3937194 </v>
      </c>
    </row>
    <row r="247" spans="1:13" ht="15.2" customHeight="1" x14ac:dyDescent="0.2">
      <c r="A247" s="26" t="s">
        <v>5108</v>
      </c>
      <c r="B247" s="27" t="s">
        <v>5109</v>
      </c>
      <c r="C247" s="28">
        <v>1</v>
      </c>
      <c r="D247" s="29">
        <v>8</v>
      </c>
      <c r="E247" s="29">
        <v>8</v>
      </c>
      <c r="F247" s="30">
        <v>19.989999999999998</v>
      </c>
      <c r="G247" s="29">
        <v>19.989999999999998</v>
      </c>
      <c r="H247" s="28" t="s">
        <v>1362</v>
      </c>
      <c r="I247" s="27" t="s">
        <v>22</v>
      </c>
      <c r="J247" s="31" t="s">
        <v>40</v>
      </c>
      <c r="K247" s="27" t="s">
        <v>224</v>
      </c>
      <c r="L247" s="27" t="s">
        <v>276</v>
      </c>
      <c r="M247" s="32" t="str">
        <f>HYPERLINK("http://slimages.macys.com/is/image/MCY/3814584 ")</f>
        <v xml:space="preserve">http://slimages.macys.com/is/image/MCY/3814584 </v>
      </c>
    </row>
    <row r="248" spans="1:13" ht="15.2" customHeight="1" x14ac:dyDescent="0.2">
      <c r="A248" s="26" t="s">
        <v>9219</v>
      </c>
      <c r="B248" s="27" t="s">
        <v>9220</v>
      </c>
      <c r="C248" s="28">
        <v>1</v>
      </c>
      <c r="D248" s="29">
        <v>7.95</v>
      </c>
      <c r="E248" s="29">
        <v>7.95</v>
      </c>
      <c r="F248" s="30">
        <v>19.989999999999998</v>
      </c>
      <c r="G248" s="29">
        <v>19.989999999999998</v>
      </c>
      <c r="H248" s="28" t="s">
        <v>9221</v>
      </c>
      <c r="I248" s="27" t="s">
        <v>22</v>
      </c>
      <c r="J248" s="31" t="s">
        <v>52</v>
      </c>
      <c r="K248" s="27" t="s">
        <v>196</v>
      </c>
      <c r="L248" s="27" t="s">
        <v>256</v>
      </c>
      <c r="M248" s="32" t="str">
        <f>HYPERLINK("http://slimages.macys.com/is/image/MCY/3609984 ")</f>
        <v xml:space="preserve">http://slimages.macys.com/is/image/MCY/3609984 </v>
      </c>
    </row>
    <row r="249" spans="1:13" ht="15.2" customHeight="1" x14ac:dyDescent="0.2">
      <c r="A249" s="26" t="s">
        <v>9222</v>
      </c>
      <c r="B249" s="27" t="s">
        <v>9223</v>
      </c>
      <c r="C249" s="28">
        <v>1</v>
      </c>
      <c r="D249" s="29">
        <v>7.8</v>
      </c>
      <c r="E249" s="29">
        <v>7.8</v>
      </c>
      <c r="F249" s="30">
        <v>19.989999999999998</v>
      </c>
      <c r="G249" s="29">
        <v>19.989999999999998</v>
      </c>
      <c r="H249" s="28" t="s">
        <v>9224</v>
      </c>
      <c r="I249" s="27" t="s">
        <v>20</v>
      </c>
      <c r="J249" s="31" t="s">
        <v>52</v>
      </c>
      <c r="K249" s="27" t="s">
        <v>70</v>
      </c>
      <c r="L249" s="27" t="s">
        <v>260</v>
      </c>
      <c r="M249" s="32" t="str">
        <f>HYPERLINK("http://slimages.macys.com/is/image/MCY/3624358 ")</f>
        <v xml:space="preserve">http://slimages.macys.com/is/image/MCY/3624358 </v>
      </c>
    </row>
    <row r="250" spans="1:13" ht="15.2" customHeight="1" x14ac:dyDescent="0.2">
      <c r="A250" s="26" t="s">
        <v>9225</v>
      </c>
      <c r="B250" s="27" t="s">
        <v>9226</v>
      </c>
      <c r="C250" s="28">
        <v>1</v>
      </c>
      <c r="D250" s="29">
        <v>7.8</v>
      </c>
      <c r="E250" s="29">
        <v>7.8</v>
      </c>
      <c r="F250" s="30">
        <v>19.989999999999998</v>
      </c>
      <c r="G250" s="29">
        <v>19.989999999999998</v>
      </c>
      <c r="H250" s="28" t="s">
        <v>1895</v>
      </c>
      <c r="I250" s="27" t="s">
        <v>144</v>
      </c>
      <c r="J250" s="31" t="s">
        <v>71</v>
      </c>
      <c r="K250" s="27" t="s">
        <v>196</v>
      </c>
      <c r="L250" s="27" t="s">
        <v>260</v>
      </c>
      <c r="M250" s="32" t="str">
        <f>HYPERLINK("http://slimages.macys.com/is/image/MCY/3798060 ")</f>
        <v xml:space="preserve">http://slimages.macys.com/is/image/MCY/3798060 </v>
      </c>
    </row>
    <row r="251" spans="1:13" ht="15.2" customHeight="1" x14ac:dyDescent="0.2">
      <c r="A251" s="26" t="s">
        <v>9227</v>
      </c>
      <c r="B251" s="27" t="s">
        <v>9228</v>
      </c>
      <c r="C251" s="28">
        <v>1</v>
      </c>
      <c r="D251" s="29">
        <v>7.6</v>
      </c>
      <c r="E251" s="29">
        <v>7.6</v>
      </c>
      <c r="F251" s="30">
        <v>19.989999999999998</v>
      </c>
      <c r="G251" s="29">
        <v>19.989999999999998</v>
      </c>
      <c r="H251" s="28" t="s">
        <v>1420</v>
      </c>
      <c r="I251" s="27" t="s">
        <v>20</v>
      </c>
      <c r="J251" s="31" t="s">
        <v>40</v>
      </c>
      <c r="K251" s="27" t="s">
        <v>196</v>
      </c>
      <c r="L251" s="27" t="s">
        <v>197</v>
      </c>
      <c r="M251" s="32" t="str">
        <f>HYPERLINK("http://slimages.macys.com/is/image/MCY/3651032 ")</f>
        <v xml:space="preserve">http://slimages.macys.com/is/image/MCY/3651032 </v>
      </c>
    </row>
    <row r="252" spans="1:13" ht="15.2" customHeight="1" x14ac:dyDescent="0.2">
      <c r="A252" s="26" t="s">
        <v>9229</v>
      </c>
      <c r="B252" s="27" t="s">
        <v>9230</v>
      </c>
      <c r="C252" s="28">
        <v>1</v>
      </c>
      <c r="D252" s="29">
        <v>7.5</v>
      </c>
      <c r="E252" s="29">
        <v>7.5</v>
      </c>
      <c r="F252" s="30">
        <v>19.989999999999998</v>
      </c>
      <c r="G252" s="29">
        <v>19.989999999999998</v>
      </c>
      <c r="H252" s="28" t="s">
        <v>1428</v>
      </c>
      <c r="I252" s="27" t="s">
        <v>82</v>
      </c>
      <c r="J252" s="31" t="s">
        <v>5</v>
      </c>
      <c r="K252" s="27" t="s">
        <v>196</v>
      </c>
      <c r="L252" s="27" t="s">
        <v>239</v>
      </c>
      <c r="M252" s="32" t="str">
        <f>HYPERLINK("http://slimages.macys.com/is/image/MCY/3787578 ")</f>
        <v xml:space="preserve">http://slimages.macys.com/is/image/MCY/3787578 </v>
      </c>
    </row>
    <row r="253" spans="1:13" ht="15.2" customHeight="1" x14ac:dyDescent="0.2">
      <c r="A253" s="26" t="s">
        <v>9231</v>
      </c>
      <c r="B253" s="27" t="s">
        <v>9232</v>
      </c>
      <c r="C253" s="28">
        <v>1</v>
      </c>
      <c r="D253" s="29">
        <v>7.5</v>
      </c>
      <c r="E253" s="29">
        <v>7.5</v>
      </c>
      <c r="F253" s="30">
        <v>19.989999999999998</v>
      </c>
      <c r="G253" s="29">
        <v>19.989999999999998</v>
      </c>
      <c r="H253" s="28" t="s">
        <v>1428</v>
      </c>
      <c r="I253" s="27" t="s">
        <v>82</v>
      </c>
      <c r="J253" s="31" t="s">
        <v>52</v>
      </c>
      <c r="K253" s="27" t="s">
        <v>196</v>
      </c>
      <c r="L253" s="27" t="s">
        <v>239</v>
      </c>
      <c r="M253" s="32" t="str">
        <f>HYPERLINK("http://slimages.macys.com/is/image/MCY/3787578 ")</f>
        <v xml:space="preserve">http://slimages.macys.com/is/image/MCY/3787578 </v>
      </c>
    </row>
    <row r="254" spans="1:13" ht="15.2" customHeight="1" x14ac:dyDescent="0.2">
      <c r="A254" s="26" t="s">
        <v>9233</v>
      </c>
      <c r="B254" s="27" t="s">
        <v>9234</v>
      </c>
      <c r="C254" s="28">
        <v>1</v>
      </c>
      <c r="D254" s="29">
        <v>7.5</v>
      </c>
      <c r="E254" s="29">
        <v>7.5</v>
      </c>
      <c r="F254" s="30">
        <v>19.989999999999998</v>
      </c>
      <c r="G254" s="29">
        <v>19.989999999999998</v>
      </c>
      <c r="H254" s="28" t="s">
        <v>368</v>
      </c>
      <c r="I254" s="27" t="s">
        <v>248</v>
      </c>
      <c r="J254" s="31" t="s">
        <v>21</v>
      </c>
      <c r="K254" s="27" t="s">
        <v>196</v>
      </c>
      <c r="L254" s="27" t="s">
        <v>336</v>
      </c>
      <c r="M254" s="32" t="str">
        <f>HYPERLINK("http://slimages.macys.com/is/image/MCY/3705540 ")</f>
        <v xml:space="preserve">http://slimages.macys.com/is/image/MCY/3705540 </v>
      </c>
    </row>
    <row r="255" spans="1:13" ht="15.2" customHeight="1" x14ac:dyDescent="0.2">
      <c r="A255" s="26" t="s">
        <v>9235</v>
      </c>
      <c r="B255" s="27" t="s">
        <v>9236</v>
      </c>
      <c r="C255" s="28">
        <v>3</v>
      </c>
      <c r="D255" s="29">
        <v>7.5</v>
      </c>
      <c r="E255" s="29">
        <v>22.5</v>
      </c>
      <c r="F255" s="30">
        <v>19.989999999999998</v>
      </c>
      <c r="G255" s="29">
        <v>59.97</v>
      </c>
      <c r="H255" s="28" t="s">
        <v>1428</v>
      </c>
      <c r="I255" s="27" t="s">
        <v>82</v>
      </c>
      <c r="J255" s="31" t="s">
        <v>21</v>
      </c>
      <c r="K255" s="27" t="s">
        <v>196</v>
      </c>
      <c r="L255" s="27" t="s">
        <v>239</v>
      </c>
      <c r="M255" s="32" t="str">
        <f>HYPERLINK("http://slimages.macys.com/is/image/MCY/3787578 ")</f>
        <v xml:space="preserve">http://slimages.macys.com/is/image/MCY/3787578 </v>
      </c>
    </row>
    <row r="256" spans="1:13" ht="15.2" customHeight="1" x14ac:dyDescent="0.2">
      <c r="A256" s="26" t="s">
        <v>9237</v>
      </c>
      <c r="B256" s="27" t="s">
        <v>9238</v>
      </c>
      <c r="C256" s="28">
        <v>1</v>
      </c>
      <c r="D256" s="29">
        <v>7.5</v>
      </c>
      <c r="E256" s="29">
        <v>7.5</v>
      </c>
      <c r="F256" s="30">
        <v>19.989999999999998</v>
      </c>
      <c r="G256" s="29">
        <v>19.989999999999998</v>
      </c>
      <c r="H256" s="28" t="s">
        <v>4305</v>
      </c>
      <c r="I256" s="27" t="s">
        <v>127</v>
      </c>
      <c r="J256" s="31" t="s">
        <v>5</v>
      </c>
      <c r="K256" s="27" t="s">
        <v>196</v>
      </c>
      <c r="L256" s="27" t="s">
        <v>336</v>
      </c>
      <c r="M256" s="32" t="str">
        <f>HYPERLINK("http://slimages.macys.com/is/image/MCY/3045003 ")</f>
        <v xml:space="preserve">http://slimages.macys.com/is/image/MCY/3045003 </v>
      </c>
    </row>
    <row r="257" spans="1:13" ht="15.2" customHeight="1" x14ac:dyDescent="0.2">
      <c r="A257" s="26" t="s">
        <v>9239</v>
      </c>
      <c r="B257" s="27" t="s">
        <v>9240</v>
      </c>
      <c r="C257" s="28">
        <v>1</v>
      </c>
      <c r="D257" s="29">
        <v>7.25</v>
      </c>
      <c r="E257" s="29">
        <v>7.25</v>
      </c>
      <c r="F257" s="30">
        <v>16.989999999999998</v>
      </c>
      <c r="G257" s="29">
        <v>16.989999999999998</v>
      </c>
      <c r="H257" s="28" t="s">
        <v>8837</v>
      </c>
      <c r="I257" s="27" t="s">
        <v>4</v>
      </c>
      <c r="J257" s="31" t="s">
        <v>71</v>
      </c>
      <c r="K257" s="27" t="s">
        <v>196</v>
      </c>
      <c r="L257" s="27" t="s">
        <v>336</v>
      </c>
      <c r="M257" s="32" t="str">
        <f>HYPERLINK("http://slimages.macys.com/is/image/MCY/3609891 ")</f>
        <v xml:space="preserve">http://slimages.macys.com/is/image/MCY/3609891 </v>
      </c>
    </row>
    <row r="258" spans="1:13" ht="15.2" customHeight="1" x14ac:dyDescent="0.2">
      <c r="A258" s="26" t="s">
        <v>9241</v>
      </c>
      <c r="B258" s="27" t="s">
        <v>9242</v>
      </c>
      <c r="C258" s="28">
        <v>1</v>
      </c>
      <c r="D258" s="29">
        <v>7.25</v>
      </c>
      <c r="E258" s="29">
        <v>7.25</v>
      </c>
      <c r="F258" s="30">
        <v>16.989999999999998</v>
      </c>
      <c r="G258" s="29">
        <v>16.989999999999998</v>
      </c>
      <c r="H258" s="28" t="s">
        <v>8837</v>
      </c>
      <c r="I258" s="27" t="s">
        <v>302</v>
      </c>
      <c r="J258" s="31" t="s">
        <v>71</v>
      </c>
      <c r="K258" s="27" t="s">
        <v>196</v>
      </c>
      <c r="L258" s="27" t="s">
        <v>336</v>
      </c>
      <c r="M258" s="32" t="str">
        <f>HYPERLINK("http://slimages.macys.com/is/image/MCY/3609891 ")</f>
        <v xml:space="preserve">http://slimages.macys.com/is/image/MCY/3609891 </v>
      </c>
    </row>
    <row r="259" spans="1:13" ht="15.2" customHeight="1" x14ac:dyDescent="0.2">
      <c r="A259" s="26" t="s">
        <v>9243</v>
      </c>
      <c r="B259" s="27" t="s">
        <v>9244</v>
      </c>
      <c r="C259" s="28">
        <v>1</v>
      </c>
      <c r="D259" s="29">
        <v>7.25</v>
      </c>
      <c r="E259" s="29">
        <v>7.25</v>
      </c>
      <c r="F259" s="30">
        <v>16.989999999999998</v>
      </c>
      <c r="G259" s="29">
        <v>16.989999999999998</v>
      </c>
      <c r="H259" s="28" t="s">
        <v>8837</v>
      </c>
      <c r="I259" s="27" t="s">
        <v>146</v>
      </c>
      <c r="J259" s="31" t="s">
        <v>71</v>
      </c>
      <c r="K259" s="27" t="s">
        <v>196</v>
      </c>
      <c r="L259" s="27" t="s">
        <v>336</v>
      </c>
      <c r="M259" s="32" t="str">
        <f>HYPERLINK("http://slimages.macys.com/is/image/MCY/3609891 ")</f>
        <v xml:space="preserve">http://slimages.macys.com/is/image/MCY/3609891 </v>
      </c>
    </row>
    <row r="260" spans="1:13" ht="15.2" customHeight="1" x14ac:dyDescent="0.2">
      <c r="A260" s="26" t="s">
        <v>8684</v>
      </c>
      <c r="B260" s="27" t="s">
        <v>8685</v>
      </c>
      <c r="C260" s="28">
        <v>1</v>
      </c>
      <c r="D260" s="29">
        <v>7.25</v>
      </c>
      <c r="E260" s="29">
        <v>7.25</v>
      </c>
      <c r="F260" s="30">
        <v>19.989999999999998</v>
      </c>
      <c r="G260" s="29">
        <v>19.989999999999998</v>
      </c>
      <c r="H260" s="28" t="s">
        <v>8686</v>
      </c>
      <c r="I260" s="27" t="s">
        <v>66</v>
      </c>
      <c r="J260" s="31" t="s">
        <v>5</v>
      </c>
      <c r="K260" s="27" t="s">
        <v>196</v>
      </c>
      <c r="L260" s="27" t="s">
        <v>336</v>
      </c>
      <c r="M260" s="32" t="str">
        <f>HYPERLINK("http://slimages.macys.com/is/image/MCY/3705522 ")</f>
        <v xml:space="preserve">http://slimages.macys.com/is/image/MCY/3705522 </v>
      </c>
    </row>
    <row r="261" spans="1:13" ht="15.2" customHeight="1" x14ac:dyDescent="0.2">
      <c r="A261" s="26" t="s">
        <v>9245</v>
      </c>
      <c r="B261" s="27" t="s">
        <v>9246</v>
      </c>
      <c r="C261" s="28">
        <v>1</v>
      </c>
      <c r="D261" s="29">
        <v>7</v>
      </c>
      <c r="E261" s="29">
        <v>7</v>
      </c>
      <c r="F261" s="30">
        <v>19.989999999999998</v>
      </c>
      <c r="G261" s="29">
        <v>19.989999999999998</v>
      </c>
      <c r="H261" s="28" t="s">
        <v>8419</v>
      </c>
      <c r="I261" s="27" t="s">
        <v>690</v>
      </c>
      <c r="J261" s="31" t="s">
        <v>5</v>
      </c>
      <c r="K261" s="27" t="s">
        <v>196</v>
      </c>
      <c r="L261" s="27" t="s">
        <v>336</v>
      </c>
      <c r="M261" s="32" t="str">
        <f>HYPERLINK("http://slimages.macys.com/is/image/MCY/3755159 ")</f>
        <v xml:space="preserve">http://slimages.macys.com/is/image/MCY/3755159 </v>
      </c>
    </row>
    <row r="262" spans="1:13" ht="15.2" customHeight="1" x14ac:dyDescent="0.2">
      <c r="A262" s="26" t="s">
        <v>9247</v>
      </c>
      <c r="B262" s="27" t="s">
        <v>9248</v>
      </c>
      <c r="C262" s="28">
        <v>1</v>
      </c>
      <c r="D262" s="29">
        <v>7</v>
      </c>
      <c r="E262" s="29">
        <v>7</v>
      </c>
      <c r="F262" s="30">
        <v>16.989999999999998</v>
      </c>
      <c r="G262" s="29">
        <v>16.989999999999998</v>
      </c>
      <c r="H262" s="28">
        <v>60427699</v>
      </c>
      <c r="I262" s="27" t="s">
        <v>661</v>
      </c>
      <c r="J262" s="31" t="s">
        <v>21</v>
      </c>
      <c r="K262" s="27" t="s">
        <v>208</v>
      </c>
      <c r="L262" s="27" t="s">
        <v>255</v>
      </c>
      <c r="M262" s="32" t="str">
        <f>HYPERLINK("http://slimages.macys.com/is/image/MCY/3452266 ")</f>
        <v xml:space="preserve">http://slimages.macys.com/is/image/MCY/3452266 </v>
      </c>
    </row>
    <row r="263" spans="1:13" ht="15.2" customHeight="1" x14ac:dyDescent="0.2">
      <c r="A263" s="26" t="s">
        <v>8693</v>
      </c>
      <c r="B263" s="27" t="s">
        <v>8694</v>
      </c>
      <c r="C263" s="28">
        <v>2</v>
      </c>
      <c r="D263" s="29">
        <v>7</v>
      </c>
      <c r="E263" s="29">
        <v>14</v>
      </c>
      <c r="F263" s="30">
        <v>19.989999999999998</v>
      </c>
      <c r="G263" s="29">
        <v>39.979999999999997</v>
      </c>
      <c r="H263" s="28" t="s">
        <v>2984</v>
      </c>
      <c r="I263" s="27" t="s">
        <v>82</v>
      </c>
      <c r="J263" s="31" t="s">
        <v>40</v>
      </c>
      <c r="K263" s="27" t="s">
        <v>196</v>
      </c>
      <c r="L263" s="27" t="s">
        <v>239</v>
      </c>
      <c r="M263" s="32" t="str">
        <f>HYPERLINK("http://slimages.macys.com/is/image/MCY/3685480 ")</f>
        <v xml:space="preserve">http://slimages.macys.com/is/image/MCY/3685480 </v>
      </c>
    </row>
    <row r="264" spans="1:13" ht="15.2" customHeight="1" x14ac:dyDescent="0.2">
      <c r="A264" s="26" t="s">
        <v>7571</v>
      </c>
      <c r="B264" s="27" t="s">
        <v>7572</v>
      </c>
      <c r="C264" s="28">
        <v>1</v>
      </c>
      <c r="D264" s="29">
        <v>7</v>
      </c>
      <c r="E264" s="29">
        <v>7</v>
      </c>
      <c r="F264" s="30">
        <v>19.989999999999998</v>
      </c>
      <c r="G264" s="29">
        <v>19.989999999999998</v>
      </c>
      <c r="H264" s="28" t="s">
        <v>2987</v>
      </c>
      <c r="I264" s="27" t="s">
        <v>94</v>
      </c>
      <c r="J264" s="31" t="s">
        <v>52</v>
      </c>
      <c r="K264" s="27" t="s">
        <v>282</v>
      </c>
      <c r="L264" s="27" t="s">
        <v>358</v>
      </c>
      <c r="M264" s="32" t="str">
        <f>HYPERLINK("http://slimages.macys.com/is/image/MCY/3832156 ")</f>
        <v xml:space="preserve">http://slimages.macys.com/is/image/MCY/3832156 </v>
      </c>
    </row>
    <row r="265" spans="1:13" ht="15.2" customHeight="1" x14ac:dyDescent="0.2">
      <c r="A265" s="26" t="s">
        <v>9249</v>
      </c>
      <c r="B265" s="27" t="s">
        <v>9250</v>
      </c>
      <c r="C265" s="28">
        <v>1</v>
      </c>
      <c r="D265" s="29">
        <v>7</v>
      </c>
      <c r="E265" s="29">
        <v>7</v>
      </c>
      <c r="F265" s="30">
        <v>19.989999999999998</v>
      </c>
      <c r="G265" s="29">
        <v>19.989999999999998</v>
      </c>
      <c r="H265" s="28" t="s">
        <v>8419</v>
      </c>
      <c r="I265" s="27" t="s">
        <v>690</v>
      </c>
      <c r="J265" s="31" t="s">
        <v>40</v>
      </c>
      <c r="K265" s="27" t="s">
        <v>196</v>
      </c>
      <c r="L265" s="27" t="s">
        <v>336</v>
      </c>
      <c r="M265" s="32" t="str">
        <f>HYPERLINK("http://slimages.macys.com/is/image/MCY/3755159 ")</f>
        <v xml:space="preserve">http://slimages.macys.com/is/image/MCY/3755159 </v>
      </c>
    </row>
    <row r="266" spans="1:13" ht="15.2" customHeight="1" x14ac:dyDescent="0.2">
      <c r="A266" s="26" t="s">
        <v>8697</v>
      </c>
      <c r="B266" s="27" t="s">
        <v>8698</v>
      </c>
      <c r="C266" s="28">
        <v>1</v>
      </c>
      <c r="D266" s="29">
        <v>7</v>
      </c>
      <c r="E266" s="29">
        <v>7</v>
      </c>
      <c r="F266" s="30">
        <v>19.989999999999998</v>
      </c>
      <c r="G266" s="29">
        <v>19.989999999999998</v>
      </c>
      <c r="H266" s="28" t="s">
        <v>8419</v>
      </c>
      <c r="I266" s="27" t="s">
        <v>690</v>
      </c>
      <c r="J266" s="31" t="s">
        <v>21</v>
      </c>
      <c r="K266" s="27" t="s">
        <v>196</v>
      </c>
      <c r="L266" s="27" t="s">
        <v>336</v>
      </c>
      <c r="M266" s="32" t="str">
        <f>HYPERLINK("http://slimages.macys.com/is/image/MCY/3755159 ")</f>
        <v xml:space="preserve">http://slimages.macys.com/is/image/MCY/3755159 </v>
      </c>
    </row>
    <row r="267" spans="1:13" ht="15.2" customHeight="1" x14ac:dyDescent="0.2">
      <c r="A267" s="26" t="s">
        <v>8324</v>
      </c>
      <c r="B267" s="27" t="s">
        <v>8325</v>
      </c>
      <c r="C267" s="28">
        <v>2</v>
      </c>
      <c r="D267" s="29">
        <v>7</v>
      </c>
      <c r="E267" s="29">
        <v>14</v>
      </c>
      <c r="F267" s="30">
        <v>19.989999999999998</v>
      </c>
      <c r="G267" s="29">
        <v>39.979999999999997</v>
      </c>
      <c r="H267" s="28" t="s">
        <v>2984</v>
      </c>
      <c r="I267" s="27" t="s">
        <v>82</v>
      </c>
      <c r="J267" s="31" t="s">
        <v>5</v>
      </c>
      <c r="K267" s="27" t="s">
        <v>196</v>
      </c>
      <c r="L267" s="27" t="s">
        <v>239</v>
      </c>
      <c r="M267" s="32" t="str">
        <f>HYPERLINK("http://slimages.macys.com/is/image/MCY/3685480 ")</f>
        <v xml:space="preserve">http://slimages.macys.com/is/image/MCY/3685480 </v>
      </c>
    </row>
    <row r="268" spans="1:13" ht="15.2" customHeight="1" x14ac:dyDescent="0.2">
      <c r="A268" s="26" t="s">
        <v>9251</v>
      </c>
      <c r="B268" s="27" t="s">
        <v>9252</v>
      </c>
      <c r="C268" s="28">
        <v>1</v>
      </c>
      <c r="D268" s="29">
        <v>7</v>
      </c>
      <c r="E268" s="29">
        <v>7</v>
      </c>
      <c r="F268" s="30">
        <v>19.989999999999998</v>
      </c>
      <c r="G268" s="29">
        <v>19.989999999999998</v>
      </c>
      <c r="H268" s="28" t="s">
        <v>9253</v>
      </c>
      <c r="I268" s="27" t="s">
        <v>94</v>
      </c>
      <c r="J268" s="31" t="s">
        <v>5</v>
      </c>
      <c r="K268" s="27" t="s">
        <v>196</v>
      </c>
      <c r="L268" s="27" t="s">
        <v>336</v>
      </c>
      <c r="M268" s="32" t="str">
        <f>HYPERLINK("http://slimages.macys.com/is/image/MCY/3755159 ")</f>
        <v xml:space="preserve">http://slimages.macys.com/is/image/MCY/3755159 </v>
      </c>
    </row>
    <row r="269" spans="1:13" ht="15.2" customHeight="1" x14ac:dyDescent="0.2">
      <c r="A269" s="26" t="s">
        <v>9254</v>
      </c>
      <c r="B269" s="27" t="s">
        <v>9255</v>
      </c>
      <c r="C269" s="28">
        <v>2</v>
      </c>
      <c r="D269" s="29">
        <v>7</v>
      </c>
      <c r="E269" s="29">
        <v>14</v>
      </c>
      <c r="F269" s="30">
        <v>19.989999999999998</v>
      </c>
      <c r="G269" s="29">
        <v>39.979999999999997</v>
      </c>
      <c r="H269" s="28" t="s">
        <v>9253</v>
      </c>
      <c r="I269" s="27" t="s">
        <v>94</v>
      </c>
      <c r="J269" s="31" t="s">
        <v>40</v>
      </c>
      <c r="K269" s="27" t="s">
        <v>196</v>
      </c>
      <c r="L269" s="27" t="s">
        <v>336</v>
      </c>
      <c r="M269" s="32" t="str">
        <f>HYPERLINK("http://slimages.macys.com/is/image/MCY/3755159 ")</f>
        <v xml:space="preserve">http://slimages.macys.com/is/image/MCY/3755159 </v>
      </c>
    </row>
    <row r="270" spans="1:13" ht="15.2" customHeight="1" x14ac:dyDescent="0.2">
      <c r="A270" s="26" t="s">
        <v>8695</v>
      </c>
      <c r="B270" s="27" t="s">
        <v>8696</v>
      </c>
      <c r="C270" s="28">
        <v>2</v>
      </c>
      <c r="D270" s="29">
        <v>7</v>
      </c>
      <c r="E270" s="29">
        <v>14</v>
      </c>
      <c r="F270" s="30">
        <v>19.989999999999998</v>
      </c>
      <c r="G270" s="29">
        <v>39.979999999999997</v>
      </c>
      <c r="H270" s="28" t="s">
        <v>2984</v>
      </c>
      <c r="I270" s="27" t="s">
        <v>82</v>
      </c>
      <c r="J270" s="31" t="s">
        <v>21</v>
      </c>
      <c r="K270" s="27" t="s">
        <v>196</v>
      </c>
      <c r="L270" s="27" t="s">
        <v>239</v>
      </c>
      <c r="M270" s="32" t="str">
        <f>HYPERLINK("http://slimages.macys.com/is/image/MCY/3685480 ")</f>
        <v xml:space="preserve">http://slimages.macys.com/is/image/MCY/3685480 </v>
      </c>
    </row>
    <row r="271" spans="1:13" ht="15.2" customHeight="1" x14ac:dyDescent="0.2">
      <c r="A271" s="26" t="s">
        <v>9256</v>
      </c>
      <c r="B271" s="27" t="s">
        <v>9257</v>
      </c>
      <c r="C271" s="28">
        <v>1</v>
      </c>
      <c r="D271" s="29">
        <v>7</v>
      </c>
      <c r="E271" s="29">
        <v>7</v>
      </c>
      <c r="F271" s="30">
        <v>19.989999999999998</v>
      </c>
      <c r="G271" s="29">
        <v>19.989999999999998</v>
      </c>
      <c r="H271" s="28" t="s">
        <v>8692</v>
      </c>
      <c r="I271" s="27" t="s">
        <v>4</v>
      </c>
      <c r="J271" s="31" t="s">
        <v>21</v>
      </c>
      <c r="K271" s="27" t="s">
        <v>196</v>
      </c>
      <c r="L271" s="27" t="s">
        <v>336</v>
      </c>
      <c r="M271" s="32" t="str">
        <f>HYPERLINK("http://slimages.macys.com/is/image/MCY/3755159 ")</f>
        <v xml:space="preserve">http://slimages.macys.com/is/image/MCY/3755159 </v>
      </c>
    </row>
    <row r="272" spans="1:13" ht="15.2" customHeight="1" x14ac:dyDescent="0.2">
      <c r="A272" s="26" t="s">
        <v>7569</v>
      </c>
      <c r="B272" s="27" t="s">
        <v>7570</v>
      </c>
      <c r="C272" s="28">
        <v>1</v>
      </c>
      <c r="D272" s="29">
        <v>7</v>
      </c>
      <c r="E272" s="29">
        <v>7</v>
      </c>
      <c r="F272" s="30">
        <v>19.989999999999998</v>
      </c>
      <c r="G272" s="29">
        <v>19.989999999999998</v>
      </c>
      <c r="H272" s="28" t="s">
        <v>2987</v>
      </c>
      <c r="I272" s="27" t="s">
        <v>94</v>
      </c>
      <c r="J272" s="31" t="s">
        <v>5</v>
      </c>
      <c r="K272" s="27" t="s">
        <v>282</v>
      </c>
      <c r="L272" s="27" t="s">
        <v>358</v>
      </c>
      <c r="M272" s="32" t="str">
        <f>HYPERLINK("http://slimages.macys.com/is/image/MCY/3832156 ")</f>
        <v xml:space="preserve">http://slimages.macys.com/is/image/MCY/3832156 </v>
      </c>
    </row>
    <row r="273" spans="1:13" ht="15.2" customHeight="1" x14ac:dyDescent="0.2">
      <c r="A273" s="26" t="s">
        <v>8838</v>
      </c>
      <c r="B273" s="27" t="s">
        <v>8839</v>
      </c>
      <c r="C273" s="28">
        <v>1</v>
      </c>
      <c r="D273" s="29">
        <v>7</v>
      </c>
      <c r="E273" s="29">
        <v>7</v>
      </c>
      <c r="F273" s="30">
        <v>19.989999999999998</v>
      </c>
      <c r="G273" s="29">
        <v>19.989999999999998</v>
      </c>
      <c r="H273" s="28" t="s">
        <v>5137</v>
      </c>
      <c r="I273" s="27" t="s">
        <v>39</v>
      </c>
      <c r="J273" s="31" t="s">
        <v>40</v>
      </c>
      <c r="K273" s="27" t="s">
        <v>196</v>
      </c>
      <c r="L273" s="27" t="s">
        <v>260</v>
      </c>
      <c r="M273" s="32" t="str">
        <f>HYPERLINK("http://slimages.macys.com/is/image/MCY/3787593 ")</f>
        <v xml:space="preserve">http://slimages.macys.com/is/image/MCY/3787593 </v>
      </c>
    </row>
    <row r="274" spans="1:13" ht="15.2" customHeight="1" x14ac:dyDescent="0.2">
      <c r="A274" s="26" t="s">
        <v>9258</v>
      </c>
      <c r="B274" s="27" t="s">
        <v>9259</v>
      </c>
      <c r="C274" s="28">
        <v>1</v>
      </c>
      <c r="D274" s="29">
        <v>7</v>
      </c>
      <c r="E274" s="29">
        <v>7</v>
      </c>
      <c r="F274" s="30">
        <v>19.989999999999998</v>
      </c>
      <c r="G274" s="29">
        <v>19.989999999999998</v>
      </c>
      <c r="H274" s="28" t="s">
        <v>4233</v>
      </c>
      <c r="I274" s="27" t="s">
        <v>4</v>
      </c>
      <c r="J274" s="31" t="s">
        <v>40</v>
      </c>
      <c r="K274" s="27" t="s">
        <v>196</v>
      </c>
      <c r="L274" s="27" t="s">
        <v>260</v>
      </c>
      <c r="M274" s="32" t="str">
        <f>HYPERLINK("http://slimages.macys.com/is/image/MCY/3609986 ")</f>
        <v xml:space="preserve">http://slimages.macys.com/is/image/MCY/3609986 </v>
      </c>
    </row>
    <row r="275" spans="1:13" ht="15.2" customHeight="1" x14ac:dyDescent="0.2">
      <c r="A275" s="26" t="s">
        <v>7567</v>
      </c>
      <c r="B275" s="27" t="s">
        <v>7568</v>
      </c>
      <c r="C275" s="28">
        <v>1</v>
      </c>
      <c r="D275" s="29">
        <v>7</v>
      </c>
      <c r="E275" s="29">
        <v>7</v>
      </c>
      <c r="F275" s="30">
        <v>19.989999999999998</v>
      </c>
      <c r="G275" s="29">
        <v>19.989999999999998</v>
      </c>
      <c r="H275" s="28" t="s">
        <v>2987</v>
      </c>
      <c r="I275" s="27" t="s">
        <v>94</v>
      </c>
      <c r="J275" s="31" t="s">
        <v>21</v>
      </c>
      <c r="K275" s="27" t="s">
        <v>282</v>
      </c>
      <c r="L275" s="27" t="s">
        <v>358</v>
      </c>
      <c r="M275" s="32" t="str">
        <f>HYPERLINK("http://slimages.macys.com/is/image/MCY/3832156 ")</f>
        <v xml:space="preserve">http://slimages.macys.com/is/image/MCY/3832156 </v>
      </c>
    </row>
    <row r="276" spans="1:13" ht="15.2" customHeight="1" x14ac:dyDescent="0.2">
      <c r="A276" s="26" t="s">
        <v>9260</v>
      </c>
      <c r="B276" s="27" t="s">
        <v>9261</v>
      </c>
      <c r="C276" s="28">
        <v>1</v>
      </c>
      <c r="D276" s="29">
        <v>6.85</v>
      </c>
      <c r="E276" s="29">
        <v>6.85</v>
      </c>
      <c r="F276" s="30">
        <v>19.989999999999998</v>
      </c>
      <c r="G276" s="29">
        <v>19.989999999999998</v>
      </c>
      <c r="H276" s="28" t="s">
        <v>2989</v>
      </c>
      <c r="I276" s="27" t="s">
        <v>4</v>
      </c>
      <c r="J276" s="31" t="s">
        <v>71</v>
      </c>
      <c r="K276" s="27" t="s">
        <v>196</v>
      </c>
      <c r="L276" s="27" t="s">
        <v>239</v>
      </c>
      <c r="M276" s="32" t="str">
        <f>HYPERLINK("http://slimages.macys.com/is/image/MCY/3602847 ")</f>
        <v xml:space="preserve">http://slimages.macys.com/is/image/MCY/3602847 </v>
      </c>
    </row>
    <row r="277" spans="1:13" ht="15.2" customHeight="1" x14ac:dyDescent="0.2">
      <c r="A277" s="26" t="s">
        <v>9262</v>
      </c>
      <c r="B277" s="27" t="s">
        <v>9263</v>
      </c>
      <c r="C277" s="28">
        <v>1</v>
      </c>
      <c r="D277" s="29">
        <v>6.85</v>
      </c>
      <c r="E277" s="29">
        <v>6.85</v>
      </c>
      <c r="F277" s="30">
        <v>19.989999999999998</v>
      </c>
      <c r="G277" s="29">
        <v>19.989999999999998</v>
      </c>
      <c r="H277" s="28" t="s">
        <v>2989</v>
      </c>
      <c r="I277" s="27" t="s">
        <v>1311</v>
      </c>
      <c r="J277" s="31" t="s">
        <v>71</v>
      </c>
      <c r="K277" s="27" t="s">
        <v>196</v>
      </c>
      <c r="L277" s="27" t="s">
        <v>239</v>
      </c>
      <c r="M277" s="32" t="str">
        <f>HYPERLINK("http://slimages.macys.com/is/image/MCY/3602847 ")</f>
        <v xml:space="preserve">http://slimages.macys.com/is/image/MCY/3602847 </v>
      </c>
    </row>
    <row r="278" spans="1:13" ht="15.2" customHeight="1" x14ac:dyDescent="0.2">
      <c r="A278" s="26" t="s">
        <v>9264</v>
      </c>
      <c r="B278" s="27" t="s">
        <v>9265</v>
      </c>
      <c r="C278" s="28">
        <v>1</v>
      </c>
      <c r="D278" s="29">
        <v>6.85</v>
      </c>
      <c r="E278" s="29">
        <v>6.85</v>
      </c>
      <c r="F278" s="30">
        <v>19.989999999999998</v>
      </c>
      <c r="G278" s="29">
        <v>19.989999999999998</v>
      </c>
      <c r="H278" s="28" t="s">
        <v>2989</v>
      </c>
      <c r="I278" s="27" t="s">
        <v>66</v>
      </c>
      <c r="J278" s="31" t="s">
        <v>71</v>
      </c>
      <c r="K278" s="27" t="s">
        <v>196</v>
      </c>
      <c r="L278" s="27" t="s">
        <v>239</v>
      </c>
      <c r="M278" s="32" t="str">
        <f>HYPERLINK("http://slimages.macys.com/is/image/MCY/3602847 ")</f>
        <v xml:space="preserve">http://slimages.macys.com/is/image/MCY/3602847 </v>
      </c>
    </row>
    <row r="279" spans="1:13" ht="15.2" customHeight="1" x14ac:dyDescent="0.2">
      <c r="A279" s="26" t="s">
        <v>9266</v>
      </c>
      <c r="B279" s="27" t="s">
        <v>9267</v>
      </c>
      <c r="C279" s="28">
        <v>1</v>
      </c>
      <c r="D279" s="29">
        <v>6.75</v>
      </c>
      <c r="E279" s="29">
        <v>6.75</v>
      </c>
      <c r="F279" s="30">
        <v>13.99</v>
      </c>
      <c r="G279" s="29">
        <v>13.99</v>
      </c>
      <c r="H279" s="28" t="s">
        <v>1916</v>
      </c>
      <c r="I279" s="27" t="s">
        <v>519</v>
      </c>
      <c r="J279" s="31" t="s">
        <v>5</v>
      </c>
      <c r="K279" s="27" t="s">
        <v>282</v>
      </c>
      <c r="L279" s="27" t="s">
        <v>260</v>
      </c>
      <c r="M279" s="32" t="str">
        <f>HYPERLINK("http://slimages.macys.com/is/image/MCY/3561172 ")</f>
        <v xml:space="preserve">http://slimages.macys.com/is/image/MCY/3561172 </v>
      </c>
    </row>
    <row r="280" spans="1:13" ht="15.2" customHeight="1" x14ac:dyDescent="0.2">
      <c r="A280" s="26" t="s">
        <v>9268</v>
      </c>
      <c r="B280" s="27" t="s">
        <v>9269</v>
      </c>
      <c r="C280" s="28">
        <v>1</v>
      </c>
      <c r="D280" s="29">
        <v>6.75</v>
      </c>
      <c r="E280" s="29">
        <v>6.75</v>
      </c>
      <c r="F280" s="30">
        <v>19.989999999999998</v>
      </c>
      <c r="G280" s="29">
        <v>19.989999999999998</v>
      </c>
      <c r="H280" s="28" t="s">
        <v>9270</v>
      </c>
      <c r="I280" s="27" t="s">
        <v>248</v>
      </c>
      <c r="J280" s="31" t="s">
        <v>71</v>
      </c>
      <c r="K280" s="27" t="s">
        <v>196</v>
      </c>
      <c r="L280" s="27" t="s">
        <v>336</v>
      </c>
      <c r="M280" s="32" t="str">
        <f>HYPERLINK("http://slimages.macys.com/is/image/MCY/3755523 ")</f>
        <v xml:space="preserve">http://slimages.macys.com/is/image/MCY/3755523 </v>
      </c>
    </row>
    <row r="281" spans="1:13" ht="15.2" customHeight="1" x14ac:dyDescent="0.2">
      <c r="A281" s="26" t="s">
        <v>9271</v>
      </c>
      <c r="B281" s="27" t="s">
        <v>9272</v>
      </c>
      <c r="C281" s="28">
        <v>1</v>
      </c>
      <c r="D281" s="29">
        <v>6.75</v>
      </c>
      <c r="E281" s="29">
        <v>6.75</v>
      </c>
      <c r="F281" s="30">
        <v>13.99</v>
      </c>
      <c r="G281" s="29">
        <v>13.99</v>
      </c>
      <c r="H281" s="28" t="s">
        <v>1916</v>
      </c>
      <c r="I281" s="27" t="s">
        <v>377</v>
      </c>
      <c r="J281" s="31" t="s">
        <v>52</v>
      </c>
      <c r="K281" s="27" t="s">
        <v>282</v>
      </c>
      <c r="L281" s="27" t="s">
        <v>260</v>
      </c>
      <c r="M281" s="32" t="str">
        <f>HYPERLINK("http://slimages.macys.com/is/image/MCY/3561172 ")</f>
        <v xml:space="preserve">http://slimages.macys.com/is/image/MCY/3561172 </v>
      </c>
    </row>
    <row r="282" spans="1:13" ht="15.2" customHeight="1" x14ac:dyDescent="0.2">
      <c r="A282" s="26" t="s">
        <v>8840</v>
      </c>
      <c r="B282" s="27" t="s">
        <v>7618</v>
      </c>
      <c r="C282" s="28">
        <v>1</v>
      </c>
      <c r="D282" s="29">
        <v>6.72</v>
      </c>
      <c r="E282" s="29">
        <v>6.72</v>
      </c>
      <c r="F282" s="30">
        <v>15.99</v>
      </c>
      <c r="G282" s="29">
        <v>15.99</v>
      </c>
      <c r="H282" s="28" t="s">
        <v>5144</v>
      </c>
      <c r="I282" s="27" t="s">
        <v>82</v>
      </c>
      <c r="J282" s="31" t="s">
        <v>40</v>
      </c>
      <c r="K282" s="27" t="s">
        <v>159</v>
      </c>
      <c r="L282" s="27" t="s">
        <v>160</v>
      </c>
      <c r="M282" s="32" t="str">
        <f>HYPERLINK("http://slimages.macys.com/is/image/MCY/3677454 ")</f>
        <v xml:space="preserve">http://slimages.macys.com/is/image/MCY/3677454 </v>
      </c>
    </row>
    <row r="283" spans="1:13" ht="15.2" customHeight="1" x14ac:dyDescent="0.2">
      <c r="A283" s="26" t="s">
        <v>9273</v>
      </c>
      <c r="B283" s="27" t="s">
        <v>9274</v>
      </c>
      <c r="C283" s="28">
        <v>1</v>
      </c>
      <c r="D283" s="29">
        <v>6.72</v>
      </c>
      <c r="E283" s="29">
        <v>6.72</v>
      </c>
      <c r="F283" s="30">
        <v>15.99</v>
      </c>
      <c r="G283" s="29">
        <v>15.99</v>
      </c>
      <c r="H283" s="28" t="s">
        <v>1444</v>
      </c>
      <c r="I283" s="27" t="s">
        <v>103</v>
      </c>
      <c r="J283" s="31" t="s">
        <v>21</v>
      </c>
      <c r="K283" s="27" t="s">
        <v>159</v>
      </c>
      <c r="L283" s="27" t="s">
        <v>160</v>
      </c>
      <c r="M283" s="32" t="str">
        <f>HYPERLINK("http://slimages.macys.com/is/image/MCY/3677454 ")</f>
        <v xml:space="preserve">http://slimages.macys.com/is/image/MCY/3677454 </v>
      </c>
    </row>
    <row r="284" spans="1:13" ht="15.2" customHeight="1" x14ac:dyDescent="0.2">
      <c r="A284" s="26" t="s">
        <v>9275</v>
      </c>
      <c r="B284" s="27" t="s">
        <v>9276</v>
      </c>
      <c r="C284" s="28">
        <v>1</v>
      </c>
      <c r="D284" s="29">
        <v>6.65</v>
      </c>
      <c r="E284" s="29">
        <v>6.65</v>
      </c>
      <c r="F284" s="30">
        <v>12.99</v>
      </c>
      <c r="G284" s="29">
        <v>12.99</v>
      </c>
      <c r="H284" s="28" t="s">
        <v>5471</v>
      </c>
      <c r="I284" s="27" t="s">
        <v>82</v>
      </c>
      <c r="J284" s="31" t="s">
        <v>879</v>
      </c>
      <c r="K284" s="27" t="s">
        <v>282</v>
      </c>
      <c r="L284" s="27" t="s">
        <v>386</v>
      </c>
      <c r="M284" s="32" t="str">
        <f>HYPERLINK("http://slimages.macys.com/is/image/MCY/3687729 ")</f>
        <v xml:space="preserve">http://slimages.macys.com/is/image/MCY/3687729 </v>
      </c>
    </row>
    <row r="285" spans="1:13" ht="15.2" customHeight="1" x14ac:dyDescent="0.2">
      <c r="A285" s="26" t="s">
        <v>9277</v>
      </c>
      <c r="B285" s="27" t="s">
        <v>9278</v>
      </c>
      <c r="C285" s="28">
        <v>1</v>
      </c>
      <c r="D285" s="29">
        <v>6.65</v>
      </c>
      <c r="E285" s="29">
        <v>6.65</v>
      </c>
      <c r="F285" s="30">
        <v>12.99</v>
      </c>
      <c r="G285" s="29">
        <v>12.99</v>
      </c>
      <c r="H285" s="28" t="s">
        <v>5471</v>
      </c>
      <c r="I285" s="27" t="s">
        <v>82</v>
      </c>
      <c r="J285" s="31" t="s">
        <v>7798</v>
      </c>
      <c r="K285" s="27" t="s">
        <v>282</v>
      </c>
      <c r="L285" s="27" t="s">
        <v>386</v>
      </c>
      <c r="M285" s="32" t="str">
        <f>HYPERLINK("http://slimages.macys.com/is/image/MCY/3687729 ")</f>
        <v xml:space="preserve">http://slimages.macys.com/is/image/MCY/3687729 </v>
      </c>
    </row>
    <row r="286" spans="1:13" ht="15.2" customHeight="1" x14ac:dyDescent="0.2">
      <c r="A286" s="26" t="s">
        <v>9279</v>
      </c>
      <c r="B286" s="27" t="s">
        <v>9280</v>
      </c>
      <c r="C286" s="28">
        <v>1</v>
      </c>
      <c r="D286" s="29">
        <v>6.61</v>
      </c>
      <c r="E286" s="29">
        <v>6.61</v>
      </c>
      <c r="F286" s="30">
        <v>14.99</v>
      </c>
      <c r="G286" s="29">
        <v>14.99</v>
      </c>
      <c r="H286" s="28" t="s">
        <v>8841</v>
      </c>
      <c r="I286" s="27" t="s">
        <v>36</v>
      </c>
      <c r="J286" s="31" t="s">
        <v>40</v>
      </c>
      <c r="K286" s="27" t="s">
        <v>159</v>
      </c>
      <c r="L286" s="27" t="s">
        <v>160</v>
      </c>
      <c r="M286" s="32" t="str">
        <f>HYPERLINK("http://slimages.macys.com/is/image/MCY/3593587 ")</f>
        <v xml:space="preserve">http://slimages.macys.com/is/image/MCY/3593587 </v>
      </c>
    </row>
    <row r="287" spans="1:13" ht="15.2" customHeight="1" x14ac:dyDescent="0.2">
      <c r="A287" s="26" t="s">
        <v>9281</v>
      </c>
      <c r="B287" s="27" t="s">
        <v>9282</v>
      </c>
      <c r="C287" s="28">
        <v>1</v>
      </c>
      <c r="D287" s="29">
        <v>6.61</v>
      </c>
      <c r="E287" s="29">
        <v>6.61</v>
      </c>
      <c r="F287" s="30">
        <v>14.99</v>
      </c>
      <c r="G287" s="29">
        <v>14.99</v>
      </c>
      <c r="H287" s="28" t="s">
        <v>9283</v>
      </c>
      <c r="I287" s="27" t="s">
        <v>661</v>
      </c>
      <c r="J287" s="31" t="s">
        <v>52</v>
      </c>
      <c r="K287" s="27" t="s">
        <v>159</v>
      </c>
      <c r="L287" s="27" t="s">
        <v>160</v>
      </c>
      <c r="M287" s="32" t="str">
        <f>HYPERLINK("http://slimages.macys.com/is/image/MCY/3536158 ")</f>
        <v xml:space="preserve">http://slimages.macys.com/is/image/MCY/3536158 </v>
      </c>
    </row>
    <row r="288" spans="1:13" ht="15.2" customHeight="1" x14ac:dyDescent="0.2">
      <c r="A288" s="26" t="s">
        <v>9284</v>
      </c>
      <c r="B288" s="27" t="s">
        <v>9285</v>
      </c>
      <c r="C288" s="28">
        <v>1</v>
      </c>
      <c r="D288" s="29">
        <v>6.5</v>
      </c>
      <c r="E288" s="29">
        <v>6.5</v>
      </c>
      <c r="F288" s="30">
        <v>12.99</v>
      </c>
      <c r="G288" s="29">
        <v>12.99</v>
      </c>
      <c r="H288" s="28" t="s">
        <v>9286</v>
      </c>
      <c r="I288" s="27"/>
      <c r="J288" s="31" t="s">
        <v>5</v>
      </c>
      <c r="K288" s="27" t="s">
        <v>282</v>
      </c>
      <c r="L288" s="27" t="s">
        <v>327</v>
      </c>
      <c r="M288" s="32" t="str">
        <f>HYPERLINK("http://slimages.macys.com/is/image/MCY/3652677 ")</f>
        <v xml:space="preserve">http://slimages.macys.com/is/image/MCY/3652677 </v>
      </c>
    </row>
    <row r="289" spans="1:13" ht="15.2" customHeight="1" x14ac:dyDescent="0.2">
      <c r="A289" s="26" t="s">
        <v>9287</v>
      </c>
      <c r="B289" s="27" t="s">
        <v>9288</v>
      </c>
      <c r="C289" s="28">
        <v>3</v>
      </c>
      <c r="D289" s="29">
        <v>6.5</v>
      </c>
      <c r="E289" s="29">
        <v>19.5</v>
      </c>
      <c r="F289" s="30">
        <v>12.99</v>
      </c>
      <c r="G289" s="29">
        <v>38.97</v>
      </c>
      <c r="H289" s="28" t="s">
        <v>7432</v>
      </c>
      <c r="I289" s="27" t="s">
        <v>82</v>
      </c>
      <c r="J289" s="31" t="s">
        <v>5</v>
      </c>
      <c r="K289" s="27" t="s">
        <v>282</v>
      </c>
      <c r="L289" s="27" t="s">
        <v>327</v>
      </c>
      <c r="M289" s="32" t="str">
        <f>HYPERLINK("http://slimages.macys.com/is/image/MCY/3652700 ")</f>
        <v xml:space="preserve">http://slimages.macys.com/is/image/MCY/3652700 </v>
      </c>
    </row>
    <row r="290" spans="1:13" ht="15.2" customHeight="1" x14ac:dyDescent="0.2">
      <c r="A290" s="26" t="s">
        <v>9289</v>
      </c>
      <c r="B290" s="27" t="s">
        <v>9290</v>
      </c>
      <c r="C290" s="28">
        <v>1</v>
      </c>
      <c r="D290" s="29">
        <v>6.5</v>
      </c>
      <c r="E290" s="29">
        <v>6.5</v>
      </c>
      <c r="F290" s="30">
        <v>12.99</v>
      </c>
      <c r="G290" s="29">
        <v>12.99</v>
      </c>
      <c r="H290" s="28" t="s">
        <v>7432</v>
      </c>
      <c r="I290" s="27" t="s">
        <v>82</v>
      </c>
      <c r="J290" s="31" t="s">
        <v>52</v>
      </c>
      <c r="K290" s="27" t="s">
        <v>282</v>
      </c>
      <c r="L290" s="27" t="s">
        <v>327</v>
      </c>
      <c r="M290" s="32" t="str">
        <f>HYPERLINK("http://slimages.macys.com/is/image/MCY/3652700 ")</f>
        <v xml:space="preserve">http://slimages.macys.com/is/image/MCY/3652700 </v>
      </c>
    </row>
    <row r="291" spans="1:13" ht="15.2" customHeight="1" x14ac:dyDescent="0.2">
      <c r="A291" s="26" t="s">
        <v>5472</v>
      </c>
      <c r="B291" s="27" t="s">
        <v>5473</v>
      </c>
      <c r="C291" s="28">
        <v>1</v>
      </c>
      <c r="D291" s="29">
        <v>6.5</v>
      </c>
      <c r="E291" s="29">
        <v>6.5</v>
      </c>
      <c r="F291" s="30">
        <v>12.99</v>
      </c>
      <c r="G291" s="29">
        <v>12.99</v>
      </c>
      <c r="H291" s="28" t="s">
        <v>5474</v>
      </c>
      <c r="I291" s="27" t="s">
        <v>189</v>
      </c>
      <c r="J291" s="31" t="s">
        <v>21</v>
      </c>
      <c r="K291" s="27" t="s">
        <v>282</v>
      </c>
      <c r="L291" s="27" t="s">
        <v>327</v>
      </c>
      <c r="M291" s="32" t="str">
        <f>HYPERLINK("http://slimages.macys.com/is/image/MCY/3773733 ")</f>
        <v xml:space="preserve">http://slimages.macys.com/is/image/MCY/3773733 </v>
      </c>
    </row>
    <row r="292" spans="1:13" ht="15.2" customHeight="1" x14ac:dyDescent="0.2">
      <c r="A292" s="26" t="s">
        <v>9291</v>
      </c>
      <c r="B292" s="27" t="s">
        <v>9292</v>
      </c>
      <c r="C292" s="28">
        <v>1</v>
      </c>
      <c r="D292" s="29">
        <v>6.5</v>
      </c>
      <c r="E292" s="29">
        <v>6.5</v>
      </c>
      <c r="F292" s="30">
        <v>16.989999999999998</v>
      </c>
      <c r="G292" s="29">
        <v>16.989999999999998</v>
      </c>
      <c r="H292" s="28" t="s">
        <v>9293</v>
      </c>
      <c r="I292" s="27" t="s">
        <v>4</v>
      </c>
      <c r="J292" s="31" t="s">
        <v>5</v>
      </c>
      <c r="K292" s="27" t="s">
        <v>196</v>
      </c>
      <c r="L292" s="27" t="s">
        <v>1808</v>
      </c>
      <c r="M292" s="32" t="str">
        <f>HYPERLINK("http://slimages.macys.com/is/image/MCY/3734842 ")</f>
        <v xml:space="preserve">http://slimages.macys.com/is/image/MCY/3734842 </v>
      </c>
    </row>
    <row r="293" spans="1:13" ht="15.2" customHeight="1" x14ac:dyDescent="0.2">
      <c r="A293" s="26" t="s">
        <v>8703</v>
      </c>
      <c r="B293" s="27" t="s">
        <v>8704</v>
      </c>
      <c r="C293" s="28">
        <v>1</v>
      </c>
      <c r="D293" s="29">
        <v>6.5</v>
      </c>
      <c r="E293" s="29">
        <v>6.5</v>
      </c>
      <c r="F293" s="30">
        <v>12.99</v>
      </c>
      <c r="G293" s="29">
        <v>12.99</v>
      </c>
      <c r="H293" s="28" t="s">
        <v>7432</v>
      </c>
      <c r="I293" s="27" t="s">
        <v>82</v>
      </c>
      <c r="J293" s="31" t="s">
        <v>21</v>
      </c>
      <c r="K293" s="27" t="s">
        <v>282</v>
      </c>
      <c r="L293" s="27" t="s">
        <v>327</v>
      </c>
      <c r="M293" s="32" t="str">
        <f>HYPERLINK("http://slimages.macys.com/is/image/MCY/3652700 ")</f>
        <v xml:space="preserve">http://slimages.macys.com/is/image/MCY/3652700 </v>
      </c>
    </row>
    <row r="294" spans="1:13" ht="15.2" customHeight="1" x14ac:dyDescent="0.2">
      <c r="A294" s="26" t="s">
        <v>9294</v>
      </c>
      <c r="B294" s="27" t="s">
        <v>9295</v>
      </c>
      <c r="C294" s="28">
        <v>1</v>
      </c>
      <c r="D294" s="29">
        <v>6.33</v>
      </c>
      <c r="E294" s="29">
        <v>6.33</v>
      </c>
      <c r="F294" s="30">
        <v>14.99</v>
      </c>
      <c r="G294" s="29">
        <v>14.99</v>
      </c>
      <c r="H294" s="28" t="s">
        <v>9296</v>
      </c>
      <c r="I294" s="27" t="s">
        <v>4</v>
      </c>
      <c r="J294" s="31" t="s">
        <v>71</v>
      </c>
      <c r="K294" s="27" t="s">
        <v>159</v>
      </c>
      <c r="L294" s="27" t="s">
        <v>160</v>
      </c>
      <c r="M294" s="32" t="str">
        <f>HYPERLINK("http://slimages.macys.com/is/image/MCY/3536163 ")</f>
        <v xml:space="preserve">http://slimages.macys.com/is/image/MCY/3536163 </v>
      </c>
    </row>
    <row r="295" spans="1:13" ht="15.2" customHeight="1" x14ac:dyDescent="0.2">
      <c r="A295" s="26" t="s">
        <v>8538</v>
      </c>
      <c r="B295" s="27" t="s">
        <v>8539</v>
      </c>
      <c r="C295" s="28">
        <v>1</v>
      </c>
      <c r="D295" s="29">
        <v>6.3</v>
      </c>
      <c r="E295" s="29">
        <v>6.3</v>
      </c>
      <c r="F295" s="30">
        <v>14.99</v>
      </c>
      <c r="G295" s="29">
        <v>14.99</v>
      </c>
      <c r="H295" s="28" t="s">
        <v>1461</v>
      </c>
      <c r="I295" s="27" t="s">
        <v>103</v>
      </c>
      <c r="J295" s="31" t="s">
        <v>40</v>
      </c>
      <c r="K295" s="27" t="s">
        <v>159</v>
      </c>
      <c r="L295" s="27" t="s">
        <v>160</v>
      </c>
      <c r="M295" s="32" t="str">
        <f>HYPERLINK("http://slimages.macys.com/is/image/MCY/3369092 ")</f>
        <v xml:space="preserve">http://slimages.macys.com/is/image/MCY/3369092 </v>
      </c>
    </row>
    <row r="296" spans="1:13" ht="15.2" customHeight="1" x14ac:dyDescent="0.2">
      <c r="A296" s="26" t="s">
        <v>9297</v>
      </c>
      <c r="B296" s="27" t="s">
        <v>9298</v>
      </c>
      <c r="C296" s="28">
        <v>2</v>
      </c>
      <c r="D296" s="29">
        <v>6.3</v>
      </c>
      <c r="E296" s="29">
        <v>12.6</v>
      </c>
      <c r="F296" s="30">
        <v>16.989999999999998</v>
      </c>
      <c r="G296" s="29">
        <v>33.979999999999997</v>
      </c>
      <c r="H296" s="28" t="s">
        <v>8327</v>
      </c>
      <c r="I296" s="27" t="s">
        <v>82</v>
      </c>
      <c r="J296" s="31" t="s">
        <v>40</v>
      </c>
      <c r="K296" s="27" t="s">
        <v>159</v>
      </c>
      <c r="L296" s="27" t="s">
        <v>160</v>
      </c>
      <c r="M296" s="32" t="str">
        <f>HYPERLINK("http://slimages.macys.com/is/image/MCY/3623500 ")</f>
        <v xml:space="preserve">http://slimages.macys.com/is/image/MCY/3623500 </v>
      </c>
    </row>
    <row r="297" spans="1:13" ht="15.2" customHeight="1" x14ac:dyDescent="0.2">
      <c r="A297" s="26" t="s">
        <v>9299</v>
      </c>
      <c r="B297" s="27" t="s">
        <v>9300</v>
      </c>
      <c r="C297" s="28">
        <v>1</v>
      </c>
      <c r="D297" s="29">
        <v>6.3</v>
      </c>
      <c r="E297" s="29">
        <v>6.3</v>
      </c>
      <c r="F297" s="30">
        <v>14.99</v>
      </c>
      <c r="G297" s="29">
        <v>14.99</v>
      </c>
      <c r="H297" s="28" t="s">
        <v>8705</v>
      </c>
      <c r="I297" s="27" t="s">
        <v>4</v>
      </c>
      <c r="J297" s="31" t="s">
        <v>52</v>
      </c>
      <c r="K297" s="27" t="s">
        <v>159</v>
      </c>
      <c r="L297" s="27" t="s">
        <v>160</v>
      </c>
      <c r="M297" s="32" t="str">
        <f>HYPERLINK("http://slimages.macys.com/is/image/MCY/3396798 ")</f>
        <v xml:space="preserve">http://slimages.macys.com/is/image/MCY/3396798 </v>
      </c>
    </row>
    <row r="298" spans="1:13" ht="15.2" customHeight="1" x14ac:dyDescent="0.2">
      <c r="A298" s="26" t="s">
        <v>7577</v>
      </c>
      <c r="B298" s="27" t="s">
        <v>7578</v>
      </c>
      <c r="C298" s="28">
        <v>1</v>
      </c>
      <c r="D298" s="29">
        <v>6.3</v>
      </c>
      <c r="E298" s="29">
        <v>6.3</v>
      </c>
      <c r="F298" s="30">
        <v>16.989999999999998</v>
      </c>
      <c r="G298" s="29">
        <v>16.989999999999998</v>
      </c>
      <c r="H298" s="28" t="s">
        <v>7579</v>
      </c>
      <c r="I298" s="27" t="s">
        <v>4</v>
      </c>
      <c r="J298" s="31" t="s">
        <v>40</v>
      </c>
      <c r="K298" s="27" t="s">
        <v>159</v>
      </c>
      <c r="L298" s="27" t="s">
        <v>160</v>
      </c>
      <c r="M298" s="32" t="str">
        <f>HYPERLINK("http://slimages.macys.com/is/image/MCY/3623500 ")</f>
        <v xml:space="preserve">http://slimages.macys.com/is/image/MCY/3623500 </v>
      </c>
    </row>
    <row r="299" spans="1:13" ht="15.2" customHeight="1" x14ac:dyDescent="0.2">
      <c r="A299" s="26" t="s">
        <v>8846</v>
      </c>
      <c r="B299" s="27" t="s">
        <v>8847</v>
      </c>
      <c r="C299" s="28">
        <v>1</v>
      </c>
      <c r="D299" s="29">
        <v>6.26</v>
      </c>
      <c r="E299" s="29">
        <v>6.26</v>
      </c>
      <c r="F299" s="30">
        <v>14.99</v>
      </c>
      <c r="G299" s="29">
        <v>14.99</v>
      </c>
      <c r="H299" s="28" t="s">
        <v>8848</v>
      </c>
      <c r="I299" s="27" t="s">
        <v>1</v>
      </c>
      <c r="J299" s="31" t="s">
        <v>71</v>
      </c>
      <c r="K299" s="27" t="s">
        <v>159</v>
      </c>
      <c r="L299" s="27" t="s">
        <v>160</v>
      </c>
      <c r="M299" s="32" t="str">
        <f>HYPERLINK("http://slimages.macys.com/is/image/MCY/3497163 ")</f>
        <v xml:space="preserve">http://slimages.macys.com/is/image/MCY/3497163 </v>
      </c>
    </row>
    <row r="300" spans="1:13" ht="15.2" customHeight="1" x14ac:dyDescent="0.2">
      <c r="A300" s="26" t="s">
        <v>9301</v>
      </c>
      <c r="B300" s="27" t="s">
        <v>9302</v>
      </c>
      <c r="C300" s="28">
        <v>1</v>
      </c>
      <c r="D300" s="29">
        <v>6.25</v>
      </c>
      <c r="E300" s="29">
        <v>6.25</v>
      </c>
      <c r="F300" s="30">
        <v>14.99</v>
      </c>
      <c r="G300" s="29">
        <v>14.99</v>
      </c>
      <c r="H300" s="28" t="s">
        <v>8854</v>
      </c>
      <c r="I300" s="27" t="s">
        <v>20</v>
      </c>
      <c r="J300" s="31" t="s">
        <v>65</v>
      </c>
      <c r="K300" s="27" t="s">
        <v>159</v>
      </c>
      <c r="L300" s="27" t="s">
        <v>160</v>
      </c>
      <c r="M300" s="32" t="str">
        <f>HYPERLINK("http://slimages.macys.com/is/image/MCY/3475072 ")</f>
        <v xml:space="preserve">http://slimages.macys.com/is/image/MCY/3475072 </v>
      </c>
    </row>
    <row r="301" spans="1:13" ht="15.2" customHeight="1" x14ac:dyDescent="0.2">
      <c r="A301" s="26" t="s">
        <v>8708</v>
      </c>
      <c r="B301" s="27" t="s">
        <v>8709</v>
      </c>
      <c r="C301" s="28">
        <v>1</v>
      </c>
      <c r="D301" s="29">
        <v>6.25</v>
      </c>
      <c r="E301" s="29">
        <v>6.25</v>
      </c>
      <c r="F301" s="30">
        <v>12.99</v>
      </c>
      <c r="G301" s="29">
        <v>12.99</v>
      </c>
      <c r="H301" s="28" t="s">
        <v>1470</v>
      </c>
      <c r="I301" s="27" t="s">
        <v>215</v>
      </c>
      <c r="J301" s="31" t="s">
        <v>21</v>
      </c>
      <c r="K301" s="27" t="s">
        <v>282</v>
      </c>
      <c r="L301" s="27" t="s">
        <v>283</v>
      </c>
      <c r="M301" s="32" t="str">
        <f>HYPERLINK("http://slimages.macys.com/is/image/MCY/3773406 ")</f>
        <v xml:space="preserve">http://slimages.macys.com/is/image/MCY/3773406 </v>
      </c>
    </row>
    <row r="302" spans="1:13" ht="15.2" customHeight="1" x14ac:dyDescent="0.2">
      <c r="A302" s="26" t="s">
        <v>8706</v>
      </c>
      <c r="B302" s="27" t="s">
        <v>8707</v>
      </c>
      <c r="C302" s="28">
        <v>1</v>
      </c>
      <c r="D302" s="29">
        <v>6.25</v>
      </c>
      <c r="E302" s="29">
        <v>6.25</v>
      </c>
      <c r="F302" s="30">
        <v>12.99</v>
      </c>
      <c r="G302" s="29">
        <v>12.99</v>
      </c>
      <c r="H302" s="28" t="s">
        <v>1470</v>
      </c>
      <c r="I302" s="27" t="s">
        <v>215</v>
      </c>
      <c r="J302" s="31" t="s">
        <v>5</v>
      </c>
      <c r="K302" s="27" t="s">
        <v>282</v>
      </c>
      <c r="L302" s="27" t="s">
        <v>283</v>
      </c>
      <c r="M302" s="32" t="str">
        <f>HYPERLINK("http://slimages.macys.com/is/image/MCY/3773406 ")</f>
        <v xml:space="preserve">http://slimages.macys.com/is/image/MCY/3773406 </v>
      </c>
    </row>
    <row r="303" spans="1:13" ht="15.2" customHeight="1" x14ac:dyDescent="0.2">
      <c r="A303" s="26" t="s">
        <v>8850</v>
      </c>
      <c r="B303" s="27" t="s">
        <v>8851</v>
      </c>
      <c r="C303" s="28">
        <v>2</v>
      </c>
      <c r="D303" s="29">
        <v>6.25</v>
      </c>
      <c r="E303" s="29">
        <v>12.5</v>
      </c>
      <c r="F303" s="30">
        <v>14.99</v>
      </c>
      <c r="G303" s="29">
        <v>29.98</v>
      </c>
      <c r="H303" s="28" t="s">
        <v>7149</v>
      </c>
      <c r="I303" s="27" t="s">
        <v>103</v>
      </c>
      <c r="J303" s="31" t="s">
        <v>21</v>
      </c>
      <c r="K303" s="27" t="s">
        <v>159</v>
      </c>
      <c r="L303" s="27" t="s">
        <v>160</v>
      </c>
      <c r="M303" s="32" t="str">
        <f>HYPERLINK("http://slimages.macys.com/is/image/MCY/3536156 ")</f>
        <v xml:space="preserve">http://slimages.macys.com/is/image/MCY/3536156 </v>
      </c>
    </row>
    <row r="304" spans="1:13" ht="15.2" customHeight="1" x14ac:dyDescent="0.2">
      <c r="A304" s="26" t="s">
        <v>9303</v>
      </c>
      <c r="B304" s="27" t="s">
        <v>9304</v>
      </c>
      <c r="C304" s="28">
        <v>2</v>
      </c>
      <c r="D304" s="29">
        <v>6.25</v>
      </c>
      <c r="E304" s="29">
        <v>12.5</v>
      </c>
      <c r="F304" s="30">
        <v>14.99</v>
      </c>
      <c r="G304" s="29">
        <v>29.98</v>
      </c>
      <c r="H304" s="28" t="s">
        <v>8854</v>
      </c>
      <c r="I304" s="27" t="s">
        <v>20</v>
      </c>
      <c r="J304" s="31" t="s">
        <v>52</v>
      </c>
      <c r="K304" s="27" t="s">
        <v>159</v>
      </c>
      <c r="L304" s="27" t="s">
        <v>160</v>
      </c>
      <c r="M304" s="32" t="str">
        <f>HYPERLINK("http://slimages.macys.com/is/image/MCY/3475072 ")</f>
        <v xml:space="preserve">http://slimages.macys.com/is/image/MCY/3475072 </v>
      </c>
    </row>
    <row r="305" spans="1:13" ht="15.2" customHeight="1" x14ac:dyDescent="0.2">
      <c r="A305" s="26" t="s">
        <v>8852</v>
      </c>
      <c r="B305" s="27" t="s">
        <v>8853</v>
      </c>
      <c r="C305" s="28">
        <v>2</v>
      </c>
      <c r="D305" s="29">
        <v>6.25</v>
      </c>
      <c r="E305" s="29">
        <v>12.5</v>
      </c>
      <c r="F305" s="30">
        <v>16.989999999999998</v>
      </c>
      <c r="G305" s="29">
        <v>33.979999999999997</v>
      </c>
      <c r="H305" s="28" t="s">
        <v>3917</v>
      </c>
      <c r="I305" s="27" t="s">
        <v>189</v>
      </c>
      <c r="J305" s="31" t="s">
        <v>40</v>
      </c>
      <c r="K305" s="27" t="s">
        <v>196</v>
      </c>
      <c r="L305" s="27" t="s">
        <v>225</v>
      </c>
      <c r="M305" s="32" t="str">
        <f>HYPERLINK("http://slimages.macys.com/is/image/MCY/3721365 ")</f>
        <v xml:space="preserve">http://slimages.macys.com/is/image/MCY/3721365 </v>
      </c>
    </row>
    <row r="306" spans="1:13" ht="15.2" customHeight="1" x14ac:dyDescent="0.2">
      <c r="A306" s="26" t="s">
        <v>8710</v>
      </c>
      <c r="B306" s="27" t="s">
        <v>8711</v>
      </c>
      <c r="C306" s="28">
        <v>2</v>
      </c>
      <c r="D306" s="29">
        <v>6.25</v>
      </c>
      <c r="E306" s="29">
        <v>12.5</v>
      </c>
      <c r="F306" s="30">
        <v>16.989999999999998</v>
      </c>
      <c r="G306" s="29">
        <v>33.979999999999997</v>
      </c>
      <c r="H306" s="28" t="s">
        <v>3917</v>
      </c>
      <c r="I306" s="27" t="s">
        <v>189</v>
      </c>
      <c r="J306" s="31" t="s">
        <v>21</v>
      </c>
      <c r="K306" s="27" t="s">
        <v>196</v>
      </c>
      <c r="L306" s="27" t="s">
        <v>225</v>
      </c>
      <c r="M306" s="32" t="str">
        <f>HYPERLINK("http://slimages.macys.com/is/image/MCY/3721365 ")</f>
        <v xml:space="preserve">http://slimages.macys.com/is/image/MCY/3721365 </v>
      </c>
    </row>
    <row r="307" spans="1:13" ht="15.2" customHeight="1" x14ac:dyDescent="0.2">
      <c r="A307" s="26" t="s">
        <v>7687</v>
      </c>
      <c r="B307" s="27" t="s">
        <v>7688</v>
      </c>
      <c r="C307" s="28">
        <v>1</v>
      </c>
      <c r="D307" s="29">
        <v>6.25</v>
      </c>
      <c r="E307" s="29">
        <v>6.25</v>
      </c>
      <c r="F307" s="30">
        <v>12.99</v>
      </c>
      <c r="G307" s="29">
        <v>12.99</v>
      </c>
      <c r="H307" s="28" t="s">
        <v>1470</v>
      </c>
      <c r="I307" s="27" t="s">
        <v>215</v>
      </c>
      <c r="J307" s="31" t="s">
        <v>40</v>
      </c>
      <c r="K307" s="27" t="s">
        <v>282</v>
      </c>
      <c r="L307" s="27" t="s">
        <v>283</v>
      </c>
      <c r="M307" s="32" t="str">
        <f>HYPERLINK("http://slimages.macys.com/is/image/MCY/3773406 ")</f>
        <v xml:space="preserve">http://slimages.macys.com/is/image/MCY/3773406 </v>
      </c>
    </row>
    <row r="308" spans="1:13" ht="15.2" customHeight="1" x14ac:dyDescent="0.2">
      <c r="A308" s="26" t="s">
        <v>9305</v>
      </c>
      <c r="B308" s="27" t="s">
        <v>9306</v>
      </c>
      <c r="C308" s="28">
        <v>2</v>
      </c>
      <c r="D308" s="29">
        <v>6.2</v>
      </c>
      <c r="E308" s="29">
        <v>12.4</v>
      </c>
      <c r="F308" s="30">
        <v>14.99</v>
      </c>
      <c r="G308" s="29">
        <v>29.98</v>
      </c>
      <c r="H308" s="28" t="s">
        <v>8855</v>
      </c>
      <c r="I308" s="27" t="s">
        <v>1</v>
      </c>
      <c r="J308" s="31" t="s">
        <v>71</v>
      </c>
      <c r="K308" s="27" t="s">
        <v>159</v>
      </c>
      <c r="L308" s="27" t="s">
        <v>160</v>
      </c>
      <c r="M308" s="32" t="str">
        <f>HYPERLINK("http://slimages.macys.com/is/image/MCY/3450570 ")</f>
        <v xml:space="preserve">http://slimages.macys.com/is/image/MCY/3450570 </v>
      </c>
    </row>
    <row r="309" spans="1:13" ht="15.2" customHeight="1" x14ac:dyDescent="0.2">
      <c r="A309" s="26" t="s">
        <v>9307</v>
      </c>
      <c r="B309" s="27" t="s">
        <v>9308</v>
      </c>
      <c r="C309" s="28">
        <v>1</v>
      </c>
      <c r="D309" s="29">
        <v>6</v>
      </c>
      <c r="E309" s="29">
        <v>6</v>
      </c>
      <c r="F309" s="30">
        <v>12.99</v>
      </c>
      <c r="G309" s="29">
        <v>12.99</v>
      </c>
      <c r="H309" s="28" t="s">
        <v>9309</v>
      </c>
      <c r="I309" s="27" t="s">
        <v>29</v>
      </c>
      <c r="J309" s="31" t="s">
        <v>40</v>
      </c>
      <c r="K309" s="27" t="s">
        <v>282</v>
      </c>
      <c r="L309" s="27" t="s">
        <v>225</v>
      </c>
      <c r="M309" s="32" t="str">
        <f>HYPERLINK("http://slimages.macys.com/is/image/MCY/3719728 ")</f>
        <v xml:space="preserve">http://slimages.macys.com/is/image/MCY/3719728 </v>
      </c>
    </row>
    <row r="310" spans="1:13" ht="15.2" customHeight="1" x14ac:dyDescent="0.2">
      <c r="A310" s="26" t="s">
        <v>9310</v>
      </c>
      <c r="B310" s="27" t="s">
        <v>9311</v>
      </c>
      <c r="C310" s="28">
        <v>1</v>
      </c>
      <c r="D310" s="29">
        <v>6</v>
      </c>
      <c r="E310" s="29">
        <v>6</v>
      </c>
      <c r="F310" s="30">
        <v>12.99</v>
      </c>
      <c r="G310" s="29">
        <v>12.99</v>
      </c>
      <c r="H310" s="28" t="s">
        <v>9309</v>
      </c>
      <c r="I310" s="27" t="s">
        <v>29</v>
      </c>
      <c r="J310" s="31" t="s">
        <v>5</v>
      </c>
      <c r="K310" s="27" t="s">
        <v>282</v>
      </c>
      <c r="L310" s="27" t="s">
        <v>225</v>
      </c>
      <c r="M310" s="32" t="str">
        <f>HYPERLINK("http://slimages.macys.com/is/image/MCY/3719728 ")</f>
        <v xml:space="preserve">http://slimages.macys.com/is/image/MCY/3719728 </v>
      </c>
    </row>
    <row r="311" spans="1:13" ht="15.2" customHeight="1" x14ac:dyDescent="0.2">
      <c r="A311" s="26" t="s">
        <v>8712</v>
      </c>
      <c r="B311" s="27" t="s">
        <v>8713</v>
      </c>
      <c r="C311" s="28">
        <v>1</v>
      </c>
      <c r="D311" s="29">
        <v>6</v>
      </c>
      <c r="E311" s="29">
        <v>6</v>
      </c>
      <c r="F311" s="30">
        <v>12.99</v>
      </c>
      <c r="G311" s="29">
        <v>12.99</v>
      </c>
      <c r="H311" s="28" t="s">
        <v>1932</v>
      </c>
      <c r="I311" s="27" t="s">
        <v>144</v>
      </c>
      <c r="J311" s="31" t="s">
        <v>21</v>
      </c>
      <c r="K311" s="27" t="s">
        <v>282</v>
      </c>
      <c r="L311" s="27" t="s">
        <v>283</v>
      </c>
      <c r="M311" s="32" t="str">
        <f>HYPERLINK("http://slimages.macys.com/is/image/MCY/3924259 ")</f>
        <v xml:space="preserve">http://slimages.macys.com/is/image/MCY/3924259 </v>
      </c>
    </row>
    <row r="312" spans="1:13" ht="15.2" customHeight="1" x14ac:dyDescent="0.2">
      <c r="A312" s="26" t="s">
        <v>9312</v>
      </c>
      <c r="B312" s="27" t="s">
        <v>9313</v>
      </c>
      <c r="C312" s="28">
        <v>1</v>
      </c>
      <c r="D312" s="29">
        <v>6</v>
      </c>
      <c r="E312" s="29">
        <v>6</v>
      </c>
      <c r="F312" s="30">
        <v>13.99</v>
      </c>
      <c r="G312" s="29">
        <v>13.99</v>
      </c>
      <c r="H312" s="28" t="s">
        <v>1473</v>
      </c>
      <c r="I312" s="27" t="s">
        <v>39</v>
      </c>
      <c r="J312" s="31" t="s">
        <v>21</v>
      </c>
      <c r="K312" s="27" t="s">
        <v>282</v>
      </c>
      <c r="L312" s="27" t="s">
        <v>260</v>
      </c>
      <c r="M312" s="32" t="str">
        <f>HYPERLINK("http://slimages.macys.com/is/image/MCY/3684250 ")</f>
        <v xml:space="preserve">http://slimages.macys.com/is/image/MCY/3684250 </v>
      </c>
    </row>
    <row r="313" spans="1:13" ht="15.2" customHeight="1" x14ac:dyDescent="0.2">
      <c r="A313" s="26" t="s">
        <v>9314</v>
      </c>
      <c r="B313" s="27" t="s">
        <v>9315</v>
      </c>
      <c r="C313" s="28">
        <v>1</v>
      </c>
      <c r="D313" s="29">
        <v>5.95</v>
      </c>
      <c r="E313" s="29">
        <v>5.95</v>
      </c>
      <c r="F313" s="30">
        <v>12.99</v>
      </c>
      <c r="G313" s="29">
        <v>12.99</v>
      </c>
      <c r="H313" s="28" t="s">
        <v>1519</v>
      </c>
      <c r="I313" s="27" t="s">
        <v>82</v>
      </c>
      <c r="J313" s="31" t="s">
        <v>40</v>
      </c>
      <c r="K313" s="27" t="s">
        <v>282</v>
      </c>
      <c r="L313" s="27" t="s">
        <v>358</v>
      </c>
      <c r="M313" s="32" t="str">
        <f>HYPERLINK("http://slimages.macys.com/is/image/MCY/3773921 ")</f>
        <v xml:space="preserve">http://slimages.macys.com/is/image/MCY/3773921 </v>
      </c>
    </row>
    <row r="314" spans="1:13" ht="15.2" customHeight="1" x14ac:dyDescent="0.2">
      <c r="A314" s="26" t="s">
        <v>9316</v>
      </c>
      <c r="B314" s="27" t="s">
        <v>9317</v>
      </c>
      <c r="C314" s="28">
        <v>1</v>
      </c>
      <c r="D314" s="29">
        <v>5.95</v>
      </c>
      <c r="E314" s="29">
        <v>5.95</v>
      </c>
      <c r="F314" s="30">
        <v>12.99</v>
      </c>
      <c r="G314" s="29">
        <v>12.99</v>
      </c>
      <c r="H314" s="28" t="s">
        <v>9318</v>
      </c>
      <c r="I314" s="27" t="s">
        <v>291</v>
      </c>
      <c r="J314" s="31" t="s">
        <v>52</v>
      </c>
      <c r="K314" s="27" t="s">
        <v>282</v>
      </c>
      <c r="L314" s="27" t="s">
        <v>358</v>
      </c>
      <c r="M314" s="32" t="str">
        <f>HYPERLINK("http://slimages.macys.com/is/image/MCY/3832191 ")</f>
        <v xml:space="preserve">http://slimages.macys.com/is/image/MCY/3832191 </v>
      </c>
    </row>
    <row r="315" spans="1:13" ht="15.2" customHeight="1" x14ac:dyDescent="0.2">
      <c r="A315" s="26" t="s">
        <v>8720</v>
      </c>
      <c r="B315" s="27" t="s">
        <v>8721</v>
      </c>
      <c r="C315" s="28">
        <v>4</v>
      </c>
      <c r="D315" s="29">
        <v>5.95</v>
      </c>
      <c r="E315" s="29">
        <v>23.8</v>
      </c>
      <c r="F315" s="30">
        <v>12.99</v>
      </c>
      <c r="G315" s="29">
        <v>51.96</v>
      </c>
      <c r="H315" s="28" t="s">
        <v>6054</v>
      </c>
      <c r="I315" s="27" t="s">
        <v>82</v>
      </c>
      <c r="J315" s="31" t="s">
        <v>5</v>
      </c>
      <c r="K315" s="27" t="s">
        <v>282</v>
      </c>
      <c r="L315" s="27" t="s">
        <v>358</v>
      </c>
      <c r="M315" s="32" t="str">
        <f>HYPERLINK("http://slimages.macys.com/is/image/MCY/3773694 ")</f>
        <v xml:space="preserve">http://slimages.macys.com/is/image/MCY/3773694 </v>
      </c>
    </row>
    <row r="316" spans="1:13" ht="15.2" customHeight="1" x14ac:dyDescent="0.2">
      <c r="A316" s="26" t="s">
        <v>8722</v>
      </c>
      <c r="B316" s="27" t="s">
        <v>8723</v>
      </c>
      <c r="C316" s="28">
        <v>1</v>
      </c>
      <c r="D316" s="29">
        <v>5.95</v>
      </c>
      <c r="E316" s="29">
        <v>5.95</v>
      </c>
      <c r="F316" s="30">
        <v>12.99</v>
      </c>
      <c r="G316" s="29">
        <v>12.99</v>
      </c>
      <c r="H316" s="28" t="s">
        <v>6054</v>
      </c>
      <c r="I316" s="27" t="s">
        <v>82</v>
      </c>
      <c r="J316" s="31" t="s">
        <v>21</v>
      </c>
      <c r="K316" s="27" t="s">
        <v>282</v>
      </c>
      <c r="L316" s="27" t="s">
        <v>358</v>
      </c>
      <c r="M316" s="32" t="str">
        <f>HYPERLINK("http://slimages.macys.com/is/image/MCY/3773694 ")</f>
        <v xml:space="preserve">http://slimages.macys.com/is/image/MCY/3773694 </v>
      </c>
    </row>
    <row r="317" spans="1:13" ht="15.2" customHeight="1" x14ac:dyDescent="0.2">
      <c r="A317" s="26" t="s">
        <v>9319</v>
      </c>
      <c r="B317" s="27" t="s">
        <v>9320</v>
      </c>
      <c r="C317" s="28">
        <v>1</v>
      </c>
      <c r="D317" s="29">
        <v>5.95</v>
      </c>
      <c r="E317" s="29">
        <v>5.95</v>
      </c>
      <c r="F317" s="30">
        <v>12.99</v>
      </c>
      <c r="G317" s="29">
        <v>12.99</v>
      </c>
      <c r="H317" s="28" t="s">
        <v>9321</v>
      </c>
      <c r="I317" s="27" t="s">
        <v>280</v>
      </c>
      <c r="J317" s="31" t="s">
        <v>5</v>
      </c>
      <c r="K317" s="27" t="s">
        <v>282</v>
      </c>
      <c r="L317" s="27" t="s">
        <v>358</v>
      </c>
      <c r="M317" s="32" t="str">
        <f>HYPERLINK("http://slimages.macys.com/is/image/MCY/3773785 ")</f>
        <v xml:space="preserve">http://slimages.macys.com/is/image/MCY/3773785 </v>
      </c>
    </row>
    <row r="318" spans="1:13" ht="15.2" customHeight="1" x14ac:dyDescent="0.2">
      <c r="A318" s="26" t="s">
        <v>9322</v>
      </c>
      <c r="B318" s="27" t="s">
        <v>9323</v>
      </c>
      <c r="C318" s="28">
        <v>1</v>
      </c>
      <c r="D318" s="29">
        <v>5.9</v>
      </c>
      <c r="E318" s="29">
        <v>5.9</v>
      </c>
      <c r="F318" s="30">
        <v>13.99</v>
      </c>
      <c r="G318" s="29">
        <v>13.99</v>
      </c>
      <c r="H318" s="28" t="s">
        <v>425</v>
      </c>
      <c r="I318" s="27" t="s">
        <v>274</v>
      </c>
      <c r="J318" s="31" t="s">
        <v>40</v>
      </c>
      <c r="K318" s="27" t="s">
        <v>282</v>
      </c>
      <c r="L318" s="27" t="s">
        <v>260</v>
      </c>
      <c r="M318" s="32" t="str">
        <f>HYPERLINK("http://slimages.macys.com/is/image/MCY/3773724 ")</f>
        <v xml:space="preserve">http://slimages.macys.com/is/image/MCY/3773724 </v>
      </c>
    </row>
    <row r="319" spans="1:13" ht="15.2" customHeight="1" x14ac:dyDescent="0.2">
      <c r="A319" s="26" t="s">
        <v>8724</v>
      </c>
      <c r="B319" s="27" t="s">
        <v>8725</v>
      </c>
      <c r="C319" s="28">
        <v>1</v>
      </c>
      <c r="D319" s="29">
        <v>5.9</v>
      </c>
      <c r="E319" s="29">
        <v>5.9</v>
      </c>
      <c r="F319" s="30">
        <v>13.99</v>
      </c>
      <c r="G319" s="29">
        <v>13.99</v>
      </c>
      <c r="H319" s="28" t="s">
        <v>425</v>
      </c>
      <c r="I319" s="27" t="s">
        <v>274</v>
      </c>
      <c r="J319" s="31" t="s">
        <v>21</v>
      </c>
      <c r="K319" s="27" t="s">
        <v>282</v>
      </c>
      <c r="L319" s="27" t="s">
        <v>260</v>
      </c>
      <c r="M319" s="32" t="str">
        <f>HYPERLINK("http://slimages.macys.com/is/image/MCY/3773724 ")</f>
        <v xml:space="preserve">http://slimages.macys.com/is/image/MCY/3773724 </v>
      </c>
    </row>
    <row r="320" spans="1:13" ht="15.2" customHeight="1" x14ac:dyDescent="0.2">
      <c r="A320" s="26" t="s">
        <v>7440</v>
      </c>
      <c r="B320" s="27" t="s">
        <v>7441</v>
      </c>
      <c r="C320" s="28">
        <v>1</v>
      </c>
      <c r="D320" s="29">
        <v>5.9</v>
      </c>
      <c r="E320" s="29">
        <v>5.9</v>
      </c>
      <c r="F320" s="30">
        <v>13.99</v>
      </c>
      <c r="G320" s="29">
        <v>13.99</v>
      </c>
      <c r="H320" s="28" t="s">
        <v>425</v>
      </c>
      <c r="I320" s="27" t="s">
        <v>274</v>
      </c>
      <c r="J320" s="31" t="s">
        <v>5</v>
      </c>
      <c r="K320" s="27" t="s">
        <v>282</v>
      </c>
      <c r="L320" s="27" t="s">
        <v>260</v>
      </c>
      <c r="M320" s="32" t="str">
        <f>HYPERLINK("http://slimages.macys.com/is/image/MCY/3773724 ")</f>
        <v xml:space="preserve">http://slimages.macys.com/is/image/MCY/3773724 </v>
      </c>
    </row>
    <row r="321" spans="1:13" ht="15.2" customHeight="1" x14ac:dyDescent="0.2">
      <c r="A321" s="26" t="s">
        <v>9324</v>
      </c>
      <c r="B321" s="27" t="s">
        <v>9325</v>
      </c>
      <c r="C321" s="28">
        <v>1</v>
      </c>
      <c r="D321" s="29">
        <v>5.75</v>
      </c>
      <c r="E321" s="29">
        <v>5.75</v>
      </c>
      <c r="F321" s="30">
        <v>16.989999999999998</v>
      </c>
      <c r="G321" s="29">
        <v>16.989999999999998</v>
      </c>
      <c r="H321" s="28" t="s">
        <v>8859</v>
      </c>
      <c r="I321" s="27" t="s">
        <v>4</v>
      </c>
      <c r="J321" s="31" t="s">
        <v>40</v>
      </c>
      <c r="K321" s="27" t="s">
        <v>196</v>
      </c>
      <c r="L321" s="27" t="s">
        <v>225</v>
      </c>
      <c r="M321" s="32" t="str">
        <f>HYPERLINK("http://slimages.macys.com/is/image/MCY/3685385 ")</f>
        <v xml:space="preserve">http://slimages.macys.com/is/image/MCY/3685385 </v>
      </c>
    </row>
    <row r="322" spans="1:13" ht="15.2" customHeight="1" x14ac:dyDescent="0.2">
      <c r="A322" s="26" t="s">
        <v>9326</v>
      </c>
      <c r="B322" s="27" t="s">
        <v>9327</v>
      </c>
      <c r="C322" s="28">
        <v>2</v>
      </c>
      <c r="D322" s="29">
        <v>5.75</v>
      </c>
      <c r="E322" s="29">
        <v>11.5</v>
      </c>
      <c r="F322" s="30">
        <v>12.99</v>
      </c>
      <c r="G322" s="29">
        <v>25.98</v>
      </c>
      <c r="H322" s="28" t="s">
        <v>9328</v>
      </c>
      <c r="I322" s="27" t="s">
        <v>383</v>
      </c>
      <c r="J322" s="31" t="s">
        <v>40</v>
      </c>
      <c r="K322" s="27" t="s">
        <v>282</v>
      </c>
      <c r="L322" s="27" t="s">
        <v>312</v>
      </c>
      <c r="M322" s="32" t="str">
        <f>HYPERLINK("http://slimages.macys.com/is/image/MCY/3662939 ")</f>
        <v xml:space="preserve">http://slimages.macys.com/is/image/MCY/3662939 </v>
      </c>
    </row>
    <row r="323" spans="1:13" ht="15.2" customHeight="1" x14ac:dyDescent="0.2">
      <c r="A323" s="26" t="s">
        <v>9329</v>
      </c>
      <c r="B323" s="27" t="s">
        <v>9330</v>
      </c>
      <c r="C323" s="28">
        <v>1</v>
      </c>
      <c r="D323" s="29">
        <v>5.75</v>
      </c>
      <c r="E323" s="29">
        <v>5.75</v>
      </c>
      <c r="F323" s="30">
        <v>12.99</v>
      </c>
      <c r="G323" s="29">
        <v>12.99</v>
      </c>
      <c r="H323" s="28" t="s">
        <v>9328</v>
      </c>
      <c r="I323" s="27" t="s">
        <v>383</v>
      </c>
      <c r="J323" s="31" t="s">
        <v>21</v>
      </c>
      <c r="K323" s="27" t="s">
        <v>282</v>
      </c>
      <c r="L323" s="27" t="s">
        <v>312</v>
      </c>
      <c r="M323" s="32" t="str">
        <f>HYPERLINK("http://slimages.macys.com/is/image/MCY/3662939 ")</f>
        <v xml:space="preserve">http://slimages.macys.com/is/image/MCY/3662939 </v>
      </c>
    </row>
    <row r="324" spans="1:13" ht="15.2" customHeight="1" x14ac:dyDescent="0.2">
      <c r="A324" s="26" t="s">
        <v>9331</v>
      </c>
      <c r="B324" s="27" t="s">
        <v>9332</v>
      </c>
      <c r="C324" s="28">
        <v>1</v>
      </c>
      <c r="D324" s="29">
        <v>5.75</v>
      </c>
      <c r="E324" s="29">
        <v>5.75</v>
      </c>
      <c r="F324" s="30">
        <v>16.989999999999998</v>
      </c>
      <c r="G324" s="29">
        <v>16.989999999999998</v>
      </c>
      <c r="H324" s="28" t="s">
        <v>6056</v>
      </c>
      <c r="I324" s="27" t="s">
        <v>4</v>
      </c>
      <c r="J324" s="31" t="s">
        <v>5</v>
      </c>
      <c r="K324" s="27" t="s">
        <v>196</v>
      </c>
      <c r="L324" s="27" t="s">
        <v>225</v>
      </c>
      <c r="M324" s="32" t="str">
        <f>HYPERLINK("http://slimages.macys.com/is/image/MCY/3685385 ")</f>
        <v xml:space="preserve">http://slimages.macys.com/is/image/MCY/3685385 </v>
      </c>
    </row>
    <row r="325" spans="1:13" ht="15.2" customHeight="1" x14ac:dyDescent="0.2">
      <c r="A325" s="26" t="s">
        <v>917</v>
      </c>
      <c r="B325" s="27" t="s">
        <v>918</v>
      </c>
      <c r="C325" s="28">
        <v>1</v>
      </c>
      <c r="D325" s="29">
        <v>5.75</v>
      </c>
      <c r="E325" s="29">
        <v>5.75</v>
      </c>
      <c r="F325" s="30">
        <v>12.99</v>
      </c>
      <c r="G325" s="29">
        <v>12.99</v>
      </c>
      <c r="H325" s="28" t="s">
        <v>919</v>
      </c>
      <c r="I325" s="27" t="s">
        <v>22</v>
      </c>
      <c r="J325" s="31" t="s">
        <v>21</v>
      </c>
      <c r="K325" s="27" t="s">
        <v>282</v>
      </c>
      <c r="L325" s="27" t="s">
        <v>225</v>
      </c>
      <c r="M325" s="32" t="str">
        <f>HYPERLINK("http://slimages.macys.com/is/image/MCY/3677911 ")</f>
        <v xml:space="preserve">http://slimages.macys.com/is/image/MCY/3677911 </v>
      </c>
    </row>
    <row r="326" spans="1:13" ht="15.2" customHeight="1" x14ac:dyDescent="0.2">
      <c r="A326" s="26" t="s">
        <v>9333</v>
      </c>
      <c r="B326" s="27" t="s">
        <v>9334</v>
      </c>
      <c r="C326" s="28">
        <v>1</v>
      </c>
      <c r="D326" s="29">
        <v>5.75</v>
      </c>
      <c r="E326" s="29">
        <v>5.75</v>
      </c>
      <c r="F326" s="30">
        <v>12.99</v>
      </c>
      <c r="G326" s="29">
        <v>12.99</v>
      </c>
      <c r="H326" s="28" t="s">
        <v>9335</v>
      </c>
      <c r="I326" s="27" t="s">
        <v>2496</v>
      </c>
      <c r="J326" s="31" t="s">
        <v>5</v>
      </c>
      <c r="K326" s="27" t="s">
        <v>282</v>
      </c>
      <c r="L326" s="27" t="s">
        <v>225</v>
      </c>
      <c r="M326" s="32" t="str">
        <f>HYPERLINK("http://slimages.macys.com/is/image/MCY/3652630 ")</f>
        <v xml:space="preserve">http://slimages.macys.com/is/image/MCY/3652630 </v>
      </c>
    </row>
    <row r="327" spans="1:13" ht="15.2" customHeight="1" x14ac:dyDescent="0.2">
      <c r="A327" s="26" t="s">
        <v>1539</v>
      </c>
      <c r="B327" s="27" t="s">
        <v>1540</v>
      </c>
      <c r="C327" s="28">
        <v>1</v>
      </c>
      <c r="D327" s="29">
        <v>5.65</v>
      </c>
      <c r="E327" s="29">
        <v>5.65</v>
      </c>
      <c r="F327" s="30">
        <v>12.99</v>
      </c>
      <c r="G327" s="29">
        <v>12.99</v>
      </c>
      <c r="H327" s="28" t="s">
        <v>1541</v>
      </c>
      <c r="I327" s="27" t="s">
        <v>280</v>
      </c>
      <c r="J327" s="31" t="s">
        <v>71</v>
      </c>
      <c r="K327" s="27" t="s">
        <v>282</v>
      </c>
      <c r="L327" s="27" t="s">
        <v>393</v>
      </c>
      <c r="M327" s="32" t="str">
        <f>HYPERLINK("http://slimages.macys.com/is/image/MCY/3797971 ")</f>
        <v xml:space="preserve">http://slimages.macys.com/is/image/MCY/3797971 </v>
      </c>
    </row>
    <row r="328" spans="1:13" ht="15.2" customHeight="1" x14ac:dyDescent="0.2">
      <c r="A328" s="26" t="s">
        <v>9336</v>
      </c>
      <c r="B328" s="27" t="s">
        <v>9337</v>
      </c>
      <c r="C328" s="28">
        <v>1</v>
      </c>
      <c r="D328" s="29">
        <v>5.65</v>
      </c>
      <c r="E328" s="29">
        <v>5.65</v>
      </c>
      <c r="F328" s="30">
        <v>12.99</v>
      </c>
      <c r="G328" s="29">
        <v>12.99</v>
      </c>
      <c r="H328" s="28" t="s">
        <v>1541</v>
      </c>
      <c r="I328" s="27" t="s">
        <v>280</v>
      </c>
      <c r="J328" s="31" t="s">
        <v>52</v>
      </c>
      <c r="K328" s="27" t="s">
        <v>282</v>
      </c>
      <c r="L328" s="27" t="s">
        <v>393</v>
      </c>
      <c r="M328" s="32" t="str">
        <f>HYPERLINK("http://slimages.macys.com/is/image/MCY/3797971 ")</f>
        <v xml:space="preserve">http://slimages.macys.com/is/image/MCY/3797971 </v>
      </c>
    </row>
    <row r="329" spans="1:13" ht="15.2" customHeight="1" x14ac:dyDescent="0.2">
      <c r="A329" s="26" t="s">
        <v>9338</v>
      </c>
      <c r="B329" s="27" t="s">
        <v>9339</v>
      </c>
      <c r="C329" s="28">
        <v>1</v>
      </c>
      <c r="D329" s="29">
        <v>5.5</v>
      </c>
      <c r="E329" s="29">
        <v>5.5</v>
      </c>
      <c r="F329" s="30">
        <v>12.99</v>
      </c>
      <c r="G329" s="29">
        <v>12.99</v>
      </c>
      <c r="H329" s="28" t="s">
        <v>7590</v>
      </c>
      <c r="I329" s="27" t="s">
        <v>82</v>
      </c>
      <c r="J329" s="31" t="s">
        <v>52</v>
      </c>
      <c r="K329" s="27" t="s">
        <v>282</v>
      </c>
      <c r="L329" s="27" t="s">
        <v>349</v>
      </c>
      <c r="M329" s="32" t="str">
        <f>HYPERLINK("http://slimages.macys.com/is/image/MCY/3755120 ")</f>
        <v xml:space="preserve">http://slimages.macys.com/is/image/MCY/3755120 </v>
      </c>
    </row>
    <row r="330" spans="1:13" ht="15.2" customHeight="1" x14ac:dyDescent="0.2">
      <c r="A330" s="26" t="s">
        <v>9340</v>
      </c>
      <c r="B330" s="27" t="s">
        <v>9341</v>
      </c>
      <c r="C330" s="28">
        <v>1</v>
      </c>
      <c r="D330" s="29">
        <v>5.5</v>
      </c>
      <c r="E330" s="29">
        <v>5.5</v>
      </c>
      <c r="F330" s="30">
        <v>13.99</v>
      </c>
      <c r="G330" s="29">
        <v>13.99</v>
      </c>
      <c r="H330" s="28" t="s">
        <v>2411</v>
      </c>
      <c r="I330" s="27" t="s">
        <v>189</v>
      </c>
      <c r="J330" s="31" t="s">
        <v>52</v>
      </c>
      <c r="K330" s="27" t="s">
        <v>282</v>
      </c>
      <c r="L330" s="27" t="s">
        <v>260</v>
      </c>
      <c r="M330" s="32" t="str">
        <f>HYPERLINK("http://slimages.macys.com/is/image/MCY/3363776 ")</f>
        <v xml:space="preserve">http://slimages.macys.com/is/image/MCY/3363776 </v>
      </c>
    </row>
    <row r="331" spans="1:13" ht="15.2" customHeight="1" x14ac:dyDescent="0.2">
      <c r="A331" s="26" t="s">
        <v>7588</v>
      </c>
      <c r="B331" s="27" t="s">
        <v>7589</v>
      </c>
      <c r="C331" s="28">
        <v>1</v>
      </c>
      <c r="D331" s="29">
        <v>5.5</v>
      </c>
      <c r="E331" s="29">
        <v>5.5</v>
      </c>
      <c r="F331" s="30">
        <v>12.99</v>
      </c>
      <c r="G331" s="29">
        <v>12.99</v>
      </c>
      <c r="H331" s="28" t="s">
        <v>7590</v>
      </c>
      <c r="I331" s="27" t="s">
        <v>82</v>
      </c>
      <c r="J331" s="31" t="s">
        <v>40</v>
      </c>
      <c r="K331" s="27" t="s">
        <v>282</v>
      </c>
      <c r="L331" s="27" t="s">
        <v>349</v>
      </c>
      <c r="M331" s="32" t="str">
        <f>HYPERLINK("http://slimages.macys.com/is/image/MCY/3755120 ")</f>
        <v xml:space="preserve">http://slimages.macys.com/is/image/MCY/3755120 </v>
      </c>
    </row>
    <row r="332" spans="1:13" ht="15.2" customHeight="1" x14ac:dyDescent="0.2">
      <c r="A332" s="26" t="s">
        <v>9342</v>
      </c>
      <c r="B332" s="27" t="s">
        <v>9343</v>
      </c>
      <c r="C332" s="28">
        <v>2</v>
      </c>
      <c r="D332" s="29">
        <v>5.5</v>
      </c>
      <c r="E332" s="29">
        <v>11</v>
      </c>
      <c r="F332" s="30">
        <v>12.99</v>
      </c>
      <c r="G332" s="29">
        <v>25.98</v>
      </c>
      <c r="H332" s="28" t="s">
        <v>7590</v>
      </c>
      <c r="I332" s="27" t="s">
        <v>82</v>
      </c>
      <c r="J332" s="31" t="s">
        <v>5</v>
      </c>
      <c r="K332" s="27" t="s">
        <v>282</v>
      </c>
      <c r="L332" s="27" t="s">
        <v>349</v>
      </c>
      <c r="M332" s="32" t="str">
        <f>HYPERLINK("http://slimages.macys.com/is/image/MCY/3755120 ")</f>
        <v xml:space="preserve">http://slimages.macys.com/is/image/MCY/3755120 </v>
      </c>
    </row>
    <row r="333" spans="1:13" ht="15.2" customHeight="1" x14ac:dyDescent="0.2">
      <c r="A333" s="26" t="s">
        <v>9344</v>
      </c>
      <c r="B333" s="27" t="s">
        <v>9345</v>
      </c>
      <c r="C333" s="28">
        <v>1</v>
      </c>
      <c r="D333" s="29">
        <v>5.45</v>
      </c>
      <c r="E333" s="29">
        <v>5.45</v>
      </c>
      <c r="F333" s="30">
        <v>12.99</v>
      </c>
      <c r="G333" s="29">
        <v>12.99</v>
      </c>
      <c r="H333" s="28" t="s">
        <v>9346</v>
      </c>
      <c r="I333" s="27" t="s">
        <v>4</v>
      </c>
      <c r="J333" s="31" t="s">
        <v>21</v>
      </c>
      <c r="K333" s="27" t="s">
        <v>159</v>
      </c>
      <c r="L333" s="27" t="s">
        <v>160</v>
      </c>
      <c r="M333" s="32" t="str">
        <f>HYPERLINK("http://slimages.macys.com/is/image/MCY/2717665 ")</f>
        <v xml:space="preserve">http://slimages.macys.com/is/image/MCY/2717665 </v>
      </c>
    </row>
    <row r="334" spans="1:13" ht="15.2" customHeight="1" x14ac:dyDescent="0.2">
      <c r="A334" s="26" t="s">
        <v>9347</v>
      </c>
      <c r="B334" s="27" t="s">
        <v>9348</v>
      </c>
      <c r="C334" s="28">
        <v>2</v>
      </c>
      <c r="D334" s="29">
        <v>5.45</v>
      </c>
      <c r="E334" s="29">
        <v>10.9</v>
      </c>
      <c r="F334" s="30">
        <v>12.99</v>
      </c>
      <c r="G334" s="29">
        <v>25.98</v>
      </c>
      <c r="H334" s="28" t="s">
        <v>4502</v>
      </c>
      <c r="I334" s="27" t="s">
        <v>103</v>
      </c>
      <c r="J334" s="31" t="s">
        <v>40</v>
      </c>
      <c r="K334" s="27" t="s">
        <v>159</v>
      </c>
      <c r="L334" s="27" t="s">
        <v>160</v>
      </c>
      <c r="M334" s="32" t="str">
        <f>HYPERLINK("http://slimages.macys.com/is/image/MCY/3314215 ")</f>
        <v xml:space="preserve">http://slimages.macys.com/is/image/MCY/3314215 </v>
      </c>
    </row>
    <row r="335" spans="1:13" ht="15.2" customHeight="1" x14ac:dyDescent="0.2">
      <c r="A335" s="26" t="s">
        <v>5173</v>
      </c>
      <c r="B335" s="27" t="s">
        <v>5174</v>
      </c>
      <c r="C335" s="28">
        <v>1</v>
      </c>
      <c r="D335" s="29">
        <v>5.35</v>
      </c>
      <c r="E335" s="29">
        <v>5.35</v>
      </c>
      <c r="F335" s="30">
        <v>12.99</v>
      </c>
      <c r="G335" s="29">
        <v>12.99</v>
      </c>
      <c r="H335" s="28" t="s">
        <v>5175</v>
      </c>
      <c r="I335" s="27" t="s">
        <v>4</v>
      </c>
      <c r="J335" s="31" t="s">
        <v>52</v>
      </c>
      <c r="K335" s="27" t="s">
        <v>159</v>
      </c>
      <c r="L335" s="27" t="s">
        <v>160</v>
      </c>
      <c r="M335" s="32" t="str">
        <f>HYPERLINK("http://slimages.macys.com/is/image/MCY/3451733 ")</f>
        <v xml:space="preserve">http://slimages.macys.com/is/image/MCY/3451733 </v>
      </c>
    </row>
    <row r="336" spans="1:13" ht="15.2" customHeight="1" x14ac:dyDescent="0.2">
      <c r="A336" s="26" t="s">
        <v>8571</v>
      </c>
      <c r="B336" s="27" t="s">
        <v>8572</v>
      </c>
      <c r="C336" s="28">
        <v>2</v>
      </c>
      <c r="D336" s="29">
        <v>5.35</v>
      </c>
      <c r="E336" s="29">
        <v>10.7</v>
      </c>
      <c r="F336" s="30">
        <v>12.99</v>
      </c>
      <c r="G336" s="29">
        <v>25.98</v>
      </c>
      <c r="H336" s="28" t="s">
        <v>5175</v>
      </c>
      <c r="I336" s="27" t="s">
        <v>4</v>
      </c>
      <c r="J336" s="31" t="s">
        <v>5</v>
      </c>
      <c r="K336" s="27" t="s">
        <v>159</v>
      </c>
      <c r="L336" s="27" t="s">
        <v>160</v>
      </c>
      <c r="M336" s="32" t="str">
        <f>HYPERLINK("http://slimages.macys.com/is/image/MCY/3451733 ")</f>
        <v xml:space="preserve">http://slimages.macys.com/is/image/MCY/3451733 </v>
      </c>
    </row>
    <row r="337" spans="1:13" ht="15.2" customHeight="1" x14ac:dyDescent="0.2">
      <c r="A337" s="26" t="s">
        <v>9349</v>
      </c>
      <c r="B337" s="27" t="s">
        <v>9350</v>
      </c>
      <c r="C337" s="28">
        <v>1</v>
      </c>
      <c r="D337" s="29">
        <v>5.35</v>
      </c>
      <c r="E337" s="29">
        <v>5.35</v>
      </c>
      <c r="F337" s="30">
        <v>12.99</v>
      </c>
      <c r="G337" s="29">
        <v>12.99</v>
      </c>
      <c r="H337" s="28" t="s">
        <v>5175</v>
      </c>
      <c r="I337" s="27" t="s">
        <v>4</v>
      </c>
      <c r="J337" s="31" t="s">
        <v>71</v>
      </c>
      <c r="K337" s="27" t="s">
        <v>159</v>
      </c>
      <c r="L337" s="27" t="s">
        <v>160</v>
      </c>
      <c r="M337" s="32" t="str">
        <f>HYPERLINK("http://slimages.macys.com/is/image/MCY/3451733 ")</f>
        <v xml:space="preserve">http://slimages.macys.com/is/image/MCY/3451733 </v>
      </c>
    </row>
    <row r="338" spans="1:13" ht="15.2" customHeight="1" x14ac:dyDescent="0.2">
      <c r="A338" s="26" t="s">
        <v>9351</v>
      </c>
      <c r="B338" s="27" t="s">
        <v>9352</v>
      </c>
      <c r="C338" s="28">
        <v>1</v>
      </c>
      <c r="D338" s="29">
        <v>5.35</v>
      </c>
      <c r="E338" s="29">
        <v>5.35</v>
      </c>
      <c r="F338" s="30">
        <v>12.99</v>
      </c>
      <c r="G338" s="29">
        <v>12.99</v>
      </c>
      <c r="H338" s="28" t="s">
        <v>5175</v>
      </c>
      <c r="I338" s="27" t="s">
        <v>4</v>
      </c>
      <c r="J338" s="31" t="s">
        <v>21</v>
      </c>
      <c r="K338" s="27" t="s">
        <v>159</v>
      </c>
      <c r="L338" s="27" t="s">
        <v>160</v>
      </c>
      <c r="M338" s="32" t="str">
        <f>HYPERLINK("http://slimages.macys.com/is/image/MCY/3451733 ")</f>
        <v xml:space="preserve">http://slimages.macys.com/is/image/MCY/3451733 </v>
      </c>
    </row>
    <row r="339" spans="1:13" ht="15.2" customHeight="1" x14ac:dyDescent="0.2">
      <c r="A339" s="26" t="s">
        <v>8731</v>
      </c>
      <c r="B339" s="27" t="s">
        <v>8732</v>
      </c>
      <c r="C339" s="28">
        <v>1</v>
      </c>
      <c r="D339" s="29">
        <v>5.25</v>
      </c>
      <c r="E339" s="29">
        <v>5.25</v>
      </c>
      <c r="F339" s="30">
        <v>12.99</v>
      </c>
      <c r="G339" s="29">
        <v>12.99</v>
      </c>
      <c r="H339" s="28" t="s">
        <v>1581</v>
      </c>
      <c r="I339" s="27" t="s">
        <v>82</v>
      </c>
      <c r="J339" s="31" t="s">
        <v>52</v>
      </c>
      <c r="K339" s="27" t="s">
        <v>282</v>
      </c>
      <c r="L339" s="27" t="s">
        <v>358</v>
      </c>
      <c r="M339" s="32" t="str">
        <f>HYPERLINK("http://slimages.macys.com/is/image/MCY/3875976 ")</f>
        <v xml:space="preserve">http://slimages.macys.com/is/image/MCY/3875976 </v>
      </c>
    </row>
    <row r="340" spans="1:13" ht="15.2" customHeight="1" x14ac:dyDescent="0.2">
      <c r="A340" s="26" t="s">
        <v>1579</v>
      </c>
      <c r="B340" s="27" t="s">
        <v>1580</v>
      </c>
      <c r="C340" s="28">
        <v>3</v>
      </c>
      <c r="D340" s="29">
        <v>5.25</v>
      </c>
      <c r="E340" s="29">
        <v>15.75</v>
      </c>
      <c r="F340" s="30">
        <v>12.99</v>
      </c>
      <c r="G340" s="29">
        <v>38.97</v>
      </c>
      <c r="H340" s="28" t="s">
        <v>1581</v>
      </c>
      <c r="I340" s="27" t="s">
        <v>82</v>
      </c>
      <c r="J340" s="31" t="s">
        <v>5</v>
      </c>
      <c r="K340" s="27" t="s">
        <v>282</v>
      </c>
      <c r="L340" s="27" t="s">
        <v>358</v>
      </c>
      <c r="M340" s="32" t="str">
        <f>HYPERLINK("http://slimages.macys.com/is/image/MCY/3875976 ")</f>
        <v xml:space="preserve">http://slimages.macys.com/is/image/MCY/3875976 </v>
      </c>
    </row>
    <row r="341" spans="1:13" ht="15.2" customHeight="1" x14ac:dyDescent="0.2">
      <c r="A341" s="26" t="s">
        <v>8736</v>
      </c>
      <c r="B341" s="27" t="s">
        <v>8737</v>
      </c>
      <c r="C341" s="28">
        <v>1</v>
      </c>
      <c r="D341" s="29">
        <v>5.25</v>
      </c>
      <c r="E341" s="29">
        <v>5.25</v>
      </c>
      <c r="F341" s="30">
        <v>12.99</v>
      </c>
      <c r="G341" s="29">
        <v>12.99</v>
      </c>
      <c r="H341" s="28" t="s">
        <v>1578</v>
      </c>
      <c r="I341" s="27" t="s">
        <v>4</v>
      </c>
      <c r="J341" s="31" t="s">
        <v>71</v>
      </c>
      <c r="K341" s="27" t="s">
        <v>282</v>
      </c>
      <c r="L341" s="27" t="s">
        <v>358</v>
      </c>
      <c r="M341" s="32" t="str">
        <f>HYPERLINK("http://slimages.macys.com/is/image/MCY/3875977 ")</f>
        <v xml:space="preserve">http://slimages.macys.com/is/image/MCY/3875977 </v>
      </c>
    </row>
    <row r="342" spans="1:13" ht="15.2" customHeight="1" x14ac:dyDescent="0.2">
      <c r="A342" s="26" t="s">
        <v>5176</v>
      </c>
      <c r="B342" s="27" t="s">
        <v>5177</v>
      </c>
      <c r="C342" s="28">
        <v>1</v>
      </c>
      <c r="D342" s="29">
        <v>5.25</v>
      </c>
      <c r="E342" s="29">
        <v>5.25</v>
      </c>
      <c r="F342" s="30">
        <v>12.99</v>
      </c>
      <c r="G342" s="29">
        <v>12.99</v>
      </c>
      <c r="H342" s="28" t="s">
        <v>1581</v>
      </c>
      <c r="I342" s="27" t="s">
        <v>82</v>
      </c>
      <c r="J342" s="31" t="s">
        <v>40</v>
      </c>
      <c r="K342" s="27" t="s">
        <v>282</v>
      </c>
      <c r="L342" s="27" t="s">
        <v>358</v>
      </c>
      <c r="M342" s="32" t="str">
        <f>HYPERLINK("http://slimages.macys.com/is/image/MCY/3875976 ")</f>
        <v xml:space="preserve">http://slimages.macys.com/is/image/MCY/3875976 </v>
      </c>
    </row>
    <row r="343" spans="1:13" ht="15.2" customHeight="1" x14ac:dyDescent="0.2">
      <c r="A343" s="26" t="s">
        <v>449</v>
      </c>
      <c r="B343" s="27" t="s">
        <v>450</v>
      </c>
      <c r="C343" s="28">
        <v>1</v>
      </c>
      <c r="D343" s="29">
        <v>5.25</v>
      </c>
      <c r="E343" s="29">
        <v>5.25</v>
      </c>
      <c r="F343" s="30">
        <v>12.99</v>
      </c>
      <c r="G343" s="29">
        <v>12.99</v>
      </c>
      <c r="H343" s="28" t="s">
        <v>448</v>
      </c>
      <c r="I343" s="27" t="s">
        <v>82</v>
      </c>
      <c r="J343" s="31" t="s">
        <v>40</v>
      </c>
      <c r="K343" s="27" t="s">
        <v>282</v>
      </c>
      <c r="L343" s="27" t="s">
        <v>358</v>
      </c>
      <c r="M343" s="32" t="str">
        <f>HYPERLINK("http://slimages.macys.com/is/image/MCY/3875975 ")</f>
        <v xml:space="preserve">http://slimages.macys.com/is/image/MCY/3875975 </v>
      </c>
    </row>
    <row r="344" spans="1:13" ht="15.2" customHeight="1" x14ac:dyDescent="0.2">
      <c r="A344" s="26" t="s">
        <v>8733</v>
      </c>
      <c r="B344" s="27" t="s">
        <v>8734</v>
      </c>
      <c r="C344" s="28">
        <v>2</v>
      </c>
      <c r="D344" s="29">
        <v>5.25</v>
      </c>
      <c r="E344" s="29">
        <v>10.5</v>
      </c>
      <c r="F344" s="30">
        <v>12.99</v>
      </c>
      <c r="G344" s="29">
        <v>25.98</v>
      </c>
      <c r="H344" s="28" t="s">
        <v>1578</v>
      </c>
      <c r="I344" s="27" t="s">
        <v>4</v>
      </c>
      <c r="J344" s="31" t="s">
        <v>21</v>
      </c>
      <c r="K344" s="27" t="s">
        <v>282</v>
      </c>
      <c r="L344" s="27" t="s">
        <v>358</v>
      </c>
      <c r="M344" s="32" t="str">
        <f>HYPERLINK("http://slimages.macys.com/is/image/MCY/3875977 ")</f>
        <v xml:space="preserve">http://slimages.macys.com/is/image/MCY/3875977 </v>
      </c>
    </row>
    <row r="345" spans="1:13" ht="15.2" customHeight="1" x14ac:dyDescent="0.2">
      <c r="A345" s="26" t="s">
        <v>1952</v>
      </c>
      <c r="B345" s="27" t="s">
        <v>1953</v>
      </c>
      <c r="C345" s="28">
        <v>2</v>
      </c>
      <c r="D345" s="29">
        <v>5.25</v>
      </c>
      <c r="E345" s="29">
        <v>10.5</v>
      </c>
      <c r="F345" s="30">
        <v>12.99</v>
      </c>
      <c r="G345" s="29">
        <v>25.98</v>
      </c>
      <c r="H345" s="28" t="s">
        <v>1578</v>
      </c>
      <c r="I345" s="27" t="s">
        <v>4</v>
      </c>
      <c r="J345" s="31" t="s">
        <v>5</v>
      </c>
      <c r="K345" s="27" t="s">
        <v>282</v>
      </c>
      <c r="L345" s="27" t="s">
        <v>358</v>
      </c>
      <c r="M345" s="32" t="str">
        <f>HYPERLINK("http://slimages.macys.com/is/image/MCY/3875977 ")</f>
        <v xml:space="preserve">http://slimages.macys.com/is/image/MCY/3875977 </v>
      </c>
    </row>
    <row r="346" spans="1:13" ht="15.2" customHeight="1" x14ac:dyDescent="0.2">
      <c r="A346" s="26" t="s">
        <v>934</v>
      </c>
      <c r="B346" s="27" t="s">
        <v>935</v>
      </c>
      <c r="C346" s="28">
        <v>1</v>
      </c>
      <c r="D346" s="29">
        <v>5.25</v>
      </c>
      <c r="E346" s="29">
        <v>5.25</v>
      </c>
      <c r="F346" s="30">
        <v>12.99</v>
      </c>
      <c r="G346" s="29">
        <v>12.99</v>
      </c>
      <c r="H346" s="28" t="s">
        <v>448</v>
      </c>
      <c r="I346" s="27" t="s">
        <v>82</v>
      </c>
      <c r="J346" s="31" t="s">
        <v>71</v>
      </c>
      <c r="K346" s="27" t="s">
        <v>282</v>
      </c>
      <c r="L346" s="27" t="s">
        <v>358</v>
      </c>
      <c r="M346" s="32" t="str">
        <f>HYPERLINK("http://slimages.macys.com/is/image/MCY/3875975 ")</f>
        <v xml:space="preserve">http://slimages.macys.com/is/image/MCY/3875975 </v>
      </c>
    </row>
    <row r="347" spans="1:13" ht="15.2" customHeight="1" x14ac:dyDescent="0.2">
      <c r="A347" s="26" t="s">
        <v>8332</v>
      </c>
      <c r="B347" s="27" t="s">
        <v>8333</v>
      </c>
      <c r="C347" s="28">
        <v>1</v>
      </c>
      <c r="D347" s="29">
        <v>5.25</v>
      </c>
      <c r="E347" s="29">
        <v>5.25</v>
      </c>
      <c r="F347" s="30">
        <v>12.99</v>
      </c>
      <c r="G347" s="29">
        <v>12.99</v>
      </c>
      <c r="H347" s="28" t="s">
        <v>1581</v>
      </c>
      <c r="I347" s="27" t="s">
        <v>82</v>
      </c>
      <c r="J347" s="31" t="s">
        <v>21</v>
      </c>
      <c r="K347" s="27" t="s">
        <v>282</v>
      </c>
      <c r="L347" s="27" t="s">
        <v>358</v>
      </c>
      <c r="M347" s="32" t="str">
        <f>HYPERLINK("http://slimages.macys.com/is/image/MCY/3875976 ")</f>
        <v xml:space="preserve">http://slimages.macys.com/is/image/MCY/3875976 </v>
      </c>
    </row>
    <row r="348" spans="1:13" ht="15.2" customHeight="1" x14ac:dyDescent="0.2">
      <c r="A348" s="26" t="s">
        <v>9353</v>
      </c>
      <c r="B348" s="27" t="s">
        <v>9354</v>
      </c>
      <c r="C348" s="28">
        <v>1</v>
      </c>
      <c r="D348" s="29">
        <v>5</v>
      </c>
      <c r="E348" s="29">
        <v>5</v>
      </c>
      <c r="F348" s="30">
        <v>13.99</v>
      </c>
      <c r="G348" s="29">
        <v>13.99</v>
      </c>
      <c r="H348" s="28" t="s">
        <v>2411</v>
      </c>
      <c r="I348" s="27" t="s">
        <v>4</v>
      </c>
      <c r="J348" s="31" t="s">
        <v>52</v>
      </c>
      <c r="K348" s="27" t="s">
        <v>282</v>
      </c>
      <c r="L348" s="27" t="s">
        <v>260</v>
      </c>
      <c r="M348" s="32" t="str">
        <f>HYPERLINK("http://slimages.macys.com/is/image/MCY/3363776 ")</f>
        <v xml:space="preserve">http://slimages.macys.com/is/image/MCY/3363776 </v>
      </c>
    </row>
    <row r="349" spans="1:13" ht="15.2" customHeight="1" x14ac:dyDescent="0.2">
      <c r="A349" s="26" t="s">
        <v>9355</v>
      </c>
      <c r="B349" s="27" t="s">
        <v>9356</v>
      </c>
      <c r="C349" s="28">
        <v>1</v>
      </c>
      <c r="D349" s="29">
        <v>4.75</v>
      </c>
      <c r="E349" s="29">
        <v>4.75</v>
      </c>
      <c r="F349" s="30">
        <v>12.99</v>
      </c>
      <c r="G349" s="29">
        <v>12.99</v>
      </c>
      <c r="H349" s="28" t="s">
        <v>4503</v>
      </c>
      <c r="I349" s="27" t="s">
        <v>144</v>
      </c>
      <c r="J349" s="31" t="s">
        <v>5</v>
      </c>
      <c r="K349" s="27" t="s">
        <v>282</v>
      </c>
      <c r="L349" s="27" t="s">
        <v>283</v>
      </c>
      <c r="M349" s="32" t="str">
        <f>HYPERLINK("http://slimages.macys.com/is/image/MCY/3773280 ")</f>
        <v xml:space="preserve">http://slimages.macys.com/is/image/MCY/3773280 </v>
      </c>
    </row>
    <row r="350" spans="1:13" ht="15.2" customHeight="1" x14ac:dyDescent="0.2">
      <c r="A350" s="26" t="s">
        <v>9357</v>
      </c>
      <c r="B350" s="27" t="s">
        <v>9358</v>
      </c>
      <c r="C350" s="28">
        <v>1</v>
      </c>
      <c r="D350" s="29">
        <v>4.75</v>
      </c>
      <c r="E350" s="29">
        <v>4.75</v>
      </c>
      <c r="F350" s="30">
        <v>12.99</v>
      </c>
      <c r="G350" s="29">
        <v>12.99</v>
      </c>
      <c r="H350" s="28" t="s">
        <v>4503</v>
      </c>
      <c r="I350" s="27" t="s">
        <v>144</v>
      </c>
      <c r="J350" s="31" t="s">
        <v>21</v>
      </c>
      <c r="K350" s="27" t="s">
        <v>282</v>
      </c>
      <c r="L350" s="27" t="s">
        <v>283</v>
      </c>
      <c r="M350" s="32" t="str">
        <f>HYPERLINK("http://slimages.macys.com/is/image/MCY/3773280 ")</f>
        <v xml:space="preserve">http://slimages.macys.com/is/image/MCY/3773280 </v>
      </c>
    </row>
    <row r="351" spans="1:13" ht="15.2" customHeight="1" x14ac:dyDescent="0.2">
      <c r="A351" s="26" t="s">
        <v>1595</v>
      </c>
      <c r="B351" s="27" t="s">
        <v>1596</v>
      </c>
      <c r="C351" s="28">
        <v>1</v>
      </c>
      <c r="D351" s="29">
        <v>4.5</v>
      </c>
      <c r="E351" s="29">
        <v>4.5</v>
      </c>
      <c r="F351" s="30">
        <v>12.99</v>
      </c>
      <c r="G351" s="29">
        <v>12.99</v>
      </c>
      <c r="H351" s="28" t="s">
        <v>1597</v>
      </c>
      <c r="I351" s="27" t="s">
        <v>244</v>
      </c>
      <c r="J351" s="31" t="s">
        <v>40</v>
      </c>
      <c r="K351" s="27" t="s">
        <v>282</v>
      </c>
      <c r="L351" s="27" t="s">
        <v>283</v>
      </c>
      <c r="M351" s="32" t="str">
        <f>HYPERLINK("http://slimages.macys.com/is/image/MCY/3875943 ")</f>
        <v xml:space="preserve">http://slimages.macys.com/is/image/MCY/3875943 </v>
      </c>
    </row>
    <row r="352" spans="1:13" ht="15.2" customHeight="1" x14ac:dyDescent="0.2">
      <c r="A352" s="26" t="s">
        <v>9359</v>
      </c>
      <c r="B352" s="27" t="s">
        <v>9360</v>
      </c>
      <c r="C352" s="28">
        <v>1</v>
      </c>
      <c r="D352" s="29">
        <v>3.72</v>
      </c>
      <c r="E352" s="29">
        <v>3.72</v>
      </c>
      <c r="F352" s="30">
        <v>7.99</v>
      </c>
      <c r="G352" s="29">
        <v>7.99</v>
      </c>
      <c r="H352" s="28" t="s">
        <v>460</v>
      </c>
      <c r="I352" s="27" t="s">
        <v>357</v>
      </c>
      <c r="J352" s="31" t="s">
        <v>21</v>
      </c>
      <c r="K352" s="27" t="s">
        <v>282</v>
      </c>
      <c r="L352" s="27" t="s">
        <v>325</v>
      </c>
      <c r="M352" s="32" t="str">
        <f>HYPERLINK("http://slimages.macys.com/is/image/MCY/3609965 ")</f>
        <v xml:space="preserve">http://slimages.macys.com/is/image/MCY/3609965 </v>
      </c>
    </row>
    <row r="353" spans="1:13" ht="15.2" customHeight="1" x14ac:dyDescent="0.2">
      <c r="A353" s="26" t="s">
        <v>9361</v>
      </c>
      <c r="B353" s="27" t="s">
        <v>9362</v>
      </c>
      <c r="C353" s="28">
        <v>1</v>
      </c>
      <c r="D353" s="29">
        <v>3.6</v>
      </c>
      <c r="E353" s="29">
        <v>3.6</v>
      </c>
      <c r="F353" s="30">
        <v>7.99</v>
      </c>
      <c r="G353" s="29">
        <v>7.99</v>
      </c>
      <c r="H353" s="28">
        <v>60418884</v>
      </c>
      <c r="I353" s="27" t="s">
        <v>1</v>
      </c>
      <c r="J353" s="31" t="s">
        <v>40</v>
      </c>
      <c r="K353" s="27" t="s">
        <v>282</v>
      </c>
      <c r="L353" s="27" t="s">
        <v>255</v>
      </c>
      <c r="M353" s="32" t="str">
        <f>HYPERLINK("http://slimages.macys.com/is/image/MCY/3612504 ")</f>
        <v xml:space="preserve">http://slimages.macys.com/is/image/MCY/3612504 </v>
      </c>
    </row>
    <row r="354" spans="1:13" ht="15.2" customHeight="1" x14ac:dyDescent="0.2">
      <c r="A354" s="26" t="s">
        <v>9363</v>
      </c>
      <c r="B354" s="27" t="s">
        <v>9364</v>
      </c>
      <c r="C354" s="28">
        <v>1</v>
      </c>
      <c r="D354" s="29">
        <v>3.45</v>
      </c>
      <c r="E354" s="29">
        <v>3.45</v>
      </c>
      <c r="F354" s="30">
        <v>7.99</v>
      </c>
      <c r="G354" s="29">
        <v>7.99</v>
      </c>
      <c r="H354" s="28">
        <v>60423445</v>
      </c>
      <c r="I354" s="27" t="s">
        <v>295</v>
      </c>
      <c r="J354" s="31" t="s">
        <v>21</v>
      </c>
      <c r="K354" s="27" t="s">
        <v>282</v>
      </c>
      <c r="L354" s="27" t="s">
        <v>255</v>
      </c>
      <c r="M354" s="32" t="str">
        <f>HYPERLINK("http://slimages.macys.com/is/image/MCY/3663800 ")</f>
        <v xml:space="preserve">http://slimages.macys.com/is/image/MCY/3663800 </v>
      </c>
    </row>
    <row r="355" spans="1:13" ht="15.2" customHeight="1" x14ac:dyDescent="0.2">
      <c r="A355" s="26" t="s">
        <v>9365</v>
      </c>
      <c r="B355" s="27" t="s">
        <v>9366</v>
      </c>
      <c r="C355" s="28">
        <v>1</v>
      </c>
      <c r="D355" s="29">
        <v>34</v>
      </c>
      <c r="E355" s="29">
        <v>34</v>
      </c>
      <c r="F355" s="30">
        <v>89.5</v>
      </c>
      <c r="G355" s="29">
        <v>89.5</v>
      </c>
      <c r="H355" s="28" t="s">
        <v>8490</v>
      </c>
      <c r="I355" s="27" t="s">
        <v>15</v>
      </c>
      <c r="J355" s="31" t="s">
        <v>21</v>
      </c>
      <c r="K355" s="27" t="s">
        <v>17</v>
      </c>
      <c r="L355" s="27" t="s">
        <v>18</v>
      </c>
      <c r="M355" s="32"/>
    </row>
    <row r="356" spans="1:13" ht="15.2" customHeight="1" x14ac:dyDescent="0.2">
      <c r="A356" s="26" t="s">
        <v>9367</v>
      </c>
      <c r="B356" s="27" t="s">
        <v>9368</v>
      </c>
      <c r="C356" s="28">
        <v>1</v>
      </c>
      <c r="D356" s="29">
        <v>27</v>
      </c>
      <c r="E356" s="29">
        <v>27</v>
      </c>
      <c r="F356" s="30">
        <v>69.5</v>
      </c>
      <c r="G356" s="29">
        <v>69.5</v>
      </c>
      <c r="H356" s="28" t="s">
        <v>4654</v>
      </c>
      <c r="I356" s="27" t="s">
        <v>215</v>
      </c>
      <c r="J356" s="31" t="s">
        <v>40</v>
      </c>
      <c r="K356" s="27" t="s">
        <v>17</v>
      </c>
      <c r="L356" s="27" t="s">
        <v>18</v>
      </c>
      <c r="M356" s="32"/>
    </row>
    <row r="357" spans="1:13" ht="15.2" customHeight="1" x14ac:dyDescent="0.2">
      <c r="A357" s="26" t="s">
        <v>7601</v>
      </c>
      <c r="B357" s="27" t="s">
        <v>7602</v>
      </c>
      <c r="C357" s="28">
        <v>1</v>
      </c>
      <c r="D357" s="29">
        <v>17.5</v>
      </c>
      <c r="E357" s="29">
        <v>17.5</v>
      </c>
      <c r="F357" s="30">
        <v>44.99</v>
      </c>
      <c r="G357" s="29">
        <v>44.99</v>
      </c>
      <c r="H357" s="28" t="s">
        <v>7603</v>
      </c>
      <c r="I357" s="27" t="s">
        <v>59</v>
      </c>
      <c r="J357" s="31" t="s">
        <v>5</v>
      </c>
      <c r="K357" s="27" t="s">
        <v>70</v>
      </c>
      <c r="L357" s="27" t="s">
        <v>101</v>
      </c>
      <c r="M357" s="32"/>
    </row>
    <row r="358" spans="1:13" ht="15.2" customHeight="1" x14ac:dyDescent="0.2">
      <c r="A358" s="26" t="s">
        <v>9369</v>
      </c>
      <c r="B358" s="27" t="s">
        <v>9370</v>
      </c>
      <c r="C358" s="28">
        <v>1</v>
      </c>
      <c r="D358" s="29">
        <v>17.5</v>
      </c>
      <c r="E358" s="29">
        <v>17.5</v>
      </c>
      <c r="F358" s="30">
        <v>44.99</v>
      </c>
      <c r="G358" s="29">
        <v>44.99</v>
      </c>
      <c r="H358" s="28" t="s">
        <v>7603</v>
      </c>
      <c r="I358" s="27" t="s">
        <v>4</v>
      </c>
      <c r="J358" s="31" t="s">
        <v>21</v>
      </c>
      <c r="K358" s="27" t="s">
        <v>70</v>
      </c>
      <c r="L358" s="27" t="s">
        <v>101</v>
      </c>
      <c r="M358" s="32"/>
    </row>
    <row r="359" spans="1:13" ht="15.2" customHeight="1" x14ac:dyDescent="0.2">
      <c r="A359" s="26" t="s">
        <v>9371</v>
      </c>
      <c r="B359" s="27" t="s">
        <v>2011</v>
      </c>
      <c r="C359" s="28">
        <v>1</v>
      </c>
      <c r="D359" s="29">
        <v>15.8</v>
      </c>
      <c r="E359" s="29">
        <v>15.8</v>
      </c>
      <c r="F359" s="30">
        <v>39.5</v>
      </c>
      <c r="G359" s="29">
        <v>39.5</v>
      </c>
      <c r="H359" s="28" t="s">
        <v>2012</v>
      </c>
      <c r="I359" s="27" t="s">
        <v>36</v>
      </c>
      <c r="J359" s="31" t="s">
        <v>71</v>
      </c>
      <c r="K359" s="27" t="s">
        <v>27</v>
      </c>
      <c r="L359" s="27" t="s">
        <v>28</v>
      </c>
      <c r="M359" s="32"/>
    </row>
    <row r="360" spans="1:13" ht="15.2" customHeight="1" x14ac:dyDescent="0.2">
      <c r="A360" s="26" t="s">
        <v>8427</v>
      </c>
      <c r="B360" s="27" t="s">
        <v>2011</v>
      </c>
      <c r="C360" s="28">
        <v>1</v>
      </c>
      <c r="D360" s="29">
        <v>15.8</v>
      </c>
      <c r="E360" s="29">
        <v>15.8</v>
      </c>
      <c r="F360" s="30">
        <v>39.5</v>
      </c>
      <c r="G360" s="29">
        <v>39.5</v>
      </c>
      <c r="H360" s="28" t="s">
        <v>2012</v>
      </c>
      <c r="I360" s="27" t="s">
        <v>36</v>
      </c>
      <c r="J360" s="31" t="s">
        <v>21</v>
      </c>
      <c r="K360" s="27" t="s">
        <v>27</v>
      </c>
      <c r="L360" s="27" t="s">
        <v>28</v>
      </c>
      <c r="M360" s="32"/>
    </row>
    <row r="361" spans="1:13" ht="15.2" customHeight="1" x14ac:dyDescent="0.2">
      <c r="A361" s="26" t="s">
        <v>9372</v>
      </c>
      <c r="B361" s="27" t="s">
        <v>9373</v>
      </c>
      <c r="C361" s="28">
        <v>1</v>
      </c>
      <c r="D361" s="29">
        <v>13</v>
      </c>
      <c r="E361" s="29">
        <v>13</v>
      </c>
      <c r="F361" s="30">
        <v>32.5</v>
      </c>
      <c r="G361" s="29">
        <v>32.5</v>
      </c>
      <c r="H361" s="28" t="s">
        <v>1804</v>
      </c>
      <c r="I361" s="27" t="s">
        <v>103</v>
      </c>
      <c r="J361" s="31" t="s">
        <v>21</v>
      </c>
      <c r="K361" s="27" t="s">
        <v>27</v>
      </c>
      <c r="L361" s="27" t="s">
        <v>28</v>
      </c>
      <c r="M361" s="32"/>
    </row>
    <row r="362" spans="1:13" ht="15.2" customHeight="1" x14ac:dyDescent="0.2">
      <c r="A362" s="26" t="s">
        <v>8741</v>
      </c>
      <c r="B362" s="27" t="s">
        <v>8742</v>
      </c>
      <c r="C362" s="28">
        <v>2</v>
      </c>
      <c r="D362" s="29">
        <v>12.08</v>
      </c>
      <c r="E362" s="29">
        <v>24.16</v>
      </c>
      <c r="F362" s="30">
        <v>27.99</v>
      </c>
      <c r="G362" s="29">
        <v>55.98</v>
      </c>
      <c r="H362" s="28" t="s">
        <v>558</v>
      </c>
      <c r="I362" s="27" t="s">
        <v>280</v>
      </c>
      <c r="J362" s="31" t="s">
        <v>52</v>
      </c>
      <c r="K362" s="27" t="s">
        <v>224</v>
      </c>
      <c r="L362" s="27" t="s">
        <v>237</v>
      </c>
      <c r="M362" s="32"/>
    </row>
    <row r="363" spans="1:13" ht="15.2" customHeight="1" x14ac:dyDescent="0.2">
      <c r="A363" s="26" t="s">
        <v>9374</v>
      </c>
      <c r="B363" s="27" t="s">
        <v>9375</v>
      </c>
      <c r="C363" s="28">
        <v>1</v>
      </c>
      <c r="D363" s="29">
        <v>12.08</v>
      </c>
      <c r="E363" s="29">
        <v>12.08</v>
      </c>
      <c r="F363" s="30">
        <v>27.99</v>
      </c>
      <c r="G363" s="29">
        <v>27.99</v>
      </c>
      <c r="H363" s="28" t="s">
        <v>558</v>
      </c>
      <c r="I363" s="27" t="s">
        <v>280</v>
      </c>
      <c r="J363" s="31" t="s">
        <v>40</v>
      </c>
      <c r="K363" s="27" t="s">
        <v>224</v>
      </c>
      <c r="L363" s="27" t="s">
        <v>237</v>
      </c>
      <c r="M363" s="32"/>
    </row>
    <row r="364" spans="1:13" ht="15.2" customHeight="1" x14ac:dyDescent="0.2">
      <c r="A364" s="26" t="s">
        <v>9376</v>
      </c>
      <c r="B364" s="27" t="s">
        <v>9377</v>
      </c>
      <c r="C364" s="28">
        <v>2</v>
      </c>
      <c r="D364" s="29">
        <v>12.08</v>
      </c>
      <c r="E364" s="29">
        <v>24.16</v>
      </c>
      <c r="F364" s="30">
        <v>27.99</v>
      </c>
      <c r="G364" s="29">
        <v>55.98</v>
      </c>
      <c r="H364" s="28" t="s">
        <v>558</v>
      </c>
      <c r="I364" s="27" t="s">
        <v>280</v>
      </c>
      <c r="J364" s="31" t="s">
        <v>5</v>
      </c>
      <c r="K364" s="27" t="s">
        <v>224</v>
      </c>
      <c r="L364" s="27" t="s">
        <v>237</v>
      </c>
      <c r="M364" s="32"/>
    </row>
    <row r="365" spans="1:13" ht="15.2" customHeight="1" x14ac:dyDescent="0.2">
      <c r="A365" s="26" t="s">
        <v>9378</v>
      </c>
      <c r="B365" s="27" t="s">
        <v>9379</v>
      </c>
      <c r="C365" s="28">
        <v>1</v>
      </c>
      <c r="D365" s="29">
        <v>12</v>
      </c>
      <c r="E365" s="29">
        <v>12</v>
      </c>
      <c r="F365" s="30">
        <v>39</v>
      </c>
      <c r="G365" s="29">
        <v>39</v>
      </c>
      <c r="H365" s="28" t="s">
        <v>9380</v>
      </c>
      <c r="I365" s="27" t="s">
        <v>343</v>
      </c>
      <c r="J365" s="31" t="s">
        <v>52</v>
      </c>
      <c r="K365" s="27" t="s">
        <v>154</v>
      </c>
      <c r="L365" s="27" t="s">
        <v>155</v>
      </c>
      <c r="M365" s="32"/>
    </row>
    <row r="366" spans="1:13" ht="15.2" customHeight="1" x14ac:dyDescent="0.2">
      <c r="A366" s="26" t="s">
        <v>9381</v>
      </c>
      <c r="B366" s="27" t="s">
        <v>9379</v>
      </c>
      <c r="C366" s="28">
        <v>1</v>
      </c>
      <c r="D366" s="29">
        <v>12</v>
      </c>
      <c r="E366" s="29">
        <v>12</v>
      </c>
      <c r="F366" s="30">
        <v>39</v>
      </c>
      <c r="G366" s="29">
        <v>39</v>
      </c>
      <c r="H366" s="28" t="s">
        <v>9380</v>
      </c>
      <c r="I366" s="27" t="s">
        <v>1467</v>
      </c>
      <c r="J366" s="31" t="s">
        <v>5</v>
      </c>
      <c r="K366" s="27" t="s">
        <v>154</v>
      </c>
      <c r="L366" s="27" t="s">
        <v>155</v>
      </c>
      <c r="M366" s="32"/>
    </row>
    <row r="367" spans="1:13" ht="15.2" customHeight="1" x14ac:dyDescent="0.2">
      <c r="A367" s="26" t="s">
        <v>9382</v>
      </c>
      <c r="B367" s="27" t="s">
        <v>9379</v>
      </c>
      <c r="C367" s="28">
        <v>1</v>
      </c>
      <c r="D367" s="29">
        <v>12</v>
      </c>
      <c r="E367" s="29">
        <v>12</v>
      </c>
      <c r="F367" s="30">
        <v>39</v>
      </c>
      <c r="G367" s="29">
        <v>39</v>
      </c>
      <c r="H367" s="28" t="s">
        <v>9380</v>
      </c>
      <c r="I367" s="27" t="s">
        <v>1467</v>
      </c>
      <c r="J367" s="31" t="s">
        <v>65</v>
      </c>
      <c r="K367" s="27" t="s">
        <v>154</v>
      </c>
      <c r="L367" s="27" t="s">
        <v>155</v>
      </c>
      <c r="M367" s="32"/>
    </row>
    <row r="368" spans="1:13" ht="15.2" customHeight="1" x14ac:dyDescent="0.2">
      <c r="A368" s="26" t="s">
        <v>9383</v>
      </c>
      <c r="B368" s="27" t="s">
        <v>9384</v>
      </c>
      <c r="C368" s="28">
        <v>1</v>
      </c>
      <c r="D368" s="29">
        <v>11</v>
      </c>
      <c r="E368" s="29">
        <v>11</v>
      </c>
      <c r="F368" s="30">
        <v>22.99</v>
      </c>
      <c r="G368" s="29">
        <v>22.99</v>
      </c>
      <c r="H368" s="28" t="s">
        <v>1647</v>
      </c>
      <c r="I368" s="27" t="s">
        <v>1</v>
      </c>
      <c r="J368" s="31" t="s">
        <v>71</v>
      </c>
      <c r="K368" s="27" t="s">
        <v>200</v>
      </c>
      <c r="L368" s="27" t="s">
        <v>804</v>
      </c>
      <c r="M368" s="32"/>
    </row>
    <row r="369" spans="1:13" ht="15.2" customHeight="1" x14ac:dyDescent="0.2">
      <c r="A369" s="26" t="s">
        <v>9385</v>
      </c>
      <c r="B369" s="27" t="s">
        <v>9386</v>
      </c>
      <c r="C369" s="28">
        <v>1</v>
      </c>
      <c r="D369" s="29">
        <v>11</v>
      </c>
      <c r="E369" s="29">
        <v>11</v>
      </c>
      <c r="F369" s="30">
        <v>25.99</v>
      </c>
      <c r="G369" s="29">
        <v>25.99</v>
      </c>
      <c r="H369" s="28" t="s">
        <v>1648</v>
      </c>
      <c r="I369" s="27" t="s">
        <v>302</v>
      </c>
      <c r="J369" s="31" t="s">
        <v>40</v>
      </c>
      <c r="K369" s="27" t="s">
        <v>200</v>
      </c>
      <c r="L369" s="27" t="s">
        <v>804</v>
      </c>
      <c r="M369" s="32"/>
    </row>
    <row r="370" spans="1:13" ht="15.2" customHeight="1" x14ac:dyDescent="0.2">
      <c r="A370" s="26" t="s">
        <v>7473</v>
      </c>
      <c r="B370" s="27" t="s">
        <v>7474</v>
      </c>
      <c r="C370" s="28">
        <v>1</v>
      </c>
      <c r="D370" s="29">
        <v>11</v>
      </c>
      <c r="E370" s="29">
        <v>11</v>
      </c>
      <c r="F370" s="30">
        <v>25.99</v>
      </c>
      <c r="G370" s="29">
        <v>25.99</v>
      </c>
      <c r="H370" s="28" t="s">
        <v>1648</v>
      </c>
      <c r="I370" s="27" t="s">
        <v>4</v>
      </c>
      <c r="J370" s="31" t="s">
        <v>40</v>
      </c>
      <c r="K370" s="27" t="s">
        <v>200</v>
      </c>
      <c r="L370" s="27" t="s">
        <v>804</v>
      </c>
      <c r="M370" s="32"/>
    </row>
    <row r="371" spans="1:13" ht="15.2" customHeight="1" x14ac:dyDescent="0.2">
      <c r="A371" s="26" t="s">
        <v>9387</v>
      </c>
      <c r="B371" s="27" t="s">
        <v>9388</v>
      </c>
      <c r="C371" s="28">
        <v>3</v>
      </c>
      <c r="D371" s="29">
        <v>10.5</v>
      </c>
      <c r="E371" s="29">
        <v>31.5</v>
      </c>
      <c r="F371" s="30">
        <v>24.99</v>
      </c>
      <c r="G371" s="29">
        <v>74.97</v>
      </c>
      <c r="H371" s="28" t="s">
        <v>1043</v>
      </c>
      <c r="I371" s="27" t="s">
        <v>4</v>
      </c>
      <c r="J371" s="31" t="s">
        <v>5</v>
      </c>
      <c r="K371" s="27" t="s">
        <v>224</v>
      </c>
      <c r="L371" s="27" t="s">
        <v>239</v>
      </c>
      <c r="M371" s="32"/>
    </row>
    <row r="372" spans="1:13" ht="15.2" customHeight="1" x14ac:dyDescent="0.2">
      <c r="A372" s="26" t="s">
        <v>3079</v>
      </c>
      <c r="B372" s="27" t="s">
        <v>3080</v>
      </c>
      <c r="C372" s="28">
        <v>4</v>
      </c>
      <c r="D372" s="29">
        <v>10.5</v>
      </c>
      <c r="E372" s="29">
        <v>42</v>
      </c>
      <c r="F372" s="30">
        <v>24.99</v>
      </c>
      <c r="G372" s="29">
        <v>99.96</v>
      </c>
      <c r="H372" s="28" t="s">
        <v>1043</v>
      </c>
      <c r="I372" s="27" t="s">
        <v>4</v>
      </c>
      <c r="J372" s="31" t="s">
        <v>21</v>
      </c>
      <c r="K372" s="27" t="s">
        <v>224</v>
      </c>
      <c r="L372" s="27" t="s">
        <v>239</v>
      </c>
      <c r="M372" s="32"/>
    </row>
    <row r="373" spans="1:13" ht="15.2" customHeight="1" x14ac:dyDescent="0.2">
      <c r="A373" s="26" t="s">
        <v>9389</v>
      </c>
      <c r="B373" s="27" t="s">
        <v>9390</v>
      </c>
      <c r="C373" s="28">
        <v>3</v>
      </c>
      <c r="D373" s="29">
        <v>10.5</v>
      </c>
      <c r="E373" s="29">
        <v>31.5</v>
      </c>
      <c r="F373" s="30">
        <v>24.99</v>
      </c>
      <c r="G373" s="29">
        <v>74.97</v>
      </c>
      <c r="H373" s="28" t="s">
        <v>1043</v>
      </c>
      <c r="I373" s="27" t="s">
        <v>4</v>
      </c>
      <c r="J373" s="31" t="s">
        <v>40</v>
      </c>
      <c r="K373" s="27" t="s">
        <v>224</v>
      </c>
      <c r="L373" s="27" t="s">
        <v>239</v>
      </c>
      <c r="M373" s="32"/>
    </row>
    <row r="374" spans="1:13" ht="15.2" customHeight="1" x14ac:dyDescent="0.2">
      <c r="A374" s="26" t="s">
        <v>9391</v>
      </c>
      <c r="B374" s="27" t="s">
        <v>9392</v>
      </c>
      <c r="C374" s="28">
        <v>1</v>
      </c>
      <c r="D374" s="29">
        <v>10.5</v>
      </c>
      <c r="E374" s="29">
        <v>10.5</v>
      </c>
      <c r="F374" s="30">
        <v>24.99</v>
      </c>
      <c r="G374" s="29">
        <v>24.99</v>
      </c>
      <c r="H374" s="28" t="s">
        <v>1043</v>
      </c>
      <c r="I374" s="27" t="s">
        <v>4</v>
      </c>
      <c r="J374" s="31" t="s">
        <v>71</v>
      </c>
      <c r="K374" s="27" t="s">
        <v>224</v>
      </c>
      <c r="L374" s="27" t="s">
        <v>239</v>
      </c>
      <c r="M374" s="32"/>
    </row>
    <row r="375" spans="1:13" ht="15.2" customHeight="1" x14ac:dyDescent="0.2">
      <c r="A375" s="26" t="s">
        <v>8874</v>
      </c>
      <c r="B375" s="27" t="s">
        <v>8875</v>
      </c>
      <c r="C375" s="28">
        <v>1</v>
      </c>
      <c r="D375" s="29">
        <v>10.5</v>
      </c>
      <c r="E375" s="29">
        <v>10.5</v>
      </c>
      <c r="F375" s="30">
        <v>25.99</v>
      </c>
      <c r="G375" s="29">
        <v>25.99</v>
      </c>
      <c r="H375" s="28" t="s">
        <v>8876</v>
      </c>
      <c r="I375" s="27"/>
      <c r="J375" s="31" t="s">
        <v>234</v>
      </c>
      <c r="K375" s="27" t="s">
        <v>200</v>
      </c>
      <c r="L375" s="27" t="s">
        <v>243</v>
      </c>
      <c r="M375" s="32"/>
    </row>
    <row r="376" spans="1:13" ht="15.2" customHeight="1" x14ac:dyDescent="0.2">
      <c r="A376" s="26" t="s">
        <v>9393</v>
      </c>
      <c r="B376" s="27" t="s">
        <v>9394</v>
      </c>
      <c r="C376" s="28">
        <v>2</v>
      </c>
      <c r="D376" s="29">
        <v>10.5</v>
      </c>
      <c r="E376" s="29">
        <v>21</v>
      </c>
      <c r="F376" s="30">
        <v>24.99</v>
      </c>
      <c r="G376" s="29">
        <v>49.98</v>
      </c>
      <c r="H376" s="28" t="s">
        <v>1043</v>
      </c>
      <c r="I376" s="27" t="s">
        <v>4</v>
      </c>
      <c r="J376" s="31" t="s">
        <v>52</v>
      </c>
      <c r="K376" s="27" t="s">
        <v>224</v>
      </c>
      <c r="L376" s="27" t="s">
        <v>239</v>
      </c>
      <c r="M376" s="32"/>
    </row>
    <row r="377" spans="1:13" ht="15.2" customHeight="1" x14ac:dyDescent="0.2">
      <c r="A377" s="26" t="s">
        <v>9395</v>
      </c>
      <c r="B377" s="27" t="s">
        <v>8345</v>
      </c>
      <c r="C377" s="28">
        <v>1</v>
      </c>
      <c r="D377" s="29">
        <v>10</v>
      </c>
      <c r="E377" s="29">
        <v>10</v>
      </c>
      <c r="F377" s="30">
        <v>39</v>
      </c>
      <c r="G377" s="29">
        <v>39</v>
      </c>
      <c r="H377" s="28" t="s">
        <v>8346</v>
      </c>
      <c r="I377" s="27" t="s">
        <v>4</v>
      </c>
      <c r="J377" s="31" t="s">
        <v>5</v>
      </c>
      <c r="K377" s="27" t="s">
        <v>154</v>
      </c>
      <c r="L377" s="27" t="s">
        <v>155</v>
      </c>
      <c r="M377" s="32"/>
    </row>
    <row r="378" spans="1:13" ht="15.2" customHeight="1" x14ac:dyDescent="0.2">
      <c r="A378" s="26" t="s">
        <v>9396</v>
      </c>
      <c r="B378" s="27" t="s">
        <v>9397</v>
      </c>
      <c r="C378" s="28">
        <v>1</v>
      </c>
      <c r="D378" s="29">
        <v>9.75</v>
      </c>
      <c r="E378" s="29">
        <v>9.75</v>
      </c>
      <c r="F378" s="30">
        <v>22.99</v>
      </c>
      <c r="G378" s="29">
        <v>22.99</v>
      </c>
      <c r="H378" s="28" t="s">
        <v>7613</v>
      </c>
      <c r="I378" s="27" t="s">
        <v>94</v>
      </c>
      <c r="J378" s="31" t="s">
        <v>52</v>
      </c>
      <c r="K378" s="27" t="s">
        <v>200</v>
      </c>
      <c r="L378" s="27" t="s">
        <v>239</v>
      </c>
      <c r="M378" s="32"/>
    </row>
    <row r="379" spans="1:13" ht="15.2" customHeight="1" x14ac:dyDescent="0.2">
      <c r="A379" s="26" t="s">
        <v>7614</v>
      </c>
      <c r="B379" s="27" t="s">
        <v>7615</v>
      </c>
      <c r="C379" s="28">
        <v>1</v>
      </c>
      <c r="D379" s="29">
        <v>9</v>
      </c>
      <c r="E379" s="29">
        <v>9</v>
      </c>
      <c r="F379" s="30">
        <v>19.989999999999998</v>
      </c>
      <c r="G379" s="29">
        <v>19.989999999999998</v>
      </c>
      <c r="H379" s="28" t="s">
        <v>2787</v>
      </c>
      <c r="I379" s="27" t="s">
        <v>4</v>
      </c>
      <c r="J379" s="31" t="s">
        <v>52</v>
      </c>
      <c r="K379" s="27" t="s">
        <v>200</v>
      </c>
      <c r="L379" s="27" t="s">
        <v>243</v>
      </c>
      <c r="M379" s="32"/>
    </row>
    <row r="380" spans="1:13" ht="15.2" customHeight="1" x14ac:dyDescent="0.2">
      <c r="A380" s="26" t="s">
        <v>9398</v>
      </c>
      <c r="B380" s="27" t="s">
        <v>9399</v>
      </c>
      <c r="C380" s="28">
        <v>1</v>
      </c>
      <c r="D380" s="29">
        <v>8.75</v>
      </c>
      <c r="E380" s="29">
        <v>8.75</v>
      </c>
      <c r="F380" s="30">
        <v>24.99</v>
      </c>
      <c r="G380" s="29">
        <v>24.99</v>
      </c>
      <c r="H380" s="28" t="s">
        <v>4798</v>
      </c>
      <c r="I380" s="27" t="s">
        <v>1</v>
      </c>
      <c r="J380" s="31" t="s">
        <v>21</v>
      </c>
      <c r="K380" s="27" t="s">
        <v>224</v>
      </c>
      <c r="L380" s="27" t="s">
        <v>239</v>
      </c>
      <c r="M380" s="32"/>
    </row>
    <row r="381" spans="1:13" ht="15.2" customHeight="1" x14ac:dyDescent="0.2">
      <c r="A381" s="26" t="s">
        <v>8749</v>
      </c>
      <c r="B381" s="27" t="s">
        <v>8431</v>
      </c>
      <c r="C381" s="28">
        <v>1</v>
      </c>
      <c r="D381" s="29">
        <v>8.5</v>
      </c>
      <c r="E381" s="29">
        <v>8.5</v>
      </c>
      <c r="F381" s="30">
        <v>19.989999999999998</v>
      </c>
      <c r="G381" s="29">
        <v>19.989999999999998</v>
      </c>
      <c r="H381" s="28" t="s">
        <v>8432</v>
      </c>
      <c r="I381" s="27" t="s">
        <v>36</v>
      </c>
      <c r="J381" s="31" t="s">
        <v>21</v>
      </c>
      <c r="K381" s="27" t="s">
        <v>196</v>
      </c>
      <c r="L381" s="27" t="s">
        <v>336</v>
      </c>
      <c r="M381" s="32"/>
    </row>
    <row r="382" spans="1:13" ht="15.2" customHeight="1" x14ac:dyDescent="0.2">
      <c r="A382" s="26" t="s">
        <v>9400</v>
      </c>
      <c r="B382" s="27" t="s">
        <v>9401</v>
      </c>
      <c r="C382" s="28">
        <v>2</v>
      </c>
      <c r="D382" s="29">
        <v>8.25</v>
      </c>
      <c r="E382" s="29">
        <v>16.5</v>
      </c>
      <c r="F382" s="30">
        <v>19.989999999999998</v>
      </c>
      <c r="G382" s="29">
        <v>39.979999999999997</v>
      </c>
      <c r="H382" s="28" t="s">
        <v>590</v>
      </c>
      <c r="I382" s="27" t="s">
        <v>4</v>
      </c>
      <c r="J382" s="31" t="s">
        <v>40</v>
      </c>
      <c r="K382" s="27" t="s">
        <v>196</v>
      </c>
      <c r="L382" s="27" t="s">
        <v>256</v>
      </c>
      <c r="M382" s="32"/>
    </row>
    <row r="383" spans="1:13" ht="15.2" customHeight="1" x14ac:dyDescent="0.2">
      <c r="A383" s="26" t="s">
        <v>8877</v>
      </c>
      <c r="B383" s="27" t="s">
        <v>1064</v>
      </c>
      <c r="C383" s="28">
        <v>1</v>
      </c>
      <c r="D383" s="29">
        <v>8.25</v>
      </c>
      <c r="E383" s="29">
        <v>8.25</v>
      </c>
      <c r="F383" s="30">
        <v>19.989999999999998</v>
      </c>
      <c r="G383" s="29">
        <v>19.989999999999998</v>
      </c>
      <c r="H383" s="28" t="s">
        <v>1065</v>
      </c>
      <c r="I383" s="27" t="s">
        <v>26</v>
      </c>
      <c r="J383" s="31" t="s">
        <v>21</v>
      </c>
      <c r="K383" s="27" t="s">
        <v>196</v>
      </c>
      <c r="L383" s="27" t="s">
        <v>256</v>
      </c>
      <c r="M383" s="32"/>
    </row>
    <row r="384" spans="1:13" ht="15.2" customHeight="1" x14ac:dyDescent="0.2">
      <c r="A384" s="26" t="s">
        <v>9402</v>
      </c>
      <c r="B384" s="27" t="s">
        <v>9401</v>
      </c>
      <c r="C384" s="28">
        <v>1</v>
      </c>
      <c r="D384" s="29">
        <v>8.25</v>
      </c>
      <c r="E384" s="29">
        <v>8.25</v>
      </c>
      <c r="F384" s="30">
        <v>19.989999999999998</v>
      </c>
      <c r="G384" s="29">
        <v>19.989999999999998</v>
      </c>
      <c r="H384" s="28" t="s">
        <v>590</v>
      </c>
      <c r="I384" s="27" t="s">
        <v>4</v>
      </c>
      <c r="J384" s="31" t="s">
        <v>21</v>
      </c>
      <c r="K384" s="27" t="s">
        <v>196</v>
      </c>
      <c r="L384" s="27" t="s">
        <v>256</v>
      </c>
      <c r="M384" s="32"/>
    </row>
    <row r="385" spans="1:13" ht="15.2" customHeight="1" x14ac:dyDescent="0.2">
      <c r="A385" s="26" t="s">
        <v>9403</v>
      </c>
      <c r="B385" s="27" t="s">
        <v>9404</v>
      </c>
      <c r="C385" s="28">
        <v>1</v>
      </c>
      <c r="D385" s="29">
        <v>7.95</v>
      </c>
      <c r="E385" s="29">
        <v>7.95</v>
      </c>
      <c r="F385" s="30">
        <v>19.989999999999998</v>
      </c>
      <c r="G385" s="29">
        <v>19.989999999999998</v>
      </c>
      <c r="H385" s="28" t="s">
        <v>5757</v>
      </c>
      <c r="I385" s="27" t="s">
        <v>274</v>
      </c>
      <c r="J385" s="31" t="s">
        <v>40</v>
      </c>
      <c r="K385" s="27" t="s">
        <v>196</v>
      </c>
      <c r="L385" s="27" t="s">
        <v>256</v>
      </c>
      <c r="M385" s="32"/>
    </row>
    <row r="386" spans="1:13" ht="15.2" customHeight="1" x14ac:dyDescent="0.2">
      <c r="A386" s="26" t="s">
        <v>9405</v>
      </c>
      <c r="B386" s="27" t="s">
        <v>1691</v>
      </c>
      <c r="C386" s="28">
        <v>1</v>
      </c>
      <c r="D386" s="29">
        <v>7.75</v>
      </c>
      <c r="E386" s="29">
        <v>7.75</v>
      </c>
      <c r="F386" s="30">
        <v>19.989999999999998</v>
      </c>
      <c r="G386" s="29">
        <v>19.989999999999998</v>
      </c>
      <c r="H386" s="28" t="s">
        <v>1692</v>
      </c>
      <c r="I386" s="27" t="s">
        <v>189</v>
      </c>
      <c r="J386" s="31" t="s">
        <v>21</v>
      </c>
      <c r="K386" s="27" t="s">
        <v>196</v>
      </c>
      <c r="L386" s="27" t="s">
        <v>256</v>
      </c>
      <c r="M386" s="32"/>
    </row>
    <row r="387" spans="1:13" ht="15.2" customHeight="1" x14ac:dyDescent="0.2">
      <c r="A387" s="26" t="s">
        <v>9406</v>
      </c>
      <c r="B387" s="27" t="s">
        <v>5940</v>
      </c>
      <c r="C387" s="28">
        <v>1</v>
      </c>
      <c r="D387" s="29">
        <v>6.3</v>
      </c>
      <c r="E387" s="29">
        <v>6.3</v>
      </c>
      <c r="F387" s="30">
        <v>14.99</v>
      </c>
      <c r="G387" s="29">
        <v>14.99</v>
      </c>
      <c r="H387" s="28" t="s">
        <v>5941</v>
      </c>
      <c r="I387" s="27" t="s">
        <v>4</v>
      </c>
      <c r="J387" s="31" t="s">
        <v>52</v>
      </c>
      <c r="K387" s="27" t="s">
        <v>159</v>
      </c>
      <c r="L387" s="27" t="s">
        <v>160</v>
      </c>
      <c r="M387" s="32"/>
    </row>
    <row r="388" spans="1:13" ht="15.2" customHeight="1" x14ac:dyDescent="0.2">
      <c r="A388" s="26" t="s">
        <v>1701</v>
      </c>
      <c r="B388" s="27" t="s">
        <v>1702</v>
      </c>
      <c r="C388" s="28">
        <v>2</v>
      </c>
      <c r="D388" s="29">
        <v>5.75</v>
      </c>
      <c r="E388" s="29">
        <v>11.5</v>
      </c>
      <c r="F388" s="30">
        <v>12.99</v>
      </c>
      <c r="G388" s="29">
        <v>25.98</v>
      </c>
      <c r="H388" s="28" t="s">
        <v>1703</v>
      </c>
      <c r="I388" s="27" t="s">
        <v>248</v>
      </c>
      <c r="J388" s="31" t="s">
        <v>5</v>
      </c>
      <c r="K388" s="27" t="s">
        <v>282</v>
      </c>
      <c r="L388" s="27" t="s">
        <v>386</v>
      </c>
      <c r="M388" s="32"/>
    </row>
    <row r="389" spans="1:13" ht="15.2" customHeight="1" x14ac:dyDescent="0.2">
      <c r="A389" s="26" t="s">
        <v>1707</v>
      </c>
      <c r="B389" s="27" t="s">
        <v>1702</v>
      </c>
      <c r="C389" s="28">
        <v>3</v>
      </c>
      <c r="D389" s="29">
        <v>5.75</v>
      </c>
      <c r="E389" s="29">
        <v>17.25</v>
      </c>
      <c r="F389" s="30">
        <v>12.99</v>
      </c>
      <c r="G389" s="29">
        <v>38.97</v>
      </c>
      <c r="H389" s="28" t="s">
        <v>1703</v>
      </c>
      <c r="I389" s="27" t="s">
        <v>248</v>
      </c>
      <c r="J389" s="31" t="s">
        <v>21</v>
      </c>
      <c r="K389" s="27" t="s">
        <v>282</v>
      </c>
      <c r="L389" s="27" t="s">
        <v>386</v>
      </c>
      <c r="M389" s="32"/>
    </row>
    <row r="390" spans="1:13" ht="15.2" customHeight="1" x14ac:dyDescent="0.2">
      <c r="A390" s="26" t="s">
        <v>1705</v>
      </c>
      <c r="B390" s="27" t="s">
        <v>1699</v>
      </c>
      <c r="C390" s="28">
        <v>2</v>
      </c>
      <c r="D390" s="29">
        <v>5.75</v>
      </c>
      <c r="E390" s="29">
        <v>11.5</v>
      </c>
      <c r="F390" s="30">
        <v>12.99</v>
      </c>
      <c r="G390" s="29">
        <v>25.98</v>
      </c>
      <c r="H390" s="28" t="s">
        <v>1700</v>
      </c>
      <c r="I390" s="27" t="s">
        <v>82</v>
      </c>
      <c r="J390" s="31" t="s">
        <v>21</v>
      </c>
      <c r="K390" s="27" t="s">
        <v>282</v>
      </c>
      <c r="L390" s="27" t="s">
        <v>386</v>
      </c>
      <c r="M390" s="32"/>
    </row>
    <row r="391" spans="1:13" ht="15.2" customHeight="1" x14ac:dyDescent="0.2">
      <c r="A391" s="26" t="s">
        <v>1698</v>
      </c>
      <c r="B391" s="27" t="s">
        <v>1699</v>
      </c>
      <c r="C391" s="28">
        <v>2</v>
      </c>
      <c r="D391" s="29">
        <v>5.75</v>
      </c>
      <c r="E391" s="29">
        <v>11.5</v>
      </c>
      <c r="F391" s="30">
        <v>12.99</v>
      </c>
      <c r="G391" s="29">
        <v>25.98</v>
      </c>
      <c r="H391" s="28" t="s">
        <v>1700</v>
      </c>
      <c r="I391" s="27" t="s">
        <v>82</v>
      </c>
      <c r="J391" s="31" t="s">
        <v>5</v>
      </c>
      <c r="K391" s="27" t="s">
        <v>282</v>
      </c>
      <c r="L391" s="27" t="s">
        <v>386</v>
      </c>
      <c r="M391" s="3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61"/>
  <sheetViews>
    <sheetView workbookViewId="0">
      <selection activeCell="B20" sqref="B20"/>
    </sheetView>
  </sheetViews>
  <sheetFormatPr defaultRowHeight="15.2" customHeight="1" x14ac:dyDescent="0.2"/>
  <cols>
    <col min="1" max="1" width="14.85546875" style="1" bestFit="1" customWidth="1"/>
    <col min="2" max="2" width="75" style="1" bestFit="1" customWidth="1"/>
    <col min="3" max="3" width="6.42578125" style="1" bestFit="1" customWidth="1"/>
    <col min="4" max="4" width="7.5703125" style="1" bestFit="1" customWidth="1"/>
    <col min="5" max="5" width="9.5703125" style="1" bestFit="1" customWidth="1"/>
    <col min="6" max="6" width="8.7109375" style="1" bestFit="1" customWidth="1"/>
    <col min="7" max="7" width="11.140625" style="1" bestFit="1" customWidth="1"/>
    <col min="8" max="8" width="22.5703125" style="1" bestFit="1" customWidth="1"/>
    <col min="9" max="9" width="14.7109375" style="1" bestFit="1" customWidth="1"/>
    <col min="10" max="10" width="12" style="1" bestFit="1" customWidth="1"/>
    <col min="11" max="11" width="19" style="1" bestFit="1" customWidth="1"/>
    <col min="12" max="12" width="45" style="1" bestFit="1" customWidth="1"/>
    <col min="13" max="13" width="55.5703125" style="1" bestFit="1" customWidth="1"/>
    <col min="14" max="16384" width="9.140625" style="1"/>
  </cols>
  <sheetData>
    <row r="1" spans="1:13" ht="15.2" customHeight="1" x14ac:dyDescent="0.2">
      <c r="A1" s="25" t="s">
        <v>0</v>
      </c>
      <c r="B1" s="25" t="s">
        <v>11929</v>
      </c>
      <c r="C1" s="25" t="s">
        <v>11915</v>
      </c>
      <c r="D1" s="25" t="s">
        <v>11927</v>
      </c>
      <c r="E1" s="25" t="s">
        <v>11928</v>
      </c>
      <c r="F1" s="25" t="s">
        <v>11919</v>
      </c>
      <c r="G1" s="25" t="s">
        <v>11920</v>
      </c>
      <c r="H1" s="25" t="s">
        <v>11921</v>
      </c>
      <c r="I1" s="25" t="s">
        <v>11922</v>
      </c>
      <c r="J1" s="25" t="s">
        <v>11923</v>
      </c>
      <c r="K1" s="25" t="s">
        <v>11924</v>
      </c>
      <c r="L1" s="25" t="s">
        <v>11925</v>
      </c>
      <c r="M1" s="25" t="s">
        <v>11926</v>
      </c>
    </row>
    <row r="2" spans="1:13" ht="15.2" customHeight="1" x14ac:dyDescent="0.2">
      <c r="A2" s="26" t="s">
        <v>7619</v>
      </c>
      <c r="B2" s="27" t="s">
        <v>7620</v>
      </c>
      <c r="C2" s="28">
        <v>1</v>
      </c>
      <c r="D2" s="29">
        <v>64.75</v>
      </c>
      <c r="E2" s="29">
        <v>64.75</v>
      </c>
      <c r="F2" s="30">
        <v>189</v>
      </c>
      <c r="G2" s="29">
        <v>189</v>
      </c>
      <c r="H2" s="28">
        <v>155374</v>
      </c>
      <c r="I2" s="27" t="s">
        <v>59</v>
      </c>
      <c r="J2" s="31" t="s">
        <v>69</v>
      </c>
      <c r="K2" s="27" t="s">
        <v>24</v>
      </c>
      <c r="L2" s="27" t="s">
        <v>1972</v>
      </c>
      <c r="M2" s="32" t="str">
        <f>HYPERLINK("http://slimages.macys.com/is/image/MCY/3800883 ")</f>
        <v xml:space="preserve">http://slimages.macys.com/is/image/MCY/3800883 </v>
      </c>
    </row>
    <row r="3" spans="1:13" ht="15.2" customHeight="1" x14ac:dyDescent="0.2">
      <c r="A3" s="26" t="s">
        <v>9475</v>
      </c>
      <c r="B3" s="27" t="s">
        <v>9476</v>
      </c>
      <c r="C3" s="28">
        <v>1</v>
      </c>
      <c r="D3" s="29">
        <v>34</v>
      </c>
      <c r="E3" s="29">
        <v>34</v>
      </c>
      <c r="F3" s="30">
        <v>99</v>
      </c>
      <c r="G3" s="29">
        <v>99</v>
      </c>
      <c r="H3" s="28" t="s">
        <v>4910</v>
      </c>
      <c r="I3" s="27" t="s">
        <v>291</v>
      </c>
      <c r="J3" s="31" t="s">
        <v>216</v>
      </c>
      <c r="K3" s="27" t="s">
        <v>24</v>
      </c>
      <c r="L3" s="27" t="s">
        <v>25</v>
      </c>
      <c r="M3" s="32" t="str">
        <f>HYPERLINK("http://slimages.macys.com/is/image/MCY/2950892 ")</f>
        <v xml:space="preserve">http://slimages.macys.com/is/image/MCY/2950892 </v>
      </c>
    </row>
    <row r="4" spans="1:13" ht="15.2" customHeight="1" x14ac:dyDescent="0.2">
      <c r="A4" s="26" t="s">
        <v>9477</v>
      </c>
      <c r="B4" s="27" t="s">
        <v>9478</v>
      </c>
      <c r="C4" s="28">
        <v>1</v>
      </c>
      <c r="D4" s="29">
        <v>27.2</v>
      </c>
      <c r="E4" s="29">
        <v>27.2</v>
      </c>
      <c r="F4" s="30">
        <v>79</v>
      </c>
      <c r="G4" s="29">
        <v>79</v>
      </c>
      <c r="H4" s="28" t="s">
        <v>1726</v>
      </c>
      <c r="I4" s="27" t="s">
        <v>75</v>
      </c>
      <c r="J4" s="31" t="s">
        <v>52</v>
      </c>
      <c r="K4" s="27" t="s">
        <v>42</v>
      </c>
      <c r="L4" s="27" t="s">
        <v>43</v>
      </c>
      <c r="M4" s="32" t="str">
        <f>HYPERLINK("http://slimages.macys.com/is/image/MCY/3636315 ")</f>
        <v xml:space="preserve">http://slimages.macys.com/is/image/MCY/3636315 </v>
      </c>
    </row>
    <row r="5" spans="1:13" ht="15.2" customHeight="1" x14ac:dyDescent="0.2">
      <c r="A5" s="26" t="s">
        <v>7347</v>
      </c>
      <c r="B5" s="27" t="s">
        <v>7348</v>
      </c>
      <c r="C5" s="28">
        <v>1</v>
      </c>
      <c r="D5" s="29">
        <v>27.2</v>
      </c>
      <c r="E5" s="29">
        <v>27.2</v>
      </c>
      <c r="F5" s="30">
        <v>79</v>
      </c>
      <c r="G5" s="29">
        <v>79</v>
      </c>
      <c r="H5" s="28" t="s">
        <v>1726</v>
      </c>
      <c r="I5" s="27" t="s">
        <v>75</v>
      </c>
      <c r="J5" s="31" t="s">
        <v>21</v>
      </c>
      <c r="K5" s="27" t="s">
        <v>42</v>
      </c>
      <c r="L5" s="27" t="s">
        <v>43</v>
      </c>
      <c r="M5" s="32" t="str">
        <f>HYPERLINK("http://slimages.macys.com/is/image/MCY/3636315 ")</f>
        <v xml:space="preserve">http://slimages.macys.com/is/image/MCY/3636315 </v>
      </c>
    </row>
    <row r="6" spans="1:13" ht="15.2" customHeight="1" x14ac:dyDescent="0.2">
      <c r="A6" s="26" t="s">
        <v>9479</v>
      </c>
      <c r="B6" s="27" t="s">
        <v>9480</v>
      </c>
      <c r="C6" s="28">
        <v>1</v>
      </c>
      <c r="D6" s="29">
        <v>27.2</v>
      </c>
      <c r="E6" s="29">
        <v>27.2</v>
      </c>
      <c r="F6" s="30">
        <v>79</v>
      </c>
      <c r="G6" s="29">
        <v>79</v>
      </c>
      <c r="H6" s="28" t="s">
        <v>8895</v>
      </c>
      <c r="I6" s="27" t="s">
        <v>189</v>
      </c>
      <c r="J6" s="31" t="s">
        <v>5</v>
      </c>
      <c r="K6" s="27" t="s">
        <v>42</v>
      </c>
      <c r="L6" s="27" t="s">
        <v>43</v>
      </c>
      <c r="M6" s="32" t="str">
        <f>HYPERLINK("http://slimages.macys.com/is/image/MCY/3611176 ")</f>
        <v xml:space="preserve">http://slimages.macys.com/is/image/MCY/3611176 </v>
      </c>
    </row>
    <row r="7" spans="1:13" ht="15.2" customHeight="1" x14ac:dyDescent="0.2">
      <c r="A7" s="26" t="s">
        <v>5590</v>
      </c>
      <c r="B7" s="27" t="s">
        <v>5591</v>
      </c>
      <c r="C7" s="28">
        <v>1</v>
      </c>
      <c r="D7" s="29">
        <v>27.2</v>
      </c>
      <c r="E7" s="29">
        <v>27.2</v>
      </c>
      <c r="F7" s="30">
        <v>79</v>
      </c>
      <c r="G7" s="29">
        <v>79</v>
      </c>
      <c r="H7" s="28" t="s">
        <v>5592</v>
      </c>
      <c r="I7" s="27" t="s">
        <v>4</v>
      </c>
      <c r="J7" s="31" t="s">
        <v>52</v>
      </c>
      <c r="K7" s="27" t="s">
        <v>42</v>
      </c>
      <c r="L7" s="27" t="s">
        <v>43</v>
      </c>
      <c r="M7" s="32" t="str">
        <f>HYPERLINK("http://slimages.macys.com/is/image/MCY/3611265 ")</f>
        <v xml:space="preserve">http://slimages.macys.com/is/image/MCY/3611265 </v>
      </c>
    </row>
    <row r="8" spans="1:13" ht="15.2" customHeight="1" x14ac:dyDescent="0.2">
      <c r="A8" s="26" t="s">
        <v>8893</v>
      </c>
      <c r="B8" s="27" t="s">
        <v>8894</v>
      </c>
      <c r="C8" s="28">
        <v>2</v>
      </c>
      <c r="D8" s="29">
        <v>27.2</v>
      </c>
      <c r="E8" s="29">
        <v>54.4</v>
      </c>
      <c r="F8" s="30">
        <v>79</v>
      </c>
      <c r="G8" s="29">
        <v>158</v>
      </c>
      <c r="H8" s="28" t="s">
        <v>8895</v>
      </c>
      <c r="I8" s="27" t="s">
        <v>189</v>
      </c>
      <c r="J8" s="31" t="s">
        <v>52</v>
      </c>
      <c r="K8" s="27" t="s">
        <v>42</v>
      </c>
      <c r="L8" s="27" t="s">
        <v>43</v>
      </c>
      <c r="M8" s="32" t="str">
        <f>HYPERLINK("http://slimages.macys.com/is/image/MCY/3611176 ")</f>
        <v xml:space="preserve">http://slimages.macys.com/is/image/MCY/3611176 </v>
      </c>
    </row>
    <row r="9" spans="1:13" ht="15.2" customHeight="1" x14ac:dyDescent="0.2">
      <c r="A9" s="26" t="s">
        <v>8761</v>
      </c>
      <c r="B9" s="27" t="s">
        <v>8762</v>
      </c>
      <c r="C9" s="28">
        <v>2</v>
      </c>
      <c r="D9" s="29">
        <v>25.5</v>
      </c>
      <c r="E9" s="29">
        <v>51</v>
      </c>
      <c r="F9" s="30">
        <v>79</v>
      </c>
      <c r="G9" s="29">
        <v>158</v>
      </c>
      <c r="H9" s="28" t="s">
        <v>7627</v>
      </c>
      <c r="I9" s="27" t="s">
        <v>36</v>
      </c>
      <c r="J9" s="31"/>
      <c r="K9" s="27" t="s">
        <v>24</v>
      </c>
      <c r="L9" s="27" t="s">
        <v>67</v>
      </c>
      <c r="M9" s="32" t="str">
        <f>HYPERLINK("http://slimages.macys.com/is/image/MCY/3778278 ")</f>
        <v xml:space="preserve">http://slimages.macys.com/is/image/MCY/3778278 </v>
      </c>
    </row>
    <row r="10" spans="1:13" ht="15.2" customHeight="1" x14ac:dyDescent="0.2">
      <c r="A10" s="26" t="s">
        <v>7625</v>
      </c>
      <c r="B10" s="27" t="s">
        <v>7626</v>
      </c>
      <c r="C10" s="28">
        <v>1</v>
      </c>
      <c r="D10" s="29">
        <v>25.5</v>
      </c>
      <c r="E10" s="29">
        <v>25.5</v>
      </c>
      <c r="F10" s="30">
        <v>79</v>
      </c>
      <c r="G10" s="29">
        <v>79</v>
      </c>
      <c r="H10" s="28" t="s">
        <v>7627</v>
      </c>
      <c r="I10" s="27" t="s">
        <v>36</v>
      </c>
      <c r="J10" s="31"/>
      <c r="K10" s="27" t="s">
        <v>24</v>
      </c>
      <c r="L10" s="27" t="s">
        <v>67</v>
      </c>
      <c r="M10" s="32" t="str">
        <f>HYPERLINK("http://slimages.macys.com/is/image/MCY/3778278 ")</f>
        <v xml:space="preserve">http://slimages.macys.com/is/image/MCY/3778278 </v>
      </c>
    </row>
    <row r="11" spans="1:13" ht="15.2" customHeight="1" x14ac:dyDescent="0.2">
      <c r="A11" s="26" t="s">
        <v>8759</v>
      </c>
      <c r="B11" s="27" t="s">
        <v>8760</v>
      </c>
      <c r="C11" s="28">
        <v>2</v>
      </c>
      <c r="D11" s="29">
        <v>25.5</v>
      </c>
      <c r="E11" s="29">
        <v>51</v>
      </c>
      <c r="F11" s="30">
        <v>79</v>
      </c>
      <c r="G11" s="29">
        <v>158</v>
      </c>
      <c r="H11" s="28" t="s">
        <v>7627</v>
      </c>
      <c r="I11" s="27" t="s">
        <v>36</v>
      </c>
      <c r="J11" s="31"/>
      <c r="K11" s="27" t="s">
        <v>24</v>
      </c>
      <c r="L11" s="27" t="s">
        <v>67</v>
      </c>
      <c r="M11" s="32" t="str">
        <f>HYPERLINK("http://slimages.macys.com/is/image/MCY/3778278 ")</f>
        <v xml:space="preserve">http://slimages.macys.com/is/image/MCY/3778278 </v>
      </c>
    </row>
    <row r="12" spans="1:13" ht="15.2" customHeight="1" x14ac:dyDescent="0.2">
      <c r="A12" s="26" t="s">
        <v>9481</v>
      </c>
      <c r="B12" s="27" t="s">
        <v>9482</v>
      </c>
      <c r="C12" s="28">
        <v>1</v>
      </c>
      <c r="D12" s="29">
        <v>25.5</v>
      </c>
      <c r="E12" s="29">
        <v>25.5</v>
      </c>
      <c r="F12" s="30">
        <v>79</v>
      </c>
      <c r="G12" s="29">
        <v>79</v>
      </c>
      <c r="H12" s="28" t="s">
        <v>7627</v>
      </c>
      <c r="I12" s="27" t="s">
        <v>36</v>
      </c>
      <c r="J12" s="31" t="s">
        <v>214</v>
      </c>
      <c r="K12" s="27" t="s">
        <v>24</v>
      </c>
      <c r="L12" s="27" t="s">
        <v>67</v>
      </c>
      <c r="M12" s="32" t="str">
        <f>HYPERLINK("http://slimages.macys.com/is/image/MCY/3778278 ")</f>
        <v xml:space="preserve">http://slimages.macys.com/is/image/MCY/3778278 </v>
      </c>
    </row>
    <row r="13" spans="1:13" ht="15.2" customHeight="1" x14ac:dyDescent="0.2">
      <c r="A13" s="26" t="s">
        <v>9483</v>
      </c>
      <c r="B13" s="27" t="s">
        <v>9484</v>
      </c>
      <c r="C13" s="28">
        <v>1</v>
      </c>
      <c r="D13" s="29">
        <v>24.34</v>
      </c>
      <c r="E13" s="29">
        <v>24.34</v>
      </c>
      <c r="F13" s="30">
        <v>39.99</v>
      </c>
      <c r="G13" s="29">
        <v>39.99</v>
      </c>
      <c r="H13" s="28">
        <v>188810051</v>
      </c>
      <c r="I13" s="27" t="s">
        <v>189</v>
      </c>
      <c r="J13" s="31"/>
      <c r="K13" s="27" t="s">
        <v>2</v>
      </c>
      <c r="L13" s="27" t="s">
        <v>3</v>
      </c>
      <c r="M13" s="32" t="str">
        <f>HYPERLINK("http://slimages.macys.com/is/image/MCY/2885631 ")</f>
        <v xml:space="preserve">http://slimages.macys.com/is/image/MCY/2885631 </v>
      </c>
    </row>
    <row r="14" spans="1:13" ht="15.2" customHeight="1" x14ac:dyDescent="0.2">
      <c r="A14" s="26" t="s">
        <v>9485</v>
      </c>
      <c r="B14" s="27" t="s">
        <v>9486</v>
      </c>
      <c r="C14" s="28">
        <v>1</v>
      </c>
      <c r="D14" s="29">
        <v>24.15</v>
      </c>
      <c r="E14" s="29">
        <v>24.15</v>
      </c>
      <c r="F14" s="30">
        <v>69</v>
      </c>
      <c r="G14" s="29">
        <v>69</v>
      </c>
      <c r="H14" s="28" t="s">
        <v>9487</v>
      </c>
      <c r="I14" s="27" t="s">
        <v>238</v>
      </c>
      <c r="J14" s="31" t="s">
        <v>71</v>
      </c>
      <c r="K14" s="27" t="s">
        <v>654</v>
      </c>
      <c r="L14" s="27" t="s">
        <v>655</v>
      </c>
      <c r="M14" s="32" t="str">
        <f>HYPERLINK("http://slimages.macys.com/is/image/MCY/3750134 ")</f>
        <v xml:space="preserve">http://slimages.macys.com/is/image/MCY/3750134 </v>
      </c>
    </row>
    <row r="15" spans="1:13" ht="15.2" customHeight="1" x14ac:dyDescent="0.2">
      <c r="A15" s="26" t="s">
        <v>7483</v>
      </c>
      <c r="B15" s="27" t="s">
        <v>7484</v>
      </c>
      <c r="C15" s="28">
        <v>1</v>
      </c>
      <c r="D15" s="29">
        <v>24</v>
      </c>
      <c r="E15" s="29">
        <v>24</v>
      </c>
      <c r="F15" s="30">
        <v>69</v>
      </c>
      <c r="G15" s="29">
        <v>69</v>
      </c>
      <c r="H15" s="28" t="s">
        <v>2080</v>
      </c>
      <c r="I15" s="27" t="s">
        <v>75</v>
      </c>
      <c r="J15" s="31" t="s">
        <v>21</v>
      </c>
      <c r="K15" s="27" t="s">
        <v>37</v>
      </c>
      <c r="L15" s="27" t="s">
        <v>38</v>
      </c>
      <c r="M15" s="32" t="str">
        <f>HYPERLINK("http://slimages.macys.com/is/image/MCY/3827012 ")</f>
        <v xml:space="preserve">http://slimages.macys.com/is/image/MCY/3827012 </v>
      </c>
    </row>
    <row r="16" spans="1:13" ht="15.2" customHeight="1" x14ac:dyDescent="0.2">
      <c r="A16" s="26" t="s">
        <v>9488</v>
      </c>
      <c r="B16" s="27" t="s">
        <v>9489</v>
      </c>
      <c r="C16" s="28">
        <v>1</v>
      </c>
      <c r="D16" s="29">
        <v>23.85</v>
      </c>
      <c r="E16" s="29">
        <v>23.85</v>
      </c>
      <c r="F16" s="30">
        <v>79.5</v>
      </c>
      <c r="G16" s="29">
        <v>79.5</v>
      </c>
      <c r="H16" s="28">
        <v>49008255</v>
      </c>
      <c r="I16" s="27" t="s">
        <v>4</v>
      </c>
      <c r="J16" s="31" t="s">
        <v>65</v>
      </c>
      <c r="K16" s="27" t="s">
        <v>6</v>
      </c>
      <c r="L16" s="27" t="s">
        <v>7</v>
      </c>
      <c r="M16" s="32" t="str">
        <f>HYPERLINK("http://slimages.macys.com/is/image/MCY/3829241 ")</f>
        <v xml:space="preserve">http://slimages.macys.com/is/image/MCY/3829241 </v>
      </c>
    </row>
    <row r="17" spans="1:13" ht="15.2" customHeight="1" x14ac:dyDescent="0.2">
      <c r="A17" s="26" t="s">
        <v>9490</v>
      </c>
      <c r="B17" s="27" t="s">
        <v>9491</v>
      </c>
      <c r="C17" s="28">
        <v>2</v>
      </c>
      <c r="D17" s="29">
        <v>23.7</v>
      </c>
      <c r="E17" s="29">
        <v>47.4</v>
      </c>
      <c r="F17" s="30">
        <v>79</v>
      </c>
      <c r="G17" s="29">
        <v>158</v>
      </c>
      <c r="H17" s="28">
        <v>49007619</v>
      </c>
      <c r="I17" s="27" t="s">
        <v>1472</v>
      </c>
      <c r="J17" s="31" t="s">
        <v>40</v>
      </c>
      <c r="K17" s="27" t="s">
        <v>6</v>
      </c>
      <c r="L17" s="27" t="s">
        <v>7</v>
      </c>
      <c r="M17" s="32" t="str">
        <f>HYPERLINK("http://slimages.macys.com/is/image/MCY/3600948 ")</f>
        <v xml:space="preserve">http://slimages.macys.com/is/image/MCY/3600948 </v>
      </c>
    </row>
    <row r="18" spans="1:13" ht="15.2" customHeight="1" x14ac:dyDescent="0.2">
      <c r="A18" s="26" t="s">
        <v>9492</v>
      </c>
      <c r="B18" s="27" t="s">
        <v>9493</v>
      </c>
      <c r="C18" s="28">
        <v>1</v>
      </c>
      <c r="D18" s="29">
        <v>22.4</v>
      </c>
      <c r="E18" s="29">
        <v>22.4</v>
      </c>
      <c r="F18" s="30">
        <v>64</v>
      </c>
      <c r="G18" s="29">
        <v>64</v>
      </c>
      <c r="H18" s="28" t="s">
        <v>6405</v>
      </c>
      <c r="I18" s="27" t="s">
        <v>4</v>
      </c>
      <c r="J18" s="31" t="s">
        <v>5</v>
      </c>
      <c r="K18" s="27" t="s">
        <v>795</v>
      </c>
      <c r="L18" s="27" t="s">
        <v>796</v>
      </c>
      <c r="M18" s="32" t="str">
        <f>HYPERLINK("http://slimages.macys.com/is/image/MCY/3704449 ")</f>
        <v xml:space="preserve">http://slimages.macys.com/is/image/MCY/3704449 </v>
      </c>
    </row>
    <row r="19" spans="1:13" ht="15.2" customHeight="1" x14ac:dyDescent="0.2">
      <c r="A19" s="26" t="s">
        <v>9494</v>
      </c>
      <c r="B19" s="27" t="s">
        <v>9495</v>
      </c>
      <c r="C19" s="28">
        <v>1</v>
      </c>
      <c r="D19" s="29">
        <v>22.29</v>
      </c>
      <c r="E19" s="29">
        <v>22.29</v>
      </c>
      <c r="F19" s="30">
        <v>50.99</v>
      </c>
      <c r="G19" s="29">
        <v>50.99</v>
      </c>
      <c r="H19" s="28" t="s">
        <v>8583</v>
      </c>
      <c r="I19" s="27" t="s">
        <v>10</v>
      </c>
      <c r="J19" s="31" t="s">
        <v>40</v>
      </c>
      <c r="K19" s="27" t="s">
        <v>41</v>
      </c>
      <c r="L19" s="27" t="s">
        <v>45</v>
      </c>
      <c r="M19" s="32" t="str">
        <f>HYPERLINK("http://slimages.macys.com/is/image/MCY/3548401 ")</f>
        <v xml:space="preserve">http://slimages.macys.com/is/image/MCY/3548401 </v>
      </c>
    </row>
    <row r="20" spans="1:13" ht="15.2" customHeight="1" x14ac:dyDescent="0.2">
      <c r="A20" s="26" t="s">
        <v>7630</v>
      </c>
      <c r="B20" s="27" t="s">
        <v>7631</v>
      </c>
      <c r="C20" s="28">
        <v>1</v>
      </c>
      <c r="D20" s="29">
        <v>22.25</v>
      </c>
      <c r="E20" s="29">
        <v>22.25</v>
      </c>
      <c r="F20" s="30">
        <v>64.5</v>
      </c>
      <c r="G20" s="29">
        <v>64.5</v>
      </c>
      <c r="H20" s="28" t="s">
        <v>7632</v>
      </c>
      <c r="I20" s="27" t="s">
        <v>4</v>
      </c>
      <c r="J20" s="31" t="s">
        <v>5</v>
      </c>
      <c r="K20" s="27" t="s">
        <v>53</v>
      </c>
      <c r="L20" s="27" t="s">
        <v>54</v>
      </c>
      <c r="M20" s="32" t="str">
        <f>HYPERLINK("http://slimages.macys.com/is/image/MCY/3836405 ")</f>
        <v xml:space="preserve">http://slimages.macys.com/is/image/MCY/3836405 </v>
      </c>
    </row>
    <row r="21" spans="1:13" ht="15.2" customHeight="1" x14ac:dyDescent="0.2">
      <c r="A21" s="26" t="s">
        <v>9496</v>
      </c>
      <c r="B21" s="27" t="s">
        <v>9497</v>
      </c>
      <c r="C21" s="28">
        <v>1</v>
      </c>
      <c r="D21" s="29">
        <v>22</v>
      </c>
      <c r="E21" s="29">
        <v>22</v>
      </c>
      <c r="F21" s="30">
        <v>69</v>
      </c>
      <c r="G21" s="29">
        <v>69</v>
      </c>
      <c r="H21" s="28" t="s">
        <v>8584</v>
      </c>
      <c r="I21" s="27" t="s">
        <v>661</v>
      </c>
      <c r="J21" s="31" t="s">
        <v>69</v>
      </c>
      <c r="K21" s="27" t="s">
        <v>24</v>
      </c>
      <c r="L21" s="27" t="s">
        <v>485</v>
      </c>
      <c r="M21" s="32" t="str">
        <f>HYPERLINK("http://slimages.macys.com/is/image/MCY/3758211 ")</f>
        <v xml:space="preserve">http://slimages.macys.com/is/image/MCY/3758211 </v>
      </c>
    </row>
    <row r="22" spans="1:13" ht="15.2" customHeight="1" x14ac:dyDescent="0.2">
      <c r="A22" s="26" t="s">
        <v>9498</v>
      </c>
      <c r="B22" s="27" t="s">
        <v>9499</v>
      </c>
      <c r="C22" s="28">
        <v>1</v>
      </c>
      <c r="D22" s="29">
        <v>22</v>
      </c>
      <c r="E22" s="29">
        <v>22</v>
      </c>
      <c r="F22" s="30">
        <v>69</v>
      </c>
      <c r="G22" s="29">
        <v>69</v>
      </c>
      <c r="H22" s="28" t="s">
        <v>7637</v>
      </c>
      <c r="I22" s="27" t="s">
        <v>377</v>
      </c>
      <c r="J22" s="31" t="s">
        <v>71</v>
      </c>
      <c r="K22" s="27" t="s">
        <v>37</v>
      </c>
      <c r="L22" s="27" t="s">
        <v>38</v>
      </c>
      <c r="M22" s="32" t="str">
        <f>HYPERLINK("http://slimages.macys.com/is/image/MCY/3670411 ")</f>
        <v xml:space="preserve">http://slimages.macys.com/is/image/MCY/3670411 </v>
      </c>
    </row>
    <row r="23" spans="1:13" ht="15.2" customHeight="1" x14ac:dyDescent="0.2">
      <c r="A23" s="26" t="s">
        <v>8244</v>
      </c>
      <c r="B23" s="27" t="s">
        <v>8245</v>
      </c>
      <c r="C23" s="28">
        <v>1</v>
      </c>
      <c r="D23" s="29">
        <v>22</v>
      </c>
      <c r="E23" s="29">
        <v>22</v>
      </c>
      <c r="F23" s="30">
        <v>69</v>
      </c>
      <c r="G23" s="29">
        <v>69</v>
      </c>
      <c r="H23" s="28" t="s">
        <v>7637</v>
      </c>
      <c r="I23" s="27" t="s">
        <v>377</v>
      </c>
      <c r="J23" s="31" t="s">
        <v>5</v>
      </c>
      <c r="K23" s="27" t="s">
        <v>37</v>
      </c>
      <c r="L23" s="27" t="s">
        <v>38</v>
      </c>
      <c r="M23" s="32" t="str">
        <f>HYPERLINK("http://slimages.macys.com/is/image/MCY/3670411 ")</f>
        <v xml:space="preserve">http://slimages.macys.com/is/image/MCY/3670411 </v>
      </c>
    </row>
    <row r="24" spans="1:13" ht="15.2" customHeight="1" x14ac:dyDescent="0.2">
      <c r="A24" s="26" t="s">
        <v>8434</v>
      </c>
      <c r="B24" s="27" t="s">
        <v>8435</v>
      </c>
      <c r="C24" s="28">
        <v>1</v>
      </c>
      <c r="D24" s="29">
        <v>20.85</v>
      </c>
      <c r="E24" s="29">
        <v>20.85</v>
      </c>
      <c r="F24" s="30">
        <v>69.5</v>
      </c>
      <c r="G24" s="29">
        <v>69.5</v>
      </c>
      <c r="H24" s="28">
        <v>60435383</v>
      </c>
      <c r="I24" s="27" t="s">
        <v>39</v>
      </c>
      <c r="J24" s="31" t="s">
        <v>5</v>
      </c>
      <c r="K24" s="27" t="s">
        <v>6</v>
      </c>
      <c r="L24" s="27" t="s">
        <v>7</v>
      </c>
      <c r="M24" s="32" t="str">
        <f>HYPERLINK("http://slimages.macys.com/is/image/MCY/3900381 ")</f>
        <v xml:space="preserve">http://slimages.macys.com/is/image/MCY/3900381 </v>
      </c>
    </row>
    <row r="25" spans="1:13" ht="15.2" customHeight="1" x14ac:dyDescent="0.2">
      <c r="A25" s="26" t="s">
        <v>7638</v>
      </c>
      <c r="B25" s="27" t="s">
        <v>7639</v>
      </c>
      <c r="C25" s="28">
        <v>1</v>
      </c>
      <c r="D25" s="29">
        <v>20.85</v>
      </c>
      <c r="E25" s="29">
        <v>20.85</v>
      </c>
      <c r="F25" s="30">
        <v>69.5</v>
      </c>
      <c r="G25" s="29">
        <v>69.5</v>
      </c>
      <c r="H25" s="28">
        <v>60435383</v>
      </c>
      <c r="I25" s="27" t="s">
        <v>4</v>
      </c>
      <c r="J25" s="31" t="s">
        <v>21</v>
      </c>
      <c r="K25" s="27" t="s">
        <v>6</v>
      </c>
      <c r="L25" s="27" t="s">
        <v>7</v>
      </c>
      <c r="M25" s="32" t="str">
        <f>HYPERLINK("http://slimages.macys.com/is/image/MCY/3900381 ")</f>
        <v xml:space="preserve">http://slimages.macys.com/is/image/MCY/3900381 </v>
      </c>
    </row>
    <row r="26" spans="1:13" ht="15.2" customHeight="1" x14ac:dyDescent="0.2">
      <c r="A26" s="26" t="s">
        <v>9500</v>
      </c>
      <c r="B26" s="27" t="s">
        <v>9501</v>
      </c>
      <c r="C26" s="28">
        <v>1</v>
      </c>
      <c r="D26" s="29">
        <v>20.85</v>
      </c>
      <c r="E26" s="29">
        <v>20.85</v>
      </c>
      <c r="F26" s="30">
        <v>69.5</v>
      </c>
      <c r="G26" s="29">
        <v>69.5</v>
      </c>
      <c r="H26" s="28">
        <v>60435383</v>
      </c>
      <c r="I26" s="27" t="s">
        <v>39</v>
      </c>
      <c r="J26" s="31" t="s">
        <v>71</v>
      </c>
      <c r="K26" s="27" t="s">
        <v>6</v>
      </c>
      <c r="L26" s="27" t="s">
        <v>7</v>
      </c>
      <c r="M26" s="32" t="str">
        <f>HYPERLINK("http://slimages.macys.com/is/image/MCY/3900381 ")</f>
        <v xml:space="preserve">http://slimages.macys.com/is/image/MCY/3900381 </v>
      </c>
    </row>
    <row r="27" spans="1:13" ht="15.2" customHeight="1" x14ac:dyDescent="0.2">
      <c r="A27" s="26" t="s">
        <v>9502</v>
      </c>
      <c r="B27" s="27" t="s">
        <v>9503</v>
      </c>
      <c r="C27" s="28">
        <v>1</v>
      </c>
      <c r="D27" s="29">
        <v>20.63</v>
      </c>
      <c r="E27" s="29">
        <v>20.63</v>
      </c>
      <c r="F27" s="30">
        <v>50.99</v>
      </c>
      <c r="G27" s="29">
        <v>50.99</v>
      </c>
      <c r="H27" s="28" t="s">
        <v>4438</v>
      </c>
      <c r="I27" s="27" t="s">
        <v>10</v>
      </c>
      <c r="J27" s="31" t="s">
        <v>71</v>
      </c>
      <c r="K27" s="27" t="s">
        <v>41</v>
      </c>
      <c r="L27" s="27" t="s">
        <v>45</v>
      </c>
      <c r="M27" s="32" t="str">
        <f>HYPERLINK("http://slimages.macys.com/is/image/MCY/3612234 ")</f>
        <v xml:space="preserve">http://slimages.macys.com/is/image/MCY/3612234 </v>
      </c>
    </row>
    <row r="28" spans="1:13" ht="15.2" customHeight="1" x14ac:dyDescent="0.2">
      <c r="A28" s="26" t="s">
        <v>9504</v>
      </c>
      <c r="B28" s="27" t="s">
        <v>9505</v>
      </c>
      <c r="C28" s="28">
        <v>1</v>
      </c>
      <c r="D28" s="29">
        <v>20.53</v>
      </c>
      <c r="E28" s="29">
        <v>20.53</v>
      </c>
      <c r="F28" s="30">
        <v>59.5</v>
      </c>
      <c r="G28" s="29">
        <v>59.5</v>
      </c>
      <c r="H28" s="28" t="s">
        <v>8952</v>
      </c>
      <c r="I28" s="27" t="s">
        <v>215</v>
      </c>
      <c r="J28" s="31" t="s">
        <v>5</v>
      </c>
      <c r="K28" s="27" t="s">
        <v>53</v>
      </c>
      <c r="L28" s="27" t="s">
        <v>54</v>
      </c>
      <c r="M28" s="32" t="str">
        <f>HYPERLINK("http://slimages.macys.com/is/image/MCY/3637736 ")</f>
        <v xml:space="preserve">http://slimages.macys.com/is/image/MCY/3637736 </v>
      </c>
    </row>
    <row r="29" spans="1:13" ht="15.2" customHeight="1" x14ac:dyDescent="0.2">
      <c r="A29" s="26" t="s">
        <v>8945</v>
      </c>
      <c r="B29" s="27" t="s">
        <v>8946</v>
      </c>
      <c r="C29" s="28">
        <v>1</v>
      </c>
      <c r="D29" s="29">
        <v>20.53</v>
      </c>
      <c r="E29" s="29">
        <v>20.53</v>
      </c>
      <c r="F29" s="30">
        <v>59.5</v>
      </c>
      <c r="G29" s="29">
        <v>59.5</v>
      </c>
      <c r="H29" s="28" t="s">
        <v>8587</v>
      </c>
      <c r="I29" s="27" t="s">
        <v>64</v>
      </c>
      <c r="J29" s="31" t="s">
        <v>40</v>
      </c>
      <c r="K29" s="27" t="s">
        <v>53</v>
      </c>
      <c r="L29" s="27" t="s">
        <v>54</v>
      </c>
      <c r="M29" s="32" t="str">
        <f>HYPERLINK("http://slimages.macys.com/is/image/MCY/3624338 ")</f>
        <v xml:space="preserve">http://slimages.macys.com/is/image/MCY/3624338 </v>
      </c>
    </row>
    <row r="30" spans="1:13" ht="15.2" customHeight="1" x14ac:dyDescent="0.2">
      <c r="A30" s="26" t="s">
        <v>8585</v>
      </c>
      <c r="B30" s="27" t="s">
        <v>8586</v>
      </c>
      <c r="C30" s="28">
        <v>1</v>
      </c>
      <c r="D30" s="29">
        <v>20.53</v>
      </c>
      <c r="E30" s="29">
        <v>20.53</v>
      </c>
      <c r="F30" s="30">
        <v>59.5</v>
      </c>
      <c r="G30" s="29">
        <v>59.5</v>
      </c>
      <c r="H30" s="28" t="s">
        <v>8587</v>
      </c>
      <c r="I30" s="27" t="s">
        <v>64</v>
      </c>
      <c r="J30" s="31" t="s">
        <v>71</v>
      </c>
      <c r="K30" s="27" t="s">
        <v>53</v>
      </c>
      <c r="L30" s="27" t="s">
        <v>54</v>
      </c>
      <c r="M30" s="32" t="str">
        <f>HYPERLINK("http://slimages.macys.com/is/image/MCY/3624338 ")</f>
        <v xml:space="preserve">http://slimages.macys.com/is/image/MCY/3624338 </v>
      </c>
    </row>
    <row r="31" spans="1:13" ht="15.2" customHeight="1" x14ac:dyDescent="0.2">
      <c r="A31" s="26" t="s">
        <v>6834</v>
      </c>
      <c r="B31" s="27" t="s">
        <v>6835</v>
      </c>
      <c r="C31" s="28">
        <v>1</v>
      </c>
      <c r="D31" s="29">
        <v>20.52</v>
      </c>
      <c r="E31" s="29">
        <v>20.52</v>
      </c>
      <c r="F31" s="30">
        <v>59.5</v>
      </c>
      <c r="G31" s="29">
        <v>59.5</v>
      </c>
      <c r="H31" s="28" t="s">
        <v>6836</v>
      </c>
      <c r="I31" s="27" t="s">
        <v>4</v>
      </c>
      <c r="J31" s="31" t="s">
        <v>21</v>
      </c>
      <c r="K31" s="27" t="s">
        <v>53</v>
      </c>
      <c r="L31" s="27" t="s">
        <v>167</v>
      </c>
      <c r="M31" s="32" t="str">
        <f>HYPERLINK("http://slimages.macys.com/is/image/MCY/3836396 ")</f>
        <v xml:space="preserve">http://slimages.macys.com/is/image/MCY/3836396 </v>
      </c>
    </row>
    <row r="32" spans="1:13" ht="15.2" customHeight="1" x14ac:dyDescent="0.2">
      <c r="A32" s="26" t="s">
        <v>5603</v>
      </c>
      <c r="B32" s="27" t="s">
        <v>5604</v>
      </c>
      <c r="C32" s="28">
        <v>1</v>
      </c>
      <c r="D32" s="29">
        <v>20.420000000000002</v>
      </c>
      <c r="E32" s="29">
        <v>20.420000000000002</v>
      </c>
      <c r="F32" s="30">
        <v>59.5</v>
      </c>
      <c r="G32" s="29">
        <v>59.5</v>
      </c>
      <c r="H32" s="28" t="s">
        <v>2561</v>
      </c>
      <c r="I32" s="27" t="s">
        <v>26</v>
      </c>
      <c r="J32" s="31" t="s">
        <v>40</v>
      </c>
      <c r="K32" s="27" t="s">
        <v>53</v>
      </c>
      <c r="L32" s="27" t="s">
        <v>167</v>
      </c>
      <c r="M32" s="32" t="str">
        <f>HYPERLINK("http://slimages.macys.com/is/image/MCY/3773786 ")</f>
        <v xml:space="preserve">http://slimages.macys.com/is/image/MCY/3773786 </v>
      </c>
    </row>
    <row r="33" spans="1:13" ht="15.2" customHeight="1" x14ac:dyDescent="0.2">
      <c r="A33" s="26" t="s">
        <v>9506</v>
      </c>
      <c r="B33" s="27" t="s">
        <v>9507</v>
      </c>
      <c r="C33" s="28">
        <v>1</v>
      </c>
      <c r="D33" s="29">
        <v>20</v>
      </c>
      <c r="E33" s="29">
        <v>20</v>
      </c>
      <c r="F33" s="30">
        <v>68</v>
      </c>
      <c r="G33" s="29">
        <v>68</v>
      </c>
      <c r="H33" s="28" t="s">
        <v>9508</v>
      </c>
      <c r="I33" s="27" t="s">
        <v>265</v>
      </c>
      <c r="J33" s="31" t="s">
        <v>21</v>
      </c>
      <c r="K33" s="27" t="s">
        <v>1089</v>
      </c>
      <c r="L33" s="27" t="s">
        <v>1090</v>
      </c>
      <c r="M33" s="32" t="str">
        <f>HYPERLINK("http://images.bloomingdales.com/is/image/BLM/8807010 ")</f>
        <v xml:space="preserve">http://images.bloomingdales.com/is/image/BLM/8807010 </v>
      </c>
    </row>
    <row r="34" spans="1:13" ht="15.2" customHeight="1" x14ac:dyDescent="0.2">
      <c r="A34" s="26" t="s">
        <v>9509</v>
      </c>
      <c r="B34" s="27" t="s">
        <v>9510</v>
      </c>
      <c r="C34" s="28">
        <v>1</v>
      </c>
      <c r="D34" s="29">
        <v>20</v>
      </c>
      <c r="E34" s="29">
        <v>20</v>
      </c>
      <c r="F34" s="30">
        <v>68</v>
      </c>
      <c r="G34" s="29">
        <v>68</v>
      </c>
      <c r="H34" s="28" t="s">
        <v>9508</v>
      </c>
      <c r="I34" s="27" t="s">
        <v>265</v>
      </c>
      <c r="J34" s="31" t="s">
        <v>52</v>
      </c>
      <c r="K34" s="27" t="s">
        <v>1089</v>
      </c>
      <c r="L34" s="27" t="s">
        <v>1090</v>
      </c>
      <c r="M34" s="32" t="str">
        <f>HYPERLINK("http://images.bloomingdales.com/is/image/BLM/8807010 ")</f>
        <v xml:space="preserve">http://images.bloomingdales.com/is/image/BLM/8807010 </v>
      </c>
    </row>
    <row r="35" spans="1:13" ht="15.2" customHeight="1" x14ac:dyDescent="0.2">
      <c r="A35" s="26" t="s">
        <v>8590</v>
      </c>
      <c r="B35" s="27" t="s">
        <v>8591</v>
      </c>
      <c r="C35" s="28">
        <v>1</v>
      </c>
      <c r="D35" s="29">
        <v>19.600000000000001</v>
      </c>
      <c r="E35" s="29">
        <v>19.600000000000001</v>
      </c>
      <c r="F35" s="30">
        <v>69</v>
      </c>
      <c r="G35" s="29">
        <v>69</v>
      </c>
      <c r="H35" s="28" t="s">
        <v>5610</v>
      </c>
      <c r="I35" s="27"/>
      <c r="J35" s="31" t="s">
        <v>5</v>
      </c>
      <c r="K35" s="27" t="s">
        <v>42</v>
      </c>
      <c r="L35" s="27" t="s">
        <v>43</v>
      </c>
      <c r="M35" s="32" t="str">
        <f>HYPERLINK("http://slimages.macys.com/is/image/MCY/3611438 ")</f>
        <v xml:space="preserve">http://slimages.macys.com/is/image/MCY/3611438 </v>
      </c>
    </row>
    <row r="36" spans="1:13" ht="15.2" customHeight="1" x14ac:dyDescent="0.2">
      <c r="A36" s="26" t="s">
        <v>9511</v>
      </c>
      <c r="B36" s="27" t="s">
        <v>9512</v>
      </c>
      <c r="C36" s="28">
        <v>1</v>
      </c>
      <c r="D36" s="29">
        <v>19.5</v>
      </c>
      <c r="E36" s="29">
        <v>19.5</v>
      </c>
      <c r="F36" s="30">
        <v>59</v>
      </c>
      <c r="G36" s="29">
        <v>59</v>
      </c>
      <c r="H36" s="28" t="s">
        <v>9513</v>
      </c>
      <c r="I36" s="27" t="s">
        <v>4</v>
      </c>
      <c r="J36" s="31" t="s">
        <v>5</v>
      </c>
      <c r="K36" s="27" t="s">
        <v>24</v>
      </c>
      <c r="L36" s="27" t="s">
        <v>650</v>
      </c>
      <c r="M36" s="32" t="str">
        <f>HYPERLINK("http://slimages.macys.com/is/image/MCY/3783878 ")</f>
        <v xml:space="preserve">http://slimages.macys.com/is/image/MCY/3783878 </v>
      </c>
    </row>
    <row r="37" spans="1:13" ht="15.2" customHeight="1" x14ac:dyDescent="0.2">
      <c r="A37" s="26" t="s">
        <v>2567</v>
      </c>
      <c r="B37" s="27" t="s">
        <v>2568</v>
      </c>
      <c r="C37" s="28">
        <v>1</v>
      </c>
      <c r="D37" s="29">
        <v>19</v>
      </c>
      <c r="E37" s="29">
        <v>19</v>
      </c>
      <c r="F37" s="30">
        <v>59</v>
      </c>
      <c r="G37" s="29">
        <v>59</v>
      </c>
      <c r="H37" s="28" t="s">
        <v>2569</v>
      </c>
      <c r="I37" s="27" t="s">
        <v>75</v>
      </c>
      <c r="J37" s="31" t="s">
        <v>234</v>
      </c>
      <c r="K37" s="27" t="s">
        <v>24</v>
      </c>
      <c r="L37" s="27" t="s">
        <v>128</v>
      </c>
      <c r="M37" s="32" t="str">
        <f>HYPERLINK("http://slimages.macys.com/is/image/MCY/3739568 ")</f>
        <v xml:space="preserve">http://slimages.macys.com/is/image/MCY/3739568 </v>
      </c>
    </row>
    <row r="38" spans="1:13" ht="15.2" customHeight="1" x14ac:dyDescent="0.2">
      <c r="A38" s="26" t="s">
        <v>6005</v>
      </c>
      <c r="B38" s="27" t="s">
        <v>6006</v>
      </c>
      <c r="C38" s="28">
        <v>3</v>
      </c>
      <c r="D38" s="29">
        <v>19</v>
      </c>
      <c r="E38" s="29">
        <v>57</v>
      </c>
      <c r="F38" s="30">
        <v>59</v>
      </c>
      <c r="G38" s="29">
        <v>177</v>
      </c>
      <c r="H38" s="28" t="s">
        <v>6002</v>
      </c>
      <c r="I38" s="27"/>
      <c r="J38" s="31" t="s">
        <v>5</v>
      </c>
      <c r="K38" s="27" t="s">
        <v>42</v>
      </c>
      <c r="L38" s="27" t="s">
        <v>43</v>
      </c>
      <c r="M38" s="32" t="str">
        <f>HYPERLINK("http://slimages.macys.com/is/image/MCY/3611454 ")</f>
        <v xml:space="preserve">http://slimages.macys.com/is/image/MCY/3611454 </v>
      </c>
    </row>
    <row r="39" spans="1:13" ht="15.2" customHeight="1" x14ac:dyDescent="0.2">
      <c r="A39" s="26" t="s">
        <v>6000</v>
      </c>
      <c r="B39" s="27" t="s">
        <v>6001</v>
      </c>
      <c r="C39" s="28">
        <v>2</v>
      </c>
      <c r="D39" s="29">
        <v>19</v>
      </c>
      <c r="E39" s="29">
        <v>38</v>
      </c>
      <c r="F39" s="30">
        <v>59</v>
      </c>
      <c r="G39" s="29">
        <v>118</v>
      </c>
      <c r="H39" s="28" t="s">
        <v>6002</v>
      </c>
      <c r="I39" s="27"/>
      <c r="J39" s="31" t="s">
        <v>52</v>
      </c>
      <c r="K39" s="27" t="s">
        <v>42</v>
      </c>
      <c r="L39" s="27" t="s">
        <v>43</v>
      </c>
      <c r="M39" s="32" t="str">
        <f>HYPERLINK("http://slimages.macys.com/is/image/MCY/3611454 ")</f>
        <v xml:space="preserve">http://slimages.macys.com/is/image/MCY/3611454 </v>
      </c>
    </row>
    <row r="40" spans="1:13" ht="15.2" customHeight="1" x14ac:dyDescent="0.2">
      <c r="A40" s="26" t="s">
        <v>6003</v>
      </c>
      <c r="B40" s="27" t="s">
        <v>6004</v>
      </c>
      <c r="C40" s="28">
        <v>1</v>
      </c>
      <c r="D40" s="29">
        <v>19</v>
      </c>
      <c r="E40" s="29">
        <v>19</v>
      </c>
      <c r="F40" s="30">
        <v>59</v>
      </c>
      <c r="G40" s="29">
        <v>59</v>
      </c>
      <c r="H40" s="28" t="s">
        <v>6002</v>
      </c>
      <c r="I40" s="27"/>
      <c r="J40" s="31" t="s">
        <v>40</v>
      </c>
      <c r="K40" s="27" t="s">
        <v>42</v>
      </c>
      <c r="L40" s="27" t="s">
        <v>43</v>
      </c>
      <c r="M40" s="32" t="str">
        <f>HYPERLINK("http://slimages.macys.com/is/image/MCY/3611454 ")</f>
        <v xml:space="preserve">http://slimages.macys.com/is/image/MCY/3611454 </v>
      </c>
    </row>
    <row r="41" spans="1:13" ht="15.2" customHeight="1" x14ac:dyDescent="0.2">
      <c r="A41" s="26" t="s">
        <v>6009</v>
      </c>
      <c r="B41" s="27" t="s">
        <v>6010</v>
      </c>
      <c r="C41" s="28">
        <v>3</v>
      </c>
      <c r="D41" s="29">
        <v>19</v>
      </c>
      <c r="E41" s="29">
        <v>57</v>
      </c>
      <c r="F41" s="30">
        <v>59</v>
      </c>
      <c r="G41" s="29">
        <v>177</v>
      </c>
      <c r="H41" s="28" t="s">
        <v>6002</v>
      </c>
      <c r="I41" s="27"/>
      <c r="J41" s="31" t="s">
        <v>21</v>
      </c>
      <c r="K41" s="27" t="s">
        <v>42</v>
      </c>
      <c r="L41" s="27" t="s">
        <v>43</v>
      </c>
      <c r="M41" s="32" t="str">
        <f>HYPERLINK("http://slimages.macys.com/is/image/MCY/3611454 ")</f>
        <v xml:space="preserve">http://slimages.macys.com/is/image/MCY/3611454 </v>
      </c>
    </row>
    <row r="42" spans="1:13" ht="15.2" customHeight="1" x14ac:dyDescent="0.2">
      <c r="A42" s="26" t="s">
        <v>8193</v>
      </c>
      <c r="B42" s="27" t="s">
        <v>8194</v>
      </c>
      <c r="C42" s="28">
        <v>1</v>
      </c>
      <c r="D42" s="29">
        <v>19</v>
      </c>
      <c r="E42" s="29">
        <v>19</v>
      </c>
      <c r="F42" s="30">
        <v>59</v>
      </c>
      <c r="G42" s="29">
        <v>59</v>
      </c>
      <c r="H42" s="28" t="s">
        <v>7495</v>
      </c>
      <c r="I42" s="27" t="s">
        <v>4</v>
      </c>
      <c r="J42" s="31" t="s">
        <v>210</v>
      </c>
      <c r="K42" s="27" t="s">
        <v>24</v>
      </c>
      <c r="L42" s="27" t="s">
        <v>101</v>
      </c>
      <c r="M42" s="32" t="str">
        <f>HYPERLINK("http://slimages.macys.com/is/image/MCY/3832800 ")</f>
        <v xml:space="preserve">http://slimages.macys.com/is/image/MCY/3832800 </v>
      </c>
    </row>
    <row r="43" spans="1:13" ht="15.2" customHeight="1" x14ac:dyDescent="0.2">
      <c r="A43" s="26" t="s">
        <v>9514</v>
      </c>
      <c r="B43" s="27" t="s">
        <v>9515</v>
      </c>
      <c r="C43" s="28">
        <v>1</v>
      </c>
      <c r="D43" s="29">
        <v>18.5</v>
      </c>
      <c r="E43" s="29">
        <v>18.5</v>
      </c>
      <c r="F43" s="30">
        <v>39.979999999999997</v>
      </c>
      <c r="G43" s="29">
        <v>39.979999999999997</v>
      </c>
      <c r="H43" s="28" t="s">
        <v>2825</v>
      </c>
      <c r="I43" s="27" t="s">
        <v>291</v>
      </c>
      <c r="J43" s="31"/>
      <c r="K43" s="27" t="s">
        <v>37</v>
      </c>
      <c r="L43" s="27" t="s">
        <v>38</v>
      </c>
      <c r="M43" s="32" t="str">
        <f>HYPERLINK("http://slimages.macys.com/is/image/MCY/3676185 ")</f>
        <v xml:space="preserve">http://slimages.macys.com/is/image/MCY/3676185 </v>
      </c>
    </row>
    <row r="44" spans="1:13" ht="15.2" customHeight="1" x14ac:dyDescent="0.2">
      <c r="A44" s="26" t="s">
        <v>9516</v>
      </c>
      <c r="B44" s="27" t="s">
        <v>9517</v>
      </c>
      <c r="C44" s="28">
        <v>1</v>
      </c>
      <c r="D44" s="29">
        <v>18.03</v>
      </c>
      <c r="E44" s="29">
        <v>18.03</v>
      </c>
      <c r="F44" s="30">
        <v>49.5</v>
      </c>
      <c r="G44" s="29">
        <v>49.5</v>
      </c>
      <c r="H44" s="28" t="s">
        <v>9518</v>
      </c>
      <c r="I44" s="27" t="s">
        <v>4</v>
      </c>
      <c r="J44" s="31" t="s">
        <v>40</v>
      </c>
      <c r="K44" s="27" t="s">
        <v>41</v>
      </c>
      <c r="L44" s="27" t="s">
        <v>45</v>
      </c>
      <c r="M44" s="32" t="str">
        <f>HYPERLINK("http://slimages.macys.com/is/image/MCY/3907762 ")</f>
        <v xml:space="preserve">http://slimages.macys.com/is/image/MCY/3907762 </v>
      </c>
    </row>
    <row r="45" spans="1:13" ht="15.2" customHeight="1" x14ac:dyDescent="0.2">
      <c r="A45" s="26" t="s">
        <v>9519</v>
      </c>
      <c r="B45" s="27" t="s">
        <v>9520</v>
      </c>
      <c r="C45" s="28">
        <v>1</v>
      </c>
      <c r="D45" s="29">
        <v>17.579999999999998</v>
      </c>
      <c r="E45" s="29">
        <v>17.579999999999998</v>
      </c>
      <c r="F45" s="30">
        <v>34.99</v>
      </c>
      <c r="G45" s="29">
        <v>34.99</v>
      </c>
      <c r="H45" s="28">
        <v>323170040</v>
      </c>
      <c r="I45" s="27" t="s">
        <v>144</v>
      </c>
      <c r="J45" s="31" t="s">
        <v>161</v>
      </c>
      <c r="K45" s="27" t="s">
        <v>2</v>
      </c>
      <c r="L45" s="27" t="s">
        <v>3</v>
      </c>
      <c r="M45" s="32" t="str">
        <f>HYPERLINK("http://slimages.macys.com/is/image/MCY/2885912 ")</f>
        <v xml:space="preserve">http://slimages.macys.com/is/image/MCY/2885912 </v>
      </c>
    </row>
    <row r="46" spans="1:13" ht="15.2" customHeight="1" x14ac:dyDescent="0.2">
      <c r="A46" s="26" t="s">
        <v>9521</v>
      </c>
      <c r="B46" s="27" t="s">
        <v>9522</v>
      </c>
      <c r="C46" s="28">
        <v>1</v>
      </c>
      <c r="D46" s="29">
        <v>17.28</v>
      </c>
      <c r="E46" s="29">
        <v>17.28</v>
      </c>
      <c r="F46" s="30">
        <v>49.5</v>
      </c>
      <c r="G46" s="29">
        <v>49.5</v>
      </c>
      <c r="H46" s="28" t="s">
        <v>7499</v>
      </c>
      <c r="I46" s="27" t="s">
        <v>10</v>
      </c>
      <c r="J46" s="31" t="s">
        <v>234</v>
      </c>
      <c r="K46" s="27" t="s">
        <v>41</v>
      </c>
      <c r="L46" s="27" t="s">
        <v>45</v>
      </c>
      <c r="M46" s="32" t="str">
        <f>HYPERLINK("http://slimages.macys.com/is/image/MCY/3484718 ")</f>
        <v xml:space="preserve">http://slimages.macys.com/is/image/MCY/3484718 </v>
      </c>
    </row>
    <row r="47" spans="1:13" ht="15.2" customHeight="1" x14ac:dyDescent="0.2">
      <c r="A47" s="26" t="s">
        <v>7497</v>
      </c>
      <c r="B47" s="27" t="s">
        <v>7498</v>
      </c>
      <c r="C47" s="28">
        <v>1</v>
      </c>
      <c r="D47" s="29">
        <v>17.28</v>
      </c>
      <c r="E47" s="29">
        <v>17.28</v>
      </c>
      <c r="F47" s="30">
        <v>49.5</v>
      </c>
      <c r="G47" s="29">
        <v>49.5</v>
      </c>
      <c r="H47" s="28" t="s">
        <v>7499</v>
      </c>
      <c r="I47" s="27" t="s">
        <v>10</v>
      </c>
      <c r="J47" s="31" t="s">
        <v>214</v>
      </c>
      <c r="K47" s="27" t="s">
        <v>41</v>
      </c>
      <c r="L47" s="27" t="s">
        <v>45</v>
      </c>
      <c r="M47" s="32" t="str">
        <f>HYPERLINK("http://slimages.macys.com/is/image/MCY/3484718 ")</f>
        <v xml:space="preserve">http://slimages.macys.com/is/image/MCY/3484718 </v>
      </c>
    </row>
    <row r="48" spans="1:13" ht="15.2" customHeight="1" x14ac:dyDescent="0.2">
      <c r="A48" s="26" t="s">
        <v>9523</v>
      </c>
      <c r="B48" s="27" t="s">
        <v>9524</v>
      </c>
      <c r="C48" s="28">
        <v>1</v>
      </c>
      <c r="D48" s="29">
        <v>17</v>
      </c>
      <c r="E48" s="29">
        <v>17</v>
      </c>
      <c r="F48" s="30">
        <v>44.99</v>
      </c>
      <c r="G48" s="29">
        <v>44.99</v>
      </c>
      <c r="H48" s="28" t="s">
        <v>2831</v>
      </c>
      <c r="I48" s="27" t="s">
        <v>302</v>
      </c>
      <c r="J48" s="31" t="s">
        <v>52</v>
      </c>
      <c r="K48" s="27" t="s">
        <v>70</v>
      </c>
      <c r="L48" s="27" t="s">
        <v>128</v>
      </c>
      <c r="M48" s="32" t="str">
        <f>HYPERLINK("http://slimages.macys.com/is/image/MCY/3723575 ")</f>
        <v xml:space="preserve">http://slimages.macys.com/is/image/MCY/3723575 </v>
      </c>
    </row>
    <row r="49" spans="1:13" ht="15.2" customHeight="1" x14ac:dyDescent="0.2">
      <c r="A49" s="26" t="s">
        <v>9525</v>
      </c>
      <c r="B49" s="27" t="s">
        <v>9526</v>
      </c>
      <c r="C49" s="28">
        <v>1</v>
      </c>
      <c r="D49" s="29">
        <v>16.75</v>
      </c>
      <c r="E49" s="29">
        <v>16.75</v>
      </c>
      <c r="F49" s="30">
        <v>41.99</v>
      </c>
      <c r="G49" s="29">
        <v>41.99</v>
      </c>
      <c r="H49" s="28" t="s">
        <v>6904</v>
      </c>
      <c r="I49" s="27" t="s">
        <v>59</v>
      </c>
      <c r="J49" s="31" t="s">
        <v>21</v>
      </c>
      <c r="K49" s="27" t="s">
        <v>70</v>
      </c>
      <c r="L49" s="27" t="s">
        <v>650</v>
      </c>
      <c r="M49" s="32" t="str">
        <f>HYPERLINK("http://slimages.macys.com/is/image/MCY/3496689 ")</f>
        <v xml:space="preserve">http://slimages.macys.com/is/image/MCY/3496689 </v>
      </c>
    </row>
    <row r="50" spans="1:13" ht="15.2" customHeight="1" x14ac:dyDescent="0.2">
      <c r="A50" s="26" t="s">
        <v>9527</v>
      </c>
      <c r="B50" s="27" t="s">
        <v>9528</v>
      </c>
      <c r="C50" s="28">
        <v>1</v>
      </c>
      <c r="D50" s="29">
        <v>16.53</v>
      </c>
      <c r="E50" s="29">
        <v>16.53</v>
      </c>
      <c r="F50" s="30">
        <v>49.5</v>
      </c>
      <c r="G50" s="29">
        <v>49.5</v>
      </c>
      <c r="H50" s="28" t="s">
        <v>7918</v>
      </c>
      <c r="I50" s="27" t="s">
        <v>94</v>
      </c>
      <c r="J50" s="31" t="s">
        <v>65</v>
      </c>
      <c r="K50" s="27" t="s">
        <v>53</v>
      </c>
      <c r="L50" s="27" t="s">
        <v>54</v>
      </c>
      <c r="M50" s="32" t="str">
        <f>HYPERLINK("http://slimages.macys.com/is/image/MCY/2759255 ")</f>
        <v xml:space="preserve">http://slimages.macys.com/is/image/MCY/2759255 </v>
      </c>
    </row>
    <row r="51" spans="1:13" ht="15.2" customHeight="1" x14ac:dyDescent="0.2">
      <c r="A51" s="26" t="s">
        <v>9413</v>
      </c>
      <c r="B51" s="27" t="s">
        <v>9414</v>
      </c>
      <c r="C51" s="28">
        <v>1</v>
      </c>
      <c r="D51" s="29">
        <v>16.53</v>
      </c>
      <c r="E51" s="29">
        <v>16.53</v>
      </c>
      <c r="F51" s="30">
        <v>49.5</v>
      </c>
      <c r="G51" s="29">
        <v>49.5</v>
      </c>
      <c r="H51" s="28" t="s">
        <v>7918</v>
      </c>
      <c r="I51" s="27" t="s">
        <v>94</v>
      </c>
      <c r="J51" s="31" t="s">
        <v>21</v>
      </c>
      <c r="K51" s="27" t="s">
        <v>53</v>
      </c>
      <c r="L51" s="27" t="s">
        <v>54</v>
      </c>
      <c r="M51" s="32" t="str">
        <f>HYPERLINK("http://slimages.macys.com/is/image/MCY/2759255 ")</f>
        <v xml:space="preserve">http://slimages.macys.com/is/image/MCY/2759255 </v>
      </c>
    </row>
    <row r="52" spans="1:13" ht="15.2" customHeight="1" x14ac:dyDescent="0.2">
      <c r="A52" s="26" t="s">
        <v>9529</v>
      </c>
      <c r="B52" s="27" t="s">
        <v>9530</v>
      </c>
      <c r="C52" s="28">
        <v>1</v>
      </c>
      <c r="D52" s="29">
        <v>16.53</v>
      </c>
      <c r="E52" s="29">
        <v>16.53</v>
      </c>
      <c r="F52" s="30">
        <v>49.5</v>
      </c>
      <c r="G52" s="29">
        <v>49.5</v>
      </c>
      <c r="H52" s="28" t="s">
        <v>7918</v>
      </c>
      <c r="I52" s="27" t="s">
        <v>94</v>
      </c>
      <c r="J52" s="31" t="s">
        <v>5</v>
      </c>
      <c r="K52" s="27" t="s">
        <v>53</v>
      </c>
      <c r="L52" s="27" t="s">
        <v>54</v>
      </c>
      <c r="M52" s="32" t="str">
        <f>HYPERLINK("http://slimages.macys.com/is/image/MCY/2759255 ")</f>
        <v xml:space="preserve">http://slimages.macys.com/is/image/MCY/2759255 </v>
      </c>
    </row>
    <row r="53" spans="1:13" ht="15.2" customHeight="1" x14ac:dyDescent="0.2">
      <c r="A53" s="26" t="s">
        <v>9531</v>
      </c>
      <c r="B53" s="27" t="s">
        <v>9532</v>
      </c>
      <c r="C53" s="28">
        <v>1</v>
      </c>
      <c r="D53" s="29">
        <v>16.5</v>
      </c>
      <c r="E53" s="29">
        <v>16.5</v>
      </c>
      <c r="F53" s="30">
        <v>40.99</v>
      </c>
      <c r="G53" s="29">
        <v>40.99</v>
      </c>
      <c r="H53" s="28" t="s">
        <v>9533</v>
      </c>
      <c r="I53" s="27" t="s">
        <v>4</v>
      </c>
      <c r="J53" s="31" t="s">
        <v>21</v>
      </c>
      <c r="K53" s="27" t="s">
        <v>70</v>
      </c>
      <c r="L53" s="27" t="s">
        <v>25</v>
      </c>
      <c r="M53" s="32" t="str">
        <f>HYPERLINK("http://slimages.macys.com/is/image/MCY/3800858 ")</f>
        <v xml:space="preserve">http://slimages.macys.com/is/image/MCY/3800858 </v>
      </c>
    </row>
    <row r="54" spans="1:13" ht="15.2" customHeight="1" x14ac:dyDescent="0.2">
      <c r="A54" s="26" t="s">
        <v>9534</v>
      </c>
      <c r="B54" s="27" t="s">
        <v>9535</v>
      </c>
      <c r="C54" s="28">
        <v>1</v>
      </c>
      <c r="D54" s="29">
        <v>16.5</v>
      </c>
      <c r="E54" s="29">
        <v>16.5</v>
      </c>
      <c r="F54" s="30">
        <v>49</v>
      </c>
      <c r="G54" s="29">
        <v>49</v>
      </c>
      <c r="H54" s="28" t="s">
        <v>9536</v>
      </c>
      <c r="I54" s="27" t="s">
        <v>4</v>
      </c>
      <c r="J54" s="31" t="s">
        <v>71</v>
      </c>
      <c r="K54" s="27" t="s">
        <v>24</v>
      </c>
      <c r="L54" s="27" t="s">
        <v>101</v>
      </c>
      <c r="M54" s="32" t="str">
        <f>HYPERLINK("http://slimages.macys.com/is/image/MCY/3626303 ")</f>
        <v xml:space="preserve">http://slimages.macys.com/is/image/MCY/3626303 </v>
      </c>
    </row>
    <row r="55" spans="1:13" ht="15.2" customHeight="1" x14ac:dyDescent="0.2">
      <c r="A55" s="26" t="s">
        <v>9537</v>
      </c>
      <c r="B55" s="27" t="s">
        <v>9538</v>
      </c>
      <c r="C55" s="28">
        <v>1</v>
      </c>
      <c r="D55" s="29">
        <v>16.329999999999998</v>
      </c>
      <c r="E55" s="29">
        <v>16.329999999999998</v>
      </c>
      <c r="F55" s="30">
        <v>39.5</v>
      </c>
      <c r="G55" s="29">
        <v>39.5</v>
      </c>
      <c r="H55" s="28" t="s">
        <v>9539</v>
      </c>
      <c r="I55" s="27" t="s">
        <v>29</v>
      </c>
      <c r="J55" s="31" t="s">
        <v>21</v>
      </c>
      <c r="K55" s="27" t="s">
        <v>41</v>
      </c>
      <c r="L55" s="27" t="s">
        <v>45</v>
      </c>
      <c r="M55" s="32" t="str">
        <f>HYPERLINK("http://slimages.macys.com/is/image/MCY/3612503 ")</f>
        <v xml:space="preserve">http://slimages.macys.com/is/image/MCY/3612503 </v>
      </c>
    </row>
    <row r="56" spans="1:13" ht="15.2" customHeight="1" x14ac:dyDescent="0.2">
      <c r="A56" s="26" t="s">
        <v>6015</v>
      </c>
      <c r="B56" s="27" t="s">
        <v>6016</v>
      </c>
      <c r="C56" s="28">
        <v>4</v>
      </c>
      <c r="D56" s="29">
        <v>16.3</v>
      </c>
      <c r="E56" s="29">
        <v>65.2</v>
      </c>
      <c r="F56" s="30">
        <v>59</v>
      </c>
      <c r="G56" s="29">
        <v>236</v>
      </c>
      <c r="H56" s="28" t="s">
        <v>6017</v>
      </c>
      <c r="I56" s="27" t="s">
        <v>4</v>
      </c>
      <c r="J56" s="31" t="s">
        <v>5</v>
      </c>
      <c r="K56" s="27" t="s">
        <v>42</v>
      </c>
      <c r="L56" s="27" t="s">
        <v>43</v>
      </c>
      <c r="M56" s="32" t="str">
        <f>HYPERLINK("http://slimages.macys.com/is/image/MCY/3611185 ")</f>
        <v xml:space="preserve">http://slimages.macys.com/is/image/MCY/3611185 </v>
      </c>
    </row>
    <row r="57" spans="1:13" ht="15.2" customHeight="1" x14ac:dyDescent="0.2">
      <c r="A57" s="26" t="s">
        <v>9540</v>
      </c>
      <c r="B57" s="27" t="s">
        <v>9541</v>
      </c>
      <c r="C57" s="28">
        <v>1</v>
      </c>
      <c r="D57" s="29">
        <v>16.3</v>
      </c>
      <c r="E57" s="29">
        <v>16.3</v>
      </c>
      <c r="F57" s="30">
        <v>59</v>
      </c>
      <c r="G57" s="29">
        <v>59</v>
      </c>
      <c r="H57" s="28" t="s">
        <v>6017</v>
      </c>
      <c r="I57" s="27" t="s">
        <v>4</v>
      </c>
      <c r="J57" s="31" t="s">
        <v>21</v>
      </c>
      <c r="K57" s="27" t="s">
        <v>42</v>
      </c>
      <c r="L57" s="27" t="s">
        <v>43</v>
      </c>
      <c r="M57" s="32" t="str">
        <f>HYPERLINK("http://slimages.macys.com/is/image/MCY/3611185 ")</f>
        <v xml:space="preserve">http://slimages.macys.com/is/image/MCY/3611185 </v>
      </c>
    </row>
    <row r="58" spans="1:13" ht="15.2" customHeight="1" x14ac:dyDescent="0.2">
      <c r="A58" s="26" t="s">
        <v>8371</v>
      </c>
      <c r="B58" s="27" t="s">
        <v>8372</v>
      </c>
      <c r="C58" s="28">
        <v>1</v>
      </c>
      <c r="D58" s="29">
        <v>16.3</v>
      </c>
      <c r="E58" s="29">
        <v>16.3</v>
      </c>
      <c r="F58" s="30">
        <v>59</v>
      </c>
      <c r="G58" s="29">
        <v>59</v>
      </c>
      <c r="H58" s="28" t="s">
        <v>6017</v>
      </c>
      <c r="I58" s="27" t="s">
        <v>4</v>
      </c>
      <c r="J58" s="31" t="s">
        <v>52</v>
      </c>
      <c r="K58" s="27" t="s">
        <v>42</v>
      </c>
      <c r="L58" s="27" t="s">
        <v>43</v>
      </c>
      <c r="M58" s="32" t="str">
        <f>HYPERLINK("http://slimages.macys.com/is/image/MCY/3611185 ")</f>
        <v xml:space="preserve">http://slimages.macys.com/is/image/MCY/3611185 </v>
      </c>
    </row>
    <row r="59" spans="1:13" ht="15.2" customHeight="1" x14ac:dyDescent="0.2">
      <c r="A59" s="26" t="s">
        <v>6907</v>
      </c>
      <c r="B59" s="27" t="s">
        <v>6908</v>
      </c>
      <c r="C59" s="28">
        <v>1</v>
      </c>
      <c r="D59" s="29">
        <v>16.25</v>
      </c>
      <c r="E59" s="29">
        <v>16.25</v>
      </c>
      <c r="F59" s="30">
        <v>44.5</v>
      </c>
      <c r="G59" s="29">
        <v>44.5</v>
      </c>
      <c r="H59" s="28" t="s">
        <v>6909</v>
      </c>
      <c r="I59" s="27" t="s">
        <v>4</v>
      </c>
      <c r="J59" s="31" t="s">
        <v>52</v>
      </c>
      <c r="K59" s="27" t="s">
        <v>53</v>
      </c>
      <c r="L59" s="27" t="s">
        <v>54</v>
      </c>
      <c r="M59" s="32" t="str">
        <f>HYPERLINK("http://slimages.macys.com/is/image/MCY/3582142 ")</f>
        <v xml:space="preserve">http://slimages.macys.com/is/image/MCY/3582142 </v>
      </c>
    </row>
    <row r="60" spans="1:13" ht="15.2" customHeight="1" x14ac:dyDescent="0.2">
      <c r="A60" s="26" t="s">
        <v>9542</v>
      </c>
      <c r="B60" s="27" t="s">
        <v>9543</v>
      </c>
      <c r="C60" s="28">
        <v>1</v>
      </c>
      <c r="D60" s="29">
        <v>15.78</v>
      </c>
      <c r="E60" s="29">
        <v>15.78</v>
      </c>
      <c r="F60" s="30">
        <v>36.99</v>
      </c>
      <c r="G60" s="29">
        <v>36.99</v>
      </c>
      <c r="H60" s="28" t="s">
        <v>9544</v>
      </c>
      <c r="I60" s="27" t="s">
        <v>4</v>
      </c>
      <c r="J60" s="31" t="s">
        <v>52</v>
      </c>
      <c r="K60" s="27" t="s">
        <v>159</v>
      </c>
      <c r="L60" s="27" t="s">
        <v>160</v>
      </c>
      <c r="M60" s="32" t="str">
        <f>HYPERLINK("http://slimages.macys.com/is/image/MCY/3450462 ")</f>
        <v xml:space="preserve">http://slimages.macys.com/is/image/MCY/3450462 </v>
      </c>
    </row>
    <row r="61" spans="1:13" ht="15.2" customHeight="1" x14ac:dyDescent="0.2">
      <c r="A61" s="26" t="s">
        <v>9545</v>
      </c>
      <c r="B61" s="27" t="s">
        <v>9546</v>
      </c>
      <c r="C61" s="28">
        <v>1</v>
      </c>
      <c r="D61" s="29">
        <v>15.75</v>
      </c>
      <c r="E61" s="29">
        <v>15.75</v>
      </c>
      <c r="F61" s="30">
        <v>49</v>
      </c>
      <c r="G61" s="29">
        <v>49</v>
      </c>
      <c r="H61" s="28" t="s">
        <v>1166</v>
      </c>
      <c r="I61" s="27" t="s">
        <v>82</v>
      </c>
      <c r="J61" s="31" t="s">
        <v>40</v>
      </c>
      <c r="K61" s="27" t="s">
        <v>37</v>
      </c>
      <c r="L61" s="27" t="s">
        <v>38</v>
      </c>
      <c r="M61" s="32" t="str">
        <f>HYPERLINK("http://slimages.macys.com/is/image/MCY/3670401 ")</f>
        <v xml:space="preserve">http://slimages.macys.com/is/image/MCY/3670401 </v>
      </c>
    </row>
    <row r="62" spans="1:13" ht="15.2" customHeight="1" x14ac:dyDescent="0.2">
      <c r="A62" s="26" t="s">
        <v>9547</v>
      </c>
      <c r="B62" s="27" t="s">
        <v>9548</v>
      </c>
      <c r="C62" s="28">
        <v>1</v>
      </c>
      <c r="D62" s="29">
        <v>15.5</v>
      </c>
      <c r="E62" s="29">
        <v>15.5</v>
      </c>
      <c r="F62" s="30">
        <v>37.99</v>
      </c>
      <c r="G62" s="29">
        <v>37.99</v>
      </c>
      <c r="H62" s="28" t="s">
        <v>8770</v>
      </c>
      <c r="I62" s="27" t="s">
        <v>1280</v>
      </c>
      <c r="J62" s="31" t="s">
        <v>205</v>
      </c>
      <c r="K62" s="27" t="s">
        <v>70</v>
      </c>
      <c r="L62" s="27" t="s">
        <v>25</v>
      </c>
      <c r="M62" s="32" t="str">
        <f>HYPERLINK("http://slimages.macys.com/is/image/MCY/3676851 ")</f>
        <v xml:space="preserve">http://slimages.macys.com/is/image/MCY/3676851 </v>
      </c>
    </row>
    <row r="63" spans="1:13" ht="15.2" customHeight="1" x14ac:dyDescent="0.2">
      <c r="A63" s="26" t="s">
        <v>9549</v>
      </c>
      <c r="B63" s="27" t="s">
        <v>9550</v>
      </c>
      <c r="C63" s="28">
        <v>1</v>
      </c>
      <c r="D63" s="29">
        <v>15.5</v>
      </c>
      <c r="E63" s="29">
        <v>15.5</v>
      </c>
      <c r="F63" s="30">
        <v>37.99</v>
      </c>
      <c r="G63" s="29">
        <v>37.99</v>
      </c>
      <c r="H63" s="28" t="s">
        <v>8770</v>
      </c>
      <c r="I63" s="27" t="s">
        <v>1280</v>
      </c>
      <c r="J63" s="31" t="s">
        <v>210</v>
      </c>
      <c r="K63" s="27" t="s">
        <v>70</v>
      </c>
      <c r="L63" s="27" t="s">
        <v>25</v>
      </c>
      <c r="M63" s="32" t="str">
        <f>HYPERLINK("http://slimages.macys.com/is/image/MCY/3676851 ")</f>
        <v xml:space="preserve">http://slimages.macys.com/is/image/MCY/3676851 </v>
      </c>
    </row>
    <row r="64" spans="1:13" ht="15.2" customHeight="1" x14ac:dyDescent="0.2">
      <c r="A64" s="26" t="s">
        <v>8768</v>
      </c>
      <c r="B64" s="27" t="s">
        <v>8769</v>
      </c>
      <c r="C64" s="28">
        <v>1</v>
      </c>
      <c r="D64" s="29">
        <v>15.5</v>
      </c>
      <c r="E64" s="29">
        <v>15.5</v>
      </c>
      <c r="F64" s="30">
        <v>37.99</v>
      </c>
      <c r="G64" s="29">
        <v>37.99</v>
      </c>
      <c r="H64" s="28" t="s">
        <v>8770</v>
      </c>
      <c r="I64" s="27" t="s">
        <v>1280</v>
      </c>
      <c r="J64" s="31" t="s">
        <v>69</v>
      </c>
      <c r="K64" s="27" t="s">
        <v>70</v>
      </c>
      <c r="L64" s="27" t="s">
        <v>25</v>
      </c>
      <c r="M64" s="32" t="str">
        <f>HYPERLINK("http://slimages.macys.com/is/image/MCY/3676851 ")</f>
        <v xml:space="preserve">http://slimages.macys.com/is/image/MCY/3676851 </v>
      </c>
    </row>
    <row r="65" spans="1:13" ht="15.2" customHeight="1" x14ac:dyDescent="0.2">
      <c r="A65" s="26" t="s">
        <v>9551</v>
      </c>
      <c r="B65" s="27" t="s">
        <v>9552</v>
      </c>
      <c r="C65" s="28">
        <v>1</v>
      </c>
      <c r="D65" s="29">
        <v>15.5</v>
      </c>
      <c r="E65" s="29">
        <v>15.5</v>
      </c>
      <c r="F65" s="30">
        <v>37.99</v>
      </c>
      <c r="G65" s="29">
        <v>37.99</v>
      </c>
      <c r="H65" s="28" t="s">
        <v>8770</v>
      </c>
      <c r="I65" s="27" t="s">
        <v>1280</v>
      </c>
      <c r="J65" s="31" t="s">
        <v>214</v>
      </c>
      <c r="K65" s="27" t="s">
        <v>70</v>
      </c>
      <c r="L65" s="27" t="s">
        <v>25</v>
      </c>
      <c r="M65" s="32" t="str">
        <f>HYPERLINK("http://slimages.macys.com/is/image/MCY/3676851 ")</f>
        <v xml:space="preserve">http://slimages.macys.com/is/image/MCY/3676851 </v>
      </c>
    </row>
    <row r="66" spans="1:13" ht="15.2" customHeight="1" x14ac:dyDescent="0.2">
      <c r="A66" s="26" t="s">
        <v>9017</v>
      </c>
      <c r="B66" s="27" t="s">
        <v>9018</v>
      </c>
      <c r="C66" s="28">
        <v>2</v>
      </c>
      <c r="D66" s="29">
        <v>15.22</v>
      </c>
      <c r="E66" s="29">
        <v>30.44</v>
      </c>
      <c r="F66" s="30">
        <v>27.99</v>
      </c>
      <c r="G66" s="29">
        <v>55.98</v>
      </c>
      <c r="H66" s="28">
        <v>178940032</v>
      </c>
      <c r="I66" s="27" t="s">
        <v>82</v>
      </c>
      <c r="J66" s="31"/>
      <c r="K66" s="27" t="s">
        <v>2</v>
      </c>
      <c r="L66" s="27" t="s">
        <v>3</v>
      </c>
      <c r="M66" s="32" t="str">
        <f>HYPERLINK("http://slimages.macys.com/is/image/MCY/3384911 ")</f>
        <v xml:space="preserve">http://slimages.macys.com/is/image/MCY/3384911 </v>
      </c>
    </row>
    <row r="67" spans="1:13" ht="15.2" customHeight="1" x14ac:dyDescent="0.2">
      <c r="A67" s="26" t="s">
        <v>6931</v>
      </c>
      <c r="B67" s="27" t="s">
        <v>6932</v>
      </c>
      <c r="C67" s="28">
        <v>1</v>
      </c>
      <c r="D67" s="29">
        <v>15.2</v>
      </c>
      <c r="E67" s="29">
        <v>15.2</v>
      </c>
      <c r="F67" s="30">
        <v>44</v>
      </c>
      <c r="G67" s="29">
        <v>44</v>
      </c>
      <c r="H67" s="28" t="s">
        <v>6933</v>
      </c>
      <c r="I67" s="27"/>
      <c r="J67" s="31" t="s">
        <v>5</v>
      </c>
      <c r="K67" s="27" t="s">
        <v>42</v>
      </c>
      <c r="L67" s="27" t="s">
        <v>43</v>
      </c>
      <c r="M67" s="32" t="str">
        <f>HYPERLINK("http://slimages.macys.com/is/image/MCY/3636314 ")</f>
        <v xml:space="preserve">http://slimages.macys.com/is/image/MCY/3636314 </v>
      </c>
    </row>
    <row r="68" spans="1:13" ht="15.2" customHeight="1" x14ac:dyDescent="0.2">
      <c r="A68" s="26" t="s">
        <v>2839</v>
      </c>
      <c r="B68" s="27" t="s">
        <v>2840</v>
      </c>
      <c r="C68" s="28">
        <v>5</v>
      </c>
      <c r="D68" s="29">
        <v>15.2</v>
      </c>
      <c r="E68" s="29">
        <v>76</v>
      </c>
      <c r="F68" s="30">
        <v>44</v>
      </c>
      <c r="G68" s="29">
        <v>220</v>
      </c>
      <c r="H68" s="28" t="s">
        <v>2838</v>
      </c>
      <c r="I68" s="27" t="s">
        <v>189</v>
      </c>
      <c r="J68" s="31" t="s">
        <v>21</v>
      </c>
      <c r="K68" s="27" t="s">
        <v>42</v>
      </c>
      <c r="L68" s="27" t="s">
        <v>43</v>
      </c>
      <c r="M68" s="32" t="str">
        <f>HYPERLINK("http://slimages.macys.com/is/image/MCY/3611429 ")</f>
        <v xml:space="preserve">http://slimages.macys.com/is/image/MCY/3611429 </v>
      </c>
    </row>
    <row r="69" spans="1:13" ht="15.2" customHeight="1" x14ac:dyDescent="0.2">
      <c r="A69" s="26" t="s">
        <v>6022</v>
      </c>
      <c r="B69" s="27" t="s">
        <v>6023</v>
      </c>
      <c r="C69" s="28">
        <v>1</v>
      </c>
      <c r="D69" s="29">
        <v>15.2</v>
      </c>
      <c r="E69" s="29">
        <v>15.2</v>
      </c>
      <c r="F69" s="30">
        <v>44</v>
      </c>
      <c r="G69" s="29">
        <v>44</v>
      </c>
      <c r="H69" s="28" t="s">
        <v>6021</v>
      </c>
      <c r="I69" s="27"/>
      <c r="J69" s="31" t="s">
        <v>40</v>
      </c>
      <c r="K69" s="27" t="s">
        <v>42</v>
      </c>
      <c r="L69" s="27" t="s">
        <v>43</v>
      </c>
      <c r="M69" s="32" t="str">
        <f>HYPERLINK("http://slimages.macys.com/is/image/MCY/3611422 ")</f>
        <v xml:space="preserve">http://slimages.macys.com/is/image/MCY/3611422 </v>
      </c>
    </row>
    <row r="70" spans="1:13" ht="15.2" customHeight="1" x14ac:dyDescent="0.2">
      <c r="A70" s="26" t="s">
        <v>9553</v>
      </c>
      <c r="B70" s="27" t="s">
        <v>9554</v>
      </c>
      <c r="C70" s="28">
        <v>1</v>
      </c>
      <c r="D70" s="29">
        <v>15.2</v>
      </c>
      <c r="E70" s="29">
        <v>15.2</v>
      </c>
      <c r="F70" s="30">
        <v>44</v>
      </c>
      <c r="G70" s="29">
        <v>44</v>
      </c>
      <c r="H70" s="28" t="s">
        <v>6933</v>
      </c>
      <c r="I70" s="27"/>
      <c r="J70" s="31" t="s">
        <v>21</v>
      </c>
      <c r="K70" s="27" t="s">
        <v>42</v>
      </c>
      <c r="L70" s="27" t="s">
        <v>43</v>
      </c>
      <c r="M70" s="32" t="str">
        <f>HYPERLINK("http://slimages.macys.com/is/image/MCY/3636314 ")</f>
        <v xml:space="preserve">http://slimages.macys.com/is/image/MCY/3636314 </v>
      </c>
    </row>
    <row r="71" spans="1:13" ht="15.2" customHeight="1" x14ac:dyDescent="0.2">
      <c r="A71" s="26" t="s">
        <v>2836</v>
      </c>
      <c r="B71" s="27" t="s">
        <v>2837</v>
      </c>
      <c r="C71" s="28">
        <v>3</v>
      </c>
      <c r="D71" s="29">
        <v>15.2</v>
      </c>
      <c r="E71" s="29">
        <v>45.6</v>
      </c>
      <c r="F71" s="30">
        <v>44</v>
      </c>
      <c r="G71" s="29">
        <v>132</v>
      </c>
      <c r="H71" s="28" t="s">
        <v>2838</v>
      </c>
      <c r="I71" s="27" t="s">
        <v>189</v>
      </c>
      <c r="J71" s="31" t="s">
        <v>5</v>
      </c>
      <c r="K71" s="27" t="s">
        <v>42</v>
      </c>
      <c r="L71" s="27" t="s">
        <v>43</v>
      </c>
      <c r="M71" s="32" t="str">
        <f>HYPERLINK("http://slimages.macys.com/is/image/MCY/3611429 ")</f>
        <v xml:space="preserve">http://slimages.macys.com/is/image/MCY/3611429 </v>
      </c>
    </row>
    <row r="72" spans="1:13" ht="15.2" customHeight="1" x14ac:dyDescent="0.2">
      <c r="A72" s="26" t="s">
        <v>9555</v>
      </c>
      <c r="B72" s="27" t="s">
        <v>9556</v>
      </c>
      <c r="C72" s="28">
        <v>5</v>
      </c>
      <c r="D72" s="29">
        <v>15.2</v>
      </c>
      <c r="E72" s="29">
        <v>76</v>
      </c>
      <c r="F72" s="30">
        <v>44</v>
      </c>
      <c r="G72" s="29">
        <v>220</v>
      </c>
      <c r="H72" s="28" t="s">
        <v>2838</v>
      </c>
      <c r="I72" s="27" t="s">
        <v>189</v>
      </c>
      <c r="J72" s="31" t="s">
        <v>52</v>
      </c>
      <c r="K72" s="27" t="s">
        <v>42</v>
      </c>
      <c r="L72" s="27" t="s">
        <v>43</v>
      </c>
      <c r="M72" s="32" t="str">
        <f>HYPERLINK("http://slimages.macys.com/is/image/MCY/3611429 ")</f>
        <v xml:space="preserve">http://slimages.macys.com/is/image/MCY/3611429 </v>
      </c>
    </row>
    <row r="73" spans="1:13" ht="15.2" customHeight="1" x14ac:dyDescent="0.2">
      <c r="A73" s="26" t="s">
        <v>9557</v>
      </c>
      <c r="B73" s="27" t="s">
        <v>9558</v>
      </c>
      <c r="C73" s="28">
        <v>3</v>
      </c>
      <c r="D73" s="29">
        <v>15.2</v>
      </c>
      <c r="E73" s="29">
        <v>45.6</v>
      </c>
      <c r="F73" s="30">
        <v>44</v>
      </c>
      <c r="G73" s="29">
        <v>132</v>
      </c>
      <c r="H73" s="28" t="s">
        <v>2838</v>
      </c>
      <c r="I73" s="27" t="s">
        <v>189</v>
      </c>
      <c r="J73" s="31" t="s">
        <v>40</v>
      </c>
      <c r="K73" s="27" t="s">
        <v>42</v>
      </c>
      <c r="L73" s="27" t="s">
        <v>43</v>
      </c>
      <c r="M73" s="32" t="str">
        <f>HYPERLINK("http://slimages.macys.com/is/image/MCY/3611429 ")</f>
        <v xml:space="preserve">http://slimages.macys.com/is/image/MCY/3611429 </v>
      </c>
    </row>
    <row r="74" spans="1:13" ht="15.2" customHeight="1" x14ac:dyDescent="0.2">
      <c r="A74" s="26" t="s">
        <v>1172</v>
      </c>
      <c r="B74" s="27" t="s">
        <v>1173</v>
      </c>
      <c r="C74" s="28">
        <v>1</v>
      </c>
      <c r="D74" s="29">
        <v>15</v>
      </c>
      <c r="E74" s="29">
        <v>15</v>
      </c>
      <c r="F74" s="30">
        <v>27.99</v>
      </c>
      <c r="G74" s="29">
        <v>27.99</v>
      </c>
      <c r="H74" s="28" t="s">
        <v>1171</v>
      </c>
      <c r="I74" s="27" t="s">
        <v>59</v>
      </c>
      <c r="J74" s="31" t="s">
        <v>5</v>
      </c>
      <c r="K74" s="27" t="s">
        <v>224</v>
      </c>
      <c r="L74" s="27" t="s">
        <v>325</v>
      </c>
      <c r="M74" s="32" t="str">
        <f>HYPERLINK("http://slimages.macys.com/is/image/MCY/3931110 ")</f>
        <v xml:space="preserve">http://slimages.macys.com/is/image/MCY/3931110 </v>
      </c>
    </row>
    <row r="75" spans="1:13" ht="15.2" customHeight="1" x14ac:dyDescent="0.2">
      <c r="A75" s="26" t="s">
        <v>9559</v>
      </c>
      <c r="B75" s="27" t="s">
        <v>9560</v>
      </c>
      <c r="C75" s="28">
        <v>1</v>
      </c>
      <c r="D75" s="29">
        <v>15</v>
      </c>
      <c r="E75" s="29">
        <v>15</v>
      </c>
      <c r="F75" s="30">
        <v>39.5</v>
      </c>
      <c r="G75" s="29">
        <v>39.5</v>
      </c>
      <c r="H75" s="28" t="s">
        <v>9561</v>
      </c>
      <c r="I75" s="27" t="s">
        <v>215</v>
      </c>
      <c r="J75" s="31" t="s">
        <v>40</v>
      </c>
      <c r="K75" s="27" t="s">
        <v>17</v>
      </c>
      <c r="L75" s="27" t="s">
        <v>18</v>
      </c>
      <c r="M75" s="32" t="str">
        <f>HYPERLINK("http://slimages.macys.com/is/image/MCY/3750282 ")</f>
        <v xml:space="preserve">http://slimages.macys.com/is/image/MCY/3750282 </v>
      </c>
    </row>
    <row r="76" spans="1:13" ht="15.2" customHeight="1" x14ac:dyDescent="0.2">
      <c r="A76" s="26" t="s">
        <v>8771</v>
      </c>
      <c r="B76" s="27" t="s">
        <v>8772</v>
      </c>
      <c r="C76" s="28">
        <v>1</v>
      </c>
      <c r="D76" s="29">
        <v>15</v>
      </c>
      <c r="E76" s="29">
        <v>15</v>
      </c>
      <c r="F76" s="30">
        <v>27.99</v>
      </c>
      <c r="G76" s="29">
        <v>27.99</v>
      </c>
      <c r="H76" s="28" t="s">
        <v>1171</v>
      </c>
      <c r="I76" s="27" t="s">
        <v>59</v>
      </c>
      <c r="J76" s="31" t="s">
        <v>71</v>
      </c>
      <c r="K76" s="27" t="s">
        <v>224</v>
      </c>
      <c r="L76" s="27" t="s">
        <v>325</v>
      </c>
      <c r="M76" s="32" t="str">
        <f>HYPERLINK("http://slimages.macys.com/is/image/MCY/3931110 ")</f>
        <v xml:space="preserve">http://slimages.macys.com/is/image/MCY/3931110 </v>
      </c>
    </row>
    <row r="77" spans="1:13" ht="15.2" customHeight="1" x14ac:dyDescent="0.2">
      <c r="A77" s="26" t="s">
        <v>1174</v>
      </c>
      <c r="B77" s="27" t="s">
        <v>1175</v>
      </c>
      <c r="C77" s="28">
        <v>1</v>
      </c>
      <c r="D77" s="29">
        <v>15</v>
      </c>
      <c r="E77" s="29">
        <v>15</v>
      </c>
      <c r="F77" s="30">
        <v>27.99</v>
      </c>
      <c r="G77" s="29">
        <v>27.99</v>
      </c>
      <c r="H77" s="28" t="s">
        <v>1171</v>
      </c>
      <c r="I77" s="27" t="s">
        <v>59</v>
      </c>
      <c r="J77" s="31" t="s">
        <v>21</v>
      </c>
      <c r="K77" s="27" t="s">
        <v>224</v>
      </c>
      <c r="L77" s="27" t="s">
        <v>325</v>
      </c>
      <c r="M77" s="32" t="str">
        <f>HYPERLINK("http://slimages.macys.com/is/image/MCY/3931110 ")</f>
        <v xml:space="preserve">http://slimages.macys.com/is/image/MCY/3931110 </v>
      </c>
    </row>
    <row r="78" spans="1:13" ht="15.2" customHeight="1" x14ac:dyDescent="0.2">
      <c r="A78" s="26" t="s">
        <v>7733</v>
      </c>
      <c r="B78" s="27" t="s">
        <v>7734</v>
      </c>
      <c r="C78" s="28">
        <v>2</v>
      </c>
      <c r="D78" s="29">
        <v>14.5</v>
      </c>
      <c r="E78" s="29">
        <v>29</v>
      </c>
      <c r="F78" s="30">
        <v>39.5</v>
      </c>
      <c r="G78" s="29">
        <v>79</v>
      </c>
      <c r="H78" s="28" t="s">
        <v>7735</v>
      </c>
      <c r="I78" s="27" t="s">
        <v>4</v>
      </c>
      <c r="J78" s="31" t="s">
        <v>5</v>
      </c>
      <c r="K78" s="27" t="s">
        <v>53</v>
      </c>
      <c r="L78" s="27" t="s">
        <v>167</v>
      </c>
      <c r="M78" s="32" t="str">
        <f>HYPERLINK("http://slimages.macys.com/is/image/MCY/3672658 ")</f>
        <v xml:space="preserve">http://slimages.macys.com/is/image/MCY/3672658 </v>
      </c>
    </row>
    <row r="79" spans="1:13" ht="15.2" customHeight="1" x14ac:dyDescent="0.2">
      <c r="A79" s="26" t="s">
        <v>9562</v>
      </c>
      <c r="B79" s="27" t="s">
        <v>9563</v>
      </c>
      <c r="C79" s="28">
        <v>1</v>
      </c>
      <c r="D79" s="29">
        <v>14.5</v>
      </c>
      <c r="E79" s="29">
        <v>14.5</v>
      </c>
      <c r="F79" s="30">
        <v>39.5</v>
      </c>
      <c r="G79" s="29">
        <v>39.5</v>
      </c>
      <c r="H79" s="28" t="s">
        <v>7735</v>
      </c>
      <c r="I79" s="27" t="s">
        <v>4</v>
      </c>
      <c r="J79" s="31" t="s">
        <v>52</v>
      </c>
      <c r="K79" s="27" t="s">
        <v>53</v>
      </c>
      <c r="L79" s="27" t="s">
        <v>167</v>
      </c>
      <c r="M79" s="32" t="str">
        <f>HYPERLINK("http://slimages.macys.com/is/image/MCY/3672658 ")</f>
        <v xml:space="preserve">http://slimages.macys.com/is/image/MCY/3672658 </v>
      </c>
    </row>
    <row r="80" spans="1:13" ht="15.2" customHeight="1" x14ac:dyDescent="0.2">
      <c r="A80" s="26" t="s">
        <v>9564</v>
      </c>
      <c r="B80" s="27" t="s">
        <v>9565</v>
      </c>
      <c r="C80" s="28">
        <v>1</v>
      </c>
      <c r="D80" s="29">
        <v>14.5</v>
      </c>
      <c r="E80" s="29">
        <v>14.5</v>
      </c>
      <c r="F80" s="30">
        <v>39.5</v>
      </c>
      <c r="G80" s="29">
        <v>39.5</v>
      </c>
      <c r="H80" s="28" t="s">
        <v>7735</v>
      </c>
      <c r="I80" s="27" t="s">
        <v>4</v>
      </c>
      <c r="J80" s="31" t="s">
        <v>65</v>
      </c>
      <c r="K80" s="27" t="s">
        <v>53</v>
      </c>
      <c r="L80" s="27" t="s">
        <v>167</v>
      </c>
      <c r="M80" s="32" t="str">
        <f>HYPERLINK("http://slimages.macys.com/is/image/MCY/3672658 ")</f>
        <v xml:space="preserve">http://slimages.macys.com/is/image/MCY/3672658 </v>
      </c>
    </row>
    <row r="81" spans="1:13" ht="15.2" customHeight="1" x14ac:dyDescent="0.2">
      <c r="A81" s="26" t="s">
        <v>4451</v>
      </c>
      <c r="B81" s="27" t="s">
        <v>4452</v>
      </c>
      <c r="C81" s="28">
        <v>1</v>
      </c>
      <c r="D81" s="29">
        <v>14.5</v>
      </c>
      <c r="E81" s="29">
        <v>14.5</v>
      </c>
      <c r="F81" s="30">
        <v>39.5</v>
      </c>
      <c r="G81" s="29">
        <v>39.5</v>
      </c>
      <c r="H81" s="28" t="s">
        <v>4453</v>
      </c>
      <c r="I81" s="27" t="s">
        <v>82</v>
      </c>
      <c r="J81" s="31" t="s">
        <v>52</v>
      </c>
      <c r="K81" s="27" t="s">
        <v>53</v>
      </c>
      <c r="L81" s="27" t="s">
        <v>54</v>
      </c>
      <c r="M81" s="32" t="str">
        <f>HYPERLINK("http://slimages.macys.com/is/image/MCY/3578227 ")</f>
        <v xml:space="preserve">http://slimages.macys.com/is/image/MCY/3578227 </v>
      </c>
    </row>
    <row r="82" spans="1:13" ht="15.2" customHeight="1" x14ac:dyDescent="0.2">
      <c r="A82" s="26" t="s">
        <v>9566</v>
      </c>
      <c r="B82" s="27" t="s">
        <v>9567</v>
      </c>
      <c r="C82" s="28">
        <v>1</v>
      </c>
      <c r="D82" s="29">
        <v>14.49</v>
      </c>
      <c r="E82" s="29">
        <v>14.49</v>
      </c>
      <c r="F82" s="30">
        <v>39.5</v>
      </c>
      <c r="G82" s="29">
        <v>39.5</v>
      </c>
      <c r="H82" s="28" t="s">
        <v>8606</v>
      </c>
      <c r="I82" s="27" t="s">
        <v>94</v>
      </c>
      <c r="J82" s="31" t="s">
        <v>71</v>
      </c>
      <c r="K82" s="27" t="s">
        <v>53</v>
      </c>
      <c r="L82" s="27" t="s">
        <v>54</v>
      </c>
      <c r="M82" s="32" t="str">
        <f>HYPERLINK("http://slimages.macys.com/is/image/MCY/3547385 ")</f>
        <v xml:space="preserve">http://slimages.macys.com/is/image/MCY/3547385 </v>
      </c>
    </row>
    <row r="83" spans="1:13" ht="15.2" customHeight="1" x14ac:dyDescent="0.2">
      <c r="A83" s="26" t="s">
        <v>9568</v>
      </c>
      <c r="B83" s="27" t="s">
        <v>9569</v>
      </c>
      <c r="C83" s="28">
        <v>1</v>
      </c>
      <c r="D83" s="29">
        <v>14.01</v>
      </c>
      <c r="E83" s="29">
        <v>14.01</v>
      </c>
      <c r="F83" s="30">
        <v>39.5</v>
      </c>
      <c r="G83" s="29">
        <v>39.5</v>
      </c>
      <c r="H83" s="28" t="s">
        <v>8778</v>
      </c>
      <c r="I83" s="27" t="s">
        <v>4</v>
      </c>
      <c r="J83" s="31" t="s">
        <v>5</v>
      </c>
      <c r="K83" s="27" t="s">
        <v>53</v>
      </c>
      <c r="L83" s="27" t="s">
        <v>54</v>
      </c>
      <c r="M83" s="32" t="str">
        <f>HYPERLINK("http://slimages.macys.com/is/image/MCY/3417704 ")</f>
        <v xml:space="preserve">http://slimages.macys.com/is/image/MCY/3417704 </v>
      </c>
    </row>
    <row r="84" spans="1:13" ht="15.2" customHeight="1" x14ac:dyDescent="0.2">
      <c r="A84" s="26" t="s">
        <v>9570</v>
      </c>
      <c r="B84" s="27" t="s">
        <v>9571</v>
      </c>
      <c r="C84" s="28">
        <v>1</v>
      </c>
      <c r="D84" s="29">
        <v>13.5</v>
      </c>
      <c r="E84" s="29">
        <v>13.5</v>
      </c>
      <c r="F84" s="30">
        <v>29.99</v>
      </c>
      <c r="G84" s="29">
        <v>29.99</v>
      </c>
      <c r="H84" s="28" t="s">
        <v>4823</v>
      </c>
      <c r="I84" s="27" t="s">
        <v>26</v>
      </c>
      <c r="J84" s="31" t="s">
        <v>214</v>
      </c>
      <c r="K84" s="27" t="s">
        <v>200</v>
      </c>
      <c r="L84" s="27" t="s">
        <v>287</v>
      </c>
      <c r="M84" s="32" t="str">
        <f>HYPERLINK("http://slimages.macys.com/is/image/MCY/3631723 ")</f>
        <v xml:space="preserve">http://slimages.macys.com/is/image/MCY/3631723 </v>
      </c>
    </row>
    <row r="85" spans="1:13" ht="15.2" customHeight="1" x14ac:dyDescent="0.2">
      <c r="A85" s="26" t="s">
        <v>9572</v>
      </c>
      <c r="B85" s="27" t="s">
        <v>9573</v>
      </c>
      <c r="C85" s="28">
        <v>1</v>
      </c>
      <c r="D85" s="29">
        <v>13.5</v>
      </c>
      <c r="E85" s="29">
        <v>13.5</v>
      </c>
      <c r="F85" s="30">
        <v>29.99</v>
      </c>
      <c r="G85" s="29">
        <v>29.99</v>
      </c>
      <c r="H85" s="28" t="s">
        <v>4823</v>
      </c>
      <c r="I85" s="27" t="s">
        <v>26</v>
      </c>
      <c r="J85" s="31" t="s">
        <v>216</v>
      </c>
      <c r="K85" s="27" t="s">
        <v>200</v>
      </c>
      <c r="L85" s="27" t="s">
        <v>287</v>
      </c>
      <c r="M85" s="32" t="str">
        <f>HYPERLINK("http://slimages.macys.com/is/image/MCY/3631723 ")</f>
        <v xml:space="preserve">http://slimages.macys.com/is/image/MCY/3631723 </v>
      </c>
    </row>
    <row r="86" spans="1:13" ht="15.2" customHeight="1" x14ac:dyDescent="0.2">
      <c r="A86" s="26" t="s">
        <v>9574</v>
      </c>
      <c r="B86" s="27" t="s">
        <v>9575</v>
      </c>
      <c r="C86" s="28">
        <v>1</v>
      </c>
      <c r="D86" s="29">
        <v>13.5</v>
      </c>
      <c r="E86" s="29">
        <v>13.5</v>
      </c>
      <c r="F86" s="30">
        <v>39</v>
      </c>
      <c r="G86" s="29">
        <v>39</v>
      </c>
      <c r="H86" s="28" t="s">
        <v>8269</v>
      </c>
      <c r="I86" s="27" t="s">
        <v>274</v>
      </c>
      <c r="J86" s="31" t="s">
        <v>71</v>
      </c>
      <c r="K86" s="27" t="s">
        <v>154</v>
      </c>
      <c r="L86" s="27" t="s">
        <v>155</v>
      </c>
      <c r="M86" s="32" t="str">
        <f>HYPERLINK("http://slimages.macys.com/is/image/MCY/3600932 ")</f>
        <v xml:space="preserve">http://slimages.macys.com/is/image/MCY/3600932 </v>
      </c>
    </row>
    <row r="87" spans="1:13" ht="15.2" customHeight="1" x14ac:dyDescent="0.2">
      <c r="A87" s="26" t="s">
        <v>9576</v>
      </c>
      <c r="B87" s="27" t="s">
        <v>9577</v>
      </c>
      <c r="C87" s="28">
        <v>1</v>
      </c>
      <c r="D87" s="29">
        <v>13.5</v>
      </c>
      <c r="E87" s="29">
        <v>13.5</v>
      </c>
      <c r="F87" s="30">
        <v>39</v>
      </c>
      <c r="G87" s="29">
        <v>39</v>
      </c>
      <c r="H87" s="28" t="s">
        <v>2866</v>
      </c>
      <c r="I87" s="27" t="s">
        <v>271</v>
      </c>
      <c r="J87" s="31" t="s">
        <v>52</v>
      </c>
      <c r="K87" s="27" t="s">
        <v>154</v>
      </c>
      <c r="L87" s="27" t="s">
        <v>155</v>
      </c>
      <c r="M87" s="32" t="str">
        <f>HYPERLINK("http://slimages.macys.com/is/image/MCY/3746932 ")</f>
        <v xml:space="preserve">http://slimages.macys.com/is/image/MCY/3746932 </v>
      </c>
    </row>
    <row r="88" spans="1:13" ht="15.2" customHeight="1" x14ac:dyDescent="0.2">
      <c r="A88" s="26" t="s">
        <v>2867</v>
      </c>
      <c r="B88" s="27" t="s">
        <v>2868</v>
      </c>
      <c r="C88" s="28">
        <v>2</v>
      </c>
      <c r="D88" s="29">
        <v>13.14</v>
      </c>
      <c r="E88" s="29">
        <v>26.28</v>
      </c>
      <c r="F88" s="30">
        <v>36.5</v>
      </c>
      <c r="G88" s="29">
        <v>73</v>
      </c>
      <c r="H88" s="28" t="s">
        <v>1176</v>
      </c>
      <c r="I88" s="27" t="s">
        <v>152</v>
      </c>
      <c r="J88" s="31" t="s">
        <v>5</v>
      </c>
      <c r="K88" s="27" t="s">
        <v>27</v>
      </c>
      <c r="L88" s="27" t="s">
        <v>28</v>
      </c>
      <c r="M88" s="32" t="str">
        <f>HYPERLINK("http://slimages.macys.com/is/image/MCY/3810647 ")</f>
        <v xml:space="preserve">http://slimages.macys.com/is/image/MCY/3810647 </v>
      </c>
    </row>
    <row r="89" spans="1:13" ht="15.2" customHeight="1" x14ac:dyDescent="0.2">
      <c r="A89" s="26" t="s">
        <v>9578</v>
      </c>
      <c r="B89" s="27" t="s">
        <v>9579</v>
      </c>
      <c r="C89" s="28">
        <v>1</v>
      </c>
      <c r="D89" s="29">
        <v>13</v>
      </c>
      <c r="E89" s="29">
        <v>13</v>
      </c>
      <c r="F89" s="30">
        <v>39</v>
      </c>
      <c r="G89" s="29">
        <v>39</v>
      </c>
      <c r="H89" s="28" t="s">
        <v>9580</v>
      </c>
      <c r="I89" s="27" t="s">
        <v>59</v>
      </c>
      <c r="J89" s="31" t="s">
        <v>65</v>
      </c>
      <c r="K89" s="27" t="s">
        <v>154</v>
      </c>
      <c r="L89" s="27" t="s">
        <v>155</v>
      </c>
      <c r="M89" s="32" t="str">
        <f>HYPERLINK("http://slimages.macys.com/is/image/MCY/3436233 ")</f>
        <v xml:space="preserve">http://slimages.macys.com/is/image/MCY/3436233 </v>
      </c>
    </row>
    <row r="90" spans="1:13" ht="15.2" customHeight="1" x14ac:dyDescent="0.2">
      <c r="A90" s="26" t="s">
        <v>2873</v>
      </c>
      <c r="B90" s="27" t="s">
        <v>2874</v>
      </c>
      <c r="C90" s="28">
        <v>2</v>
      </c>
      <c r="D90" s="29">
        <v>12.85</v>
      </c>
      <c r="E90" s="29">
        <v>25.7</v>
      </c>
      <c r="F90" s="30">
        <v>27.99</v>
      </c>
      <c r="G90" s="29">
        <v>55.98</v>
      </c>
      <c r="H90" s="28" t="s">
        <v>2875</v>
      </c>
      <c r="I90" s="27" t="s">
        <v>189</v>
      </c>
      <c r="J90" s="31" t="s">
        <v>40</v>
      </c>
      <c r="K90" s="27" t="s">
        <v>224</v>
      </c>
      <c r="L90" s="27" t="s">
        <v>256</v>
      </c>
      <c r="M90" s="32" t="str">
        <f>HYPERLINK("http://slimages.macys.com/is/image/MCY/3875983 ")</f>
        <v xml:space="preserve">http://slimages.macys.com/is/image/MCY/3875983 </v>
      </c>
    </row>
    <row r="91" spans="1:13" ht="15.2" customHeight="1" x14ac:dyDescent="0.2">
      <c r="A91" s="26" t="s">
        <v>7521</v>
      </c>
      <c r="B91" s="27" t="s">
        <v>7522</v>
      </c>
      <c r="C91" s="28">
        <v>1</v>
      </c>
      <c r="D91" s="29">
        <v>12.85</v>
      </c>
      <c r="E91" s="29">
        <v>12.85</v>
      </c>
      <c r="F91" s="30">
        <v>27.99</v>
      </c>
      <c r="G91" s="29">
        <v>27.99</v>
      </c>
      <c r="H91" s="28" t="s">
        <v>1209</v>
      </c>
      <c r="I91" s="27" t="s">
        <v>189</v>
      </c>
      <c r="J91" s="31" t="s">
        <v>71</v>
      </c>
      <c r="K91" s="27" t="s">
        <v>224</v>
      </c>
      <c r="L91" s="27" t="s">
        <v>256</v>
      </c>
      <c r="M91" s="32" t="str">
        <f>HYPERLINK("http://slimages.macys.com/is/image/MCY/3890940 ")</f>
        <v xml:space="preserve">http://slimages.macys.com/is/image/MCY/3890940 </v>
      </c>
    </row>
    <row r="92" spans="1:13" ht="15.2" customHeight="1" x14ac:dyDescent="0.2">
      <c r="A92" s="26" t="s">
        <v>2871</v>
      </c>
      <c r="B92" s="27" t="s">
        <v>2872</v>
      </c>
      <c r="C92" s="28">
        <v>1</v>
      </c>
      <c r="D92" s="29">
        <v>12.85</v>
      </c>
      <c r="E92" s="29">
        <v>12.85</v>
      </c>
      <c r="F92" s="30">
        <v>27.99</v>
      </c>
      <c r="G92" s="29">
        <v>27.99</v>
      </c>
      <c r="H92" s="28" t="s">
        <v>1209</v>
      </c>
      <c r="I92" s="27" t="s">
        <v>189</v>
      </c>
      <c r="J92" s="31" t="s">
        <v>40</v>
      </c>
      <c r="K92" s="27" t="s">
        <v>224</v>
      </c>
      <c r="L92" s="27" t="s">
        <v>256</v>
      </c>
      <c r="M92" s="32" t="str">
        <f>HYPERLINK("http://slimages.macys.com/is/image/MCY/3890940 ")</f>
        <v xml:space="preserve">http://slimages.macys.com/is/image/MCY/3890940 </v>
      </c>
    </row>
    <row r="93" spans="1:13" ht="15.2" customHeight="1" x14ac:dyDescent="0.2">
      <c r="A93" s="26" t="s">
        <v>9581</v>
      </c>
      <c r="B93" s="27" t="s">
        <v>9582</v>
      </c>
      <c r="C93" s="28">
        <v>1</v>
      </c>
      <c r="D93" s="29">
        <v>12.65</v>
      </c>
      <c r="E93" s="29">
        <v>12.65</v>
      </c>
      <c r="F93" s="30">
        <v>29.99</v>
      </c>
      <c r="G93" s="29">
        <v>29.99</v>
      </c>
      <c r="H93" s="28" t="s">
        <v>9583</v>
      </c>
      <c r="I93" s="27" t="s">
        <v>1</v>
      </c>
      <c r="J93" s="31" t="s">
        <v>205</v>
      </c>
      <c r="K93" s="27" t="s">
        <v>200</v>
      </c>
      <c r="L93" s="27" t="s">
        <v>765</v>
      </c>
      <c r="M93" s="32" t="str">
        <f>HYPERLINK("http://slimages.macys.com/is/image/MCY/3364230 ")</f>
        <v xml:space="preserve">http://slimages.macys.com/is/image/MCY/3364230 </v>
      </c>
    </row>
    <row r="94" spans="1:13" ht="15.2" customHeight="1" x14ac:dyDescent="0.2">
      <c r="A94" s="26" t="s">
        <v>9584</v>
      </c>
      <c r="B94" s="27" t="s">
        <v>9585</v>
      </c>
      <c r="C94" s="28">
        <v>1</v>
      </c>
      <c r="D94" s="29">
        <v>12.65</v>
      </c>
      <c r="E94" s="29">
        <v>12.65</v>
      </c>
      <c r="F94" s="30">
        <v>29.99</v>
      </c>
      <c r="G94" s="29">
        <v>29.99</v>
      </c>
      <c r="H94" s="28" t="s">
        <v>7527</v>
      </c>
      <c r="I94" s="27" t="s">
        <v>94</v>
      </c>
      <c r="J94" s="31" t="s">
        <v>234</v>
      </c>
      <c r="K94" s="27" t="s">
        <v>200</v>
      </c>
      <c r="L94" s="27" t="s">
        <v>765</v>
      </c>
      <c r="M94" s="32" t="str">
        <f>HYPERLINK("http://slimages.macys.com/is/image/MCY/3797822 ")</f>
        <v xml:space="preserve">http://slimages.macys.com/is/image/MCY/3797822 </v>
      </c>
    </row>
    <row r="95" spans="1:13" ht="15.2" customHeight="1" x14ac:dyDescent="0.2">
      <c r="A95" s="26" t="s">
        <v>2155</v>
      </c>
      <c r="B95" s="27" t="s">
        <v>2156</v>
      </c>
      <c r="C95" s="28">
        <v>1</v>
      </c>
      <c r="D95" s="29">
        <v>12.65</v>
      </c>
      <c r="E95" s="29">
        <v>12.65</v>
      </c>
      <c r="F95" s="30">
        <v>29.99</v>
      </c>
      <c r="G95" s="29">
        <v>29.99</v>
      </c>
      <c r="H95" s="28" t="s">
        <v>766</v>
      </c>
      <c r="I95" s="27" t="s">
        <v>22</v>
      </c>
      <c r="J95" s="31" t="s">
        <v>69</v>
      </c>
      <c r="K95" s="27" t="s">
        <v>200</v>
      </c>
      <c r="L95" s="27" t="s">
        <v>765</v>
      </c>
      <c r="M95" s="32" t="str">
        <f>HYPERLINK("http://slimages.macys.com/is/image/MCY/3797822 ")</f>
        <v xml:space="preserve">http://slimages.macys.com/is/image/MCY/3797822 </v>
      </c>
    </row>
    <row r="96" spans="1:13" ht="15.2" customHeight="1" x14ac:dyDescent="0.2">
      <c r="A96" s="26" t="s">
        <v>9586</v>
      </c>
      <c r="B96" s="27" t="s">
        <v>9587</v>
      </c>
      <c r="C96" s="28">
        <v>1</v>
      </c>
      <c r="D96" s="29">
        <v>12.42</v>
      </c>
      <c r="E96" s="29">
        <v>12.42</v>
      </c>
      <c r="F96" s="30">
        <v>39</v>
      </c>
      <c r="G96" s="29">
        <v>39</v>
      </c>
      <c r="H96" s="28" t="s">
        <v>9588</v>
      </c>
      <c r="I96" s="27" t="s">
        <v>33</v>
      </c>
      <c r="J96" s="31" t="s">
        <v>5</v>
      </c>
      <c r="K96" s="27" t="s">
        <v>42</v>
      </c>
      <c r="L96" s="27" t="s">
        <v>43</v>
      </c>
      <c r="M96" s="32" t="str">
        <f>HYPERLINK("http://slimages.macys.com/is/image/MCY/3777273 ")</f>
        <v xml:space="preserve">http://slimages.macys.com/is/image/MCY/3777273 </v>
      </c>
    </row>
    <row r="97" spans="1:13" ht="15.2" customHeight="1" x14ac:dyDescent="0.2">
      <c r="A97" s="26" t="s">
        <v>9589</v>
      </c>
      <c r="B97" s="27" t="s">
        <v>9590</v>
      </c>
      <c r="C97" s="28">
        <v>1</v>
      </c>
      <c r="D97" s="29">
        <v>12.25</v>
      </c>
      <c r="E97" s="29">
        <v>12.25</v>
      </c>
      <c r="F97" s="30">
        <v>29.99</v>
      </c>
      <c r="G97" s="29">
        <v>29.99</v>
      </c>
      <c r="H97" s="28" t="s">
        <v>1224</v>
      </c>
      <c r="I97" s="27" t="s">
        <v>144</v>
      </c>
      <c r="J97" s="31" t="s">
        <v>205</v>
      </c>
      <c r="K97" s="27" t="s">
        <v>200</v>
      </c>
      <c r="L97" s="27" t="s">
        <v>552</v>
      </c>
      <c r="M97" s="32" t="str">
        <f>HYPERLINK("http://slimages.macys.com/is/image/MCY/3394406 ")</f>
        <v xml:space="preserve">http://slimages.macys.com/is/image/MCY/3394406 </v>
      </c>
    </row>
    <row r="98" spans="1:13" ht="15.2" customHeight="1" x14ac:dyDescent="0.2">
      <c r="A98" s="26" t="s">
        <v>9066</v>
      </c>
      <c r="B98" s="27" t="s">
        <v>9067</v>
      </c>
      <c r="C98" s="28">
        <v>2</v>
      </c>
      <c r="D98" s="29">
        <v>12</v>
      </c>
      <c r="E98" s="29">
        <v>24</v>
      </c>
      <c r="F98" s="30">
        <v>29.99</v>
      </c>
      <c r="G98" s="29">
        <v>59.98</v>
      </c>
      <c r="H98" s="28" t="s">
        <v>2608</v>
      </c>
      <c r="I98" s="27" t="s">
        <v>1</v>
      </c>
      <c r="J98" s="31" t="s">
        <v>5</v>
      </c>
      <c r="K98" s="27" t="s">
        <v>70</v>
      </c>
      <c r="L98" s="27" t="s">
        <v>128</v>
      </c>
      <c r="M98" s="32" t="str">
        <f>HYPERLINK("http://slimages.macys.com/is/image/MCY/3682473 ")</f>
        <v xml:space="preserve">http://slimages.macys.com/is/image/MCY/3682473 </v>
      </c>
    </row>
    <row r="99" spans="1:13" ht="15.2" customHeight="1" x14ac:dyDescent="0.2">
      <c r="A99" s="26" t="s">
        <v>5665</v>
      </c>
      <c r="B99" s="27" t="s">
        <v>5666</v>
      </c>
      <c r="C99" s="28">
        <v>1</v>
      </c>
      <c r="D99" s="29">
        <v>12</v>
      </c>
      <c r="E99" s="29">
        <v>12</v>
      </c>
      <c r="F99" s="30">
        <v>29.99</v>
      </c>
      <c r="G99" s="29">
        <v>29.99</v>
      </c>
      <c r="H99" s="28" t="s">
        <v>2608</v>
      </c>
      <c r="I99" s="27" t="s">
        <v>1</v>
      </c>
      <c r="J99" s="31" t="s">
        <v>52</v>
      </c>
      <c r="K99" s="27" t="s">
        <v>70</v>
      </c>
      <c r="L99" s="27" t="s">
        <v>128</v>
      </c>
      <c r="M99" s="32" t="str">
        <f>HYPERLINK("http://slimages.macys.com/is/image/MCY/3682473 ")</f>
        <v xml:space="preserve">http://slimages.macys.com/is/image/MCY/3682473 </v>
      </c>
    </row>
    <row r="100" spans="1:13" ht="15.2" customHeight="1" x14ac:dyDescent="0.2">
      <c r="A100" s="26" t="s">
        <v>9591</v>
      </c>
      <c r="B100" s="27" t="s">
        <v>9592</v>
      </c>
      <c r="C100" s="28">
        <v>1</v>
      </c>
      <c r="D100" s="29">
        <v>12</v>
      </c>
      <c r="E100" s="29">
        <v>12</v>
      </c>
      <c r="F100" s="30">
        <v>29.99</v>
      </c>
      <c r="G100" s="29">
        <v>29.99</v>
      </c>
      <c r="H100" s="28" t="s">
        <v>1797</v>
      </c>
      <c r="I100" s="27" t="s">
        <v>1472</v>
      </c>
      <c r="J100" s="31" t="s">
        <v>23</v>
      </c>
      <c r="K100" s="27" t="s">
        <v>200</v>
      </c>
      <c r="L100" s="27" t="s">
        <v>765</v>
      </c>
      <c r="M100" s="32" t="str">
        <f>HYPERLINK("http://slimages.macys.com/is/image/MCY/3797822 ")</f>
        <v xml:space="preserve">http://slimages.macys.com/is/image/MCY/3797822 </v>
      </c>
    </row>
    <row r="101" spans="1:13" ht="15.2" customHeight="1" x14ac:dyDescent="0.2">
      <c r="A101" s="26" t="s">
        <v>9593</v>
      </c>
      <c r="B101" s="27" t="s">
        <v>9594</v>
      </c>
      <c r="C101" s="28">
        <v>1</v>
      </c>
      <c r="D101" s="29">
        <v>12</v>
      </c>
      <c r="E101" s="29">
        <v>12</v>
      </c>
      <c r="F101" s="30">
        <v>29.99</v>
      </c>
      <c r="G101" s="29">
        <v>29.99</v>
      </c>
      <c r="H101" s="28" t="s">
        <v>2608</v>
      </c>
      <c r="I101" s="27" t="s">
        <v>1</v>
      </c>
      <c r="J101" s="31" t="s">
        <v>40</v>
      </c>
      <c r="K101" s="27" t="s">
        <v>70</v>
      </c>
      <c r="L101" s="27" t="s">
        <v>128</v>
      </c>
      <c r="M101" s="32" t="str">
        <f>HYPERLINK("http://slimages.macys.com/is/image/MCY/3682473 ")</f>
        <v xml:space="preserve">http://slimages.macys.com/is/image/MCY/3682473 </v>
      </c>
    </row>
    <row r="102" spans="1:13" ht="15.2" customHeight="1" x14ac:dyDescent="0.2">
      <c r="A102" s="26" t="s">
        <v>9595</v>
      </c>
      <c r="B102" s="27" t="s">
        <v>9596</v>
      </c>
      <c r="C102" s="28">
        <v>1</v>
      </c>
      <c r="D102" s="29">
        <v>12</v>
      </c>
      <c r="E102" s="29">
        <v>12</v>
      </c>
      <c r="F102" s="30">
        <v>44</v>
      </c>
      <c r="G102" s="29">
        <v>44</v>
      </c>
      <c r="H102" s="28" t="s">
        <v>9597</v>
      </c>
      <c r="I102" s="27" t="s">
        <v>94</v>
      </c>
      <c r="J102" s="31" t="s">
        <v>52</v>
      </c>
      <c r="K102" s="27" t="s">
        <v>37</v>
      </c>
      <c r="L102" s="27" t="s">
        <v>38</v>
      </c>
      <c r="M102" s="32" t="str">
        <f>HYPERLINK("http://slimages.macys.com/is/image/MCY/3582284 ")</f>
        <v xml:space="preserve">http://slimages.macys.com/is/image/MCY/3582284 </v>
      </c>
    </row>
    <row r="103" spans="1:13" ht="15.2" customHeight="1" x14ac:dyDescent="0.2">
      <c r="A103" s="26" t="s">
        <v>9598</v>
      </c>
      <c r="B103" s="27" t="s">
        <v>9599</v>
      </c>
      <c r="C103" s="28">
        <v>1</v>
      </c>
      <c r="D103" s="29">
        <v>12</v>
      </c>
      <c r="E103" s="29">
        <v>12</v>
      </c>
      <c r="F103" s="30">
        <v>29.99</v>
      </c>
      <c r="G103" s="29">
        <v>29.99</v>
      </c>
      <c r="H103" s="28" t="s">
        <v>1235</v>
      </c>
      <c r="I103" s="27" t="s">
        <v>36</v>
      </c>
      <c r="J103" s="31" t="s">
        <v>214</v>
      </c>
      <c r="K103" s="27" t="s">
        <v>200</v>
      </c>
      <c r="L103" s="27" t="s">
        <v>552</v>
      </c>
      <c r="M103" s="32" t="str">
        <f>HYPERLINK("http://slimages.macys.com/is/image/MCY/3777681 ")</f>
        <v xml:space="preserve">http://slimages.macys.com/is/image/MCY/3777681 </v>
      </c>
    </row>
    <row r="104" spans="1:13" ht="15.2" customHeight="1" x14ac:dyDescent="0.2">
      <c r="A104" s="26" t="s">
        <v>8782</v>
      </c>
      <c r="B104" s="27" t="s">
        <v>8783</v>
      </c>
      <c r="C104" s="28">
        <v>1</v>
      </c>
      <c r="D104" s="29">
        <v>12</v>
      </c>
      <c r="E104" s="29">
        <v>12</v>
      </c>
      <c r="F104" s="30">
        <v>29.99</v>
      </c>
      <c r="G104" s="29">
        <v>29.99</v>
      </c>
      <c r="H104" s="28" t="s">
        <v>2608</v>
      </c>
      <c r="I104" s="27" t="s">
        <v>1</v>
      </c>
      <c r="J104" s="31" t="s">
        <v>21</v>
      </c>
      <c r="K104" s="27" t="s">
        <v>70</v>
      </c>
      <c r="L104" s="27" t="s">
        <v>128</v>
      </c>
      <c r="M104" s="32" t="str">
        <f>HYPERLINK("http://slimages.macys.com/is/image/MCY/3682473 ")</f>
        <v xml:space="preserve">http://slimages.macys.com/is/image/MCY/3682473 </v>
      </c>
    </row>
    <row r="105" spans="1:13" ht="15.2" customHeight="1" x14ac:dyDescent="0.2">
      <c r="A105" s="26" t="s">
        <v>7537</v>
      </c>
      <c r="B105" s="27" t="s">
        <v>7538</v>
      </c>
      <c r="C105" s="28">
        <v>1</v>
      </c>
      <c r="D105" s="29">
        <v>11.75</v>
      </c>
      <c r="E105" s="29">
        <v>11.75</v>
      </c>
      <c r="F105" s="30">
        <v>59</v>
      </c>
      <c r="G105" s="29">
        <v>59</v>
      </c>
      <c r="H105" s="28" t="s">
        <v>1253</v>
      </c>
      <c r="I105" s="27" t="s">
        <v>152</v>
      </c>
      <c r="J105" s="31" t="s">
        <v>230</v>
      </c>
      <c r="K105" s="27" t="s">
        <v>24</v>
      </c>
      <c r="L105" s="27" t="s">
        <v>999</v>
      </c>
      <c r="M105" s="32" t="str">
        <f>HYPERLINK("http://slimages.macys.com/is/image/MCY/2745963 ")</f>
        <v xml:space="preserve">http://slimages.macys.com/is/image/MCY/2745963 </v>
      </c>
    </row>
    <row r="106" spans="1:13" ht="15.2" customHeight="1" x14ac:dyDescent="0.2">
      <c r="A106" s="26" t="s">
        <v>9600</v>
      </c>
      <c r="B106" s="27" t="s">
        <v>9601</v>
      </c>
      <c r="C106" s="28">
        <v>1</v>
      </c>
      <c r="D106" s="29">
        <v>11.65</v>
      </c>
      <c r="E106" s="29">
        <v>11.65</v>
      </c>
      <c r="F106" s="30">
        <v>29.99</v>
      </c>
      <c r="G106" s="29">
        <v>29.99</v>
      </c>
      <c r="H106" s="28" t="s">
        <v>2185</v>
      </c>
      <c r="I106" s="27" t="s">
        <v>107</v>
      </c>
      <c r="J106" s="31" t="s">
        <v>205</v>
      </c>
      <c r="K106" s="27" t="s">
        <v>200</v>
      </c>
      <c r="L106" s="27" t="s">
        <v>552</v>
      </c>
      <c r="M106" s="32" t="str">
        <f>HYPERLINK("http://slimages.macys.com/is/image/MCY/3683142 ")</f>
        <v xml:space="preserve">http://slimages.macys.com/is/image/MCY/3683142 </v>
      </c>
    </row>
    <row r="107" spans="1:13" ht="15.2" customHeight="1" x14ac:dyDescent="0.2">
      <c r="A107" s="26" t="s">
        <v>9602</v>
      </c>
      <c r="B107" s="27" t="s">
        <v>9603</v>
      </c>
      <c r="C107" s="28">
        <v>1</v>
      </c>
      <c r="D107" s="29">
        <v>11.65</v>
      </c>
      <c r="E107" s="29">
        <v>11.65</v>
      </c>
      <c r="F107" s="30">
        <v>29.99</v>
      </c>
      <c r="G107" s="29">
        <v>29.99</v>
      </c>
      <c r="H107" s="28" t="s">
        <v>2185</v>
      </c>
      <c r="I107" s="27" t="s">
        <v>107</v>
      </c>
      <c r="J107" s="31" t="s">
        <v>210</v>
      </c>
      <c r="K107" s="27" t="s">
        <v>200</v>
      </c>
      <c r="L107" s="27" t="s">
        <v>552</v>
      </c>
      <c r="M107" s="32" t="str">
        <f>HYPERLINK("http://slimages.macys.com/is/image/MCY/3683142 ")</f>
        <v xml:space="preserve">http://slimages.macys.com/is/image/MCY/3683142 </v>
      </c>
    </row>
    <row r="108" spans="1:13" ht="15.2" customHeight="1" x14ac:dyDescent="0.2">
      <c r="A108" s="26" t="s">
        <v>9083</v>
      </c>
      <c r="B108" s="27" t="s">
        <v>9084</v>
      </c>
      <c r="C108" s="28">
        <v>2</v>
      </c>
      <c r="D108" s="29">
        <v>11.5</v>
      </c>
      <c r="E108" s="29">
        <v>23</v>
      </c>
      <c r="F108" s="30">
        <v>27.99</v>
      </c>
      <c r="G108" s="29">
        <v>55.98</v>
      </c>
      <c r="H108" s="28" t="s">
        <v>223</v>
      </c>
      <c r="I108" s="27" t="s">
        <v>59</v>
      </c>
      <c r="J108" s="31" t="s">
        <v>40</v>
      </c>
      <c r="K108" s="27" t="s">
        <v>224</v>
      </c>
      <c r="L108" s="27" t="s">
        <v>225</v>
      </c>
      <c r="M108" s="32" t="str">
        <f>HYPERLINK("http://slimages.macys.com/is/image/MCY/3777812 ")</f>
        <v xml:space="preserve">http://slimages.macys.com/is/image/MCY/3777812 </v>
      </c>
    </row>
    <row r="109" spans="1:13" ht="15.2" customHeight="1" x14ac:dyDescent="0.2">
      <c r="A109" s="26" t="s">
        <v>1262</v>
      </c>
      <c r="B109" s="27" t="s">
        <v>1263</v>
      </c>
      <c r="C109" s="28">
        <v>2</v>
      </c>
      <c r="D109" s="29">
        <v>11.5</v>
      </c>
      <c r="E109" s="29">
        <v>23</v>
      </c>
      <c r="F109" s="30">
        <v>27.99</v>
      </c>
      <c r="G109" s="29">
        <v>55.98</v>
      </c>
      <c r="H109" s="28" t="s">
        <v>1261</v>
      </c>
      <c r="I109" s="27" t="s">
        <v>4</v>
      </c>
      <c r="J109" s="31" t="s">
        <v>5</v>
      </c>
      <c r="K109" s="27" t="s">
        <v>224</v>
      </c>
      <c r="L109" s="27" t="s">
        <v>325</v>
      </c>
      <c r="M109" s="32" t="str">
        <f>HYPERLINK("http://slimages.macys.com/is/image/MCY/3931141 ")</f>
        <v xml:space="preserve">http://slimages.macys.com/is/image/MCY/3931141 </v>
      </c>
    </row>
    <row r="110" spans="1:13" ht="15.2" customHeight="1" x14ac:dyDescent="0.2">
      <c r="A110" s="26" t="s">
        <v>6201</v>
      </c>
      <c r="B110" s="27" t="s">
        <v>6202</v>
      </c>
      <c r="C110" s="28">
        <v>1</v>
      </c>
      <c r="D110" s="29">
        <v>11.5</v>
      </c>
      <c r="E110" s="29">
        <v>11.5</v>
      </c>
      <c r="F110" s="30">
        <v>27.99</v>
      </c>
      <c r="G110" s="29">
        <v>27.99</v>
      </c>
      <c r="H110" s="28" t="s">
        <v>223</v>
      </c>
      <c r="I110" s="27" t="s">
        <v>59</v>
      </c>
      <c r="J110" s="31" t="s">
        <v>71</v>
      </c>
      <c r="K110" s="27" t="s">
        <v>224</v>
      </c>
      <c r="L110" s="27" t="s">
        <v>225</v>
      </c>
      <c r="M110" s="32" t="str">
        <f>HYPERLINK("http://slimages.macys.com/is/image/MCY/3777812 ")</f>
        <v xml:space="preserve">http://slimages.macys.com/is/image/MCY/3777812 </v>
      </c>
    </row>
    <row r="111" spans="1:13" ht="15.2" customHeight="1" x14ac:dyDescent="0.2">
      <c r="A111" s="26" t="s">
        <v>8613</v>
      </c>
      <c r="B111" s="27" t="s">
        <v>8614</v>
      </c>
      <c r="C111" s="28">
        <v>1</v>
      </c>
      <c r="D111" s="29">
        <v>11.5</v>
      </c>
      <c r="E111" s="29">
        <v>11.5</v>
      </c>
      <c r="F111" s="30">
        <v>27.99</v>
      </c>
      <c r="G111" s="29">
        <v>27.99</v>
      </c>
      <c r="H111" s="28" t="s">
        <v>1261</v>
      </c>
      <c r="I111" s="27" t="s">
        <v>4</v>
      </c>
      <c r="J111" s="31" t="s">
        <v>52</v>
      </c>
      <c r="K111" s="27" t="s">
        <v>224</v>
      </c>
      <c r="L111" s="27" t="s">
        <v>325</v>
      </c>
      <c r="M111" s="32" t="str">
        <f>HYPERLINK("http://slimages.macys.com/is/image/MCY/3931141 ")</f>
        <v xml:space="preserve">http://slimages.macys.com/is/image/MCY/3931141 </v>
      </c>
    </row>
    <row r="112" spans="1:13" ht="15.2" customHeight="1" x14ac:dyDescent="0.2">
      <c r="A112" s="26" t="s">
        <v>221</v>
      </c>
      <c r="B112" s="27" t="s">
        <v>222</v>
      </c>
      <c r="C112" s="28">
        <v>3</v>
      </c>
      <c r="D112" s="29">
        <v>11.5</v>
      </c>
      <c r="E112" s="29">
        <v>34.5</v>
      </c>
      <c r="F112" s="30">
        <v>27.99</v>
      </c>
      <c r="G112" s="29">
        <v>83.97</v>
      </c>
      <c r="H112" s="28" t="s">
        <v>223</v>
      </c>
      <c r="I112" s="27" t="s">
        <v>59</v>
      </c>
      <c r="J112" s="31" t="s">
        <v>52</v>
      </c>
      <c r="K112" s="27" t="s">
        <v>224</v>
      </c>
      <c r="L112" s="27" t="s">
        <v>225</v>
      </c>
      <c r="M112" s="32" t="str">
        <f>HYPERLINK("http://slimages.macys.com/is/image/MCY/3777812 ")</f>
        <v xml:space="preserve">http://slimages.macys.com/is/image/MCY/3777812 </v>
      </c>
    </row>
    <row r="113" spans="1:13" ht="15.2" customHeight="1" x14ac:dyDescent="0.2">
      <c r="A113" s="26" t="s">
        <v>7748</v>
      </c>
      <c r="B113" s="27" t="s">
        <v>7749</v>
      </c>
      <c r="C113" s="28">
        <v>2</v>
      </c>
      <c r="D113" s="29">
        <v>11.5</v>
      </c>
      <c r="E113" s="29">
        <v>23</v>
      </c>
      <c r="F113" s="30">
        <v>27.99</v>
      </c>
      <c r="G113" s="29">
        <v>55.98</v>
      </c>
      <c r="H113" s="28" t="s">
        <v>223</v>
      </c>
      <c r="I113" s="27" t="s">
        <v>36</v>
      </c>
      <c r="J113" s="31" t="s">
        <v>5</v>
      </c>
      <c r="K113" s="27" t="s">
        <v>224</v>
      </c>
      <c r="L113" s="27" t="s">
        <v>225</v>
      </c>
      <c r="M113" s="32" t="str">
        <f>HYPERLINK("http://slimages.macys.com/is/image/MCY/3777812 ")</f>
        <v xml:space="preserve">http://slimages.macys.com/is/image/MCY/3777812 </v>
      </c>
    </row>
    <row r="114" spans="1:13" ht="15.2" customHeight="1" x14ac:dyDescent="0.2">
      <c r="A114" s="26" t="s">
        <v>2893</v>
      </c>
      <c r="B114" s="27" t="s">
        <v>2894</v>
      </c>
      <c r="C114" s="28">
        <v>3</v>
      </c>
      <c r="D114" s="29">
        <v>11.5</v>
      </c>
      <c r="E114" s="29">
        <v>34.5</v>
      </c>
      <c r="F114" s="30">
        <v>27.99</v>
      </c>
      <c r="G114" s="29">
        <v>83.97</v>
      </c>
      <c r="H114" s="28" t="s">
        <v>223</v>
      </c>
      <c r="I114" s="27" t="s">
        <v>59</v>
      </c>
      <c r="J114" s="31" t="s">
        <v>21</v>
      </c>
      <c r="K114" s="27" t="s">
        <v>224</v>
      </c>
      <c r="L114" s="27" t="s">
        <v>225</v>
      </c>
      <c r="M114" s="32" t="str">
        <f>HYPERLINK("http://slimages.macys.com/is/image/MCY/3777812 ")</f>
        <v xml:space="preserve">http://slimages.macys.com/is/image/MCY/3777812 </v>
      </c>
    </row>
    <row r="115" spans="1:13" ht="15.2" customHeight="1" x14ac:dyDescent="0.2">
      <c r="A115" s="26" t="s">
        <v>5428</v>
      </c>
      <c r="B115" s="27" t="s">
        <v>5429</v>
      </c>
      <c r="C115" s="28">
        <v>2</v>
      </c>
      <c r="D115" s="29">
        <v>11.5</v>
      </c>
      <c r="E115" s="29">
        <v>23</v>
      </c>
      <c r="F115" s="30">
        <v>29.99</v>
      </c>
      <c r="G115" s="29">
        <v>59.98</v>
      </c>
      <c r="H115" s="28" t="s">
        <v>3822</v>
      </c>
      <c r="I115" s="27" t="s">
        <v>1</v>
      </c>
      <c r="J115" s="31" t="s">
        <v>69</v>
      </c>
      <c r="K115" s="27" t="s">
        <v>200</v>
      </c>
      <c r="L115" s="27" t="s">
        <v>765</v>
      </c>
      <c r="M115" s="32" t="str">
        <f>HYPERLINK("http://slimages.macys.com/is/image/MCY/3581689 ")</f>
        <v xml:space="preserve">http://slimages.macys.com/is/image/MCY/3581689 </v>
      </c>
    </row>
    <row r="116" spans="1:13" ht="15.2" customHeight="1" x14ac:dyDescent="0.2">
      <c r="A116" s="26" t="s">
        <v>2899</v>
      </c>
      <c r="B116" s="27" t="s">
        <v>2900</v>
      </c>
      <c r="C116" s="28">
        <v>5</v>
      </c>
      <c r="D116" s="29">
        <v>11.5</v>
      </c>
      <c r="E116" s="29">
        <v>57.5</v>
      </c>
      <c r="F116" s="30">
        <v>27.99</v>
      </c>
      <c r="G116" s="29">
        <v>139.94999999999999</v>
      </c>
      <c r="H116" s="28" t="s">
        <v>223</v>
      </c>
      <c r="I116" s="27" t="s">
        <v>36</v>
      </c>
      <c r="J116" s="31" t="s">
        <v>40</v>
      </c>
      <c r="K116" s="27" t="s">
        <v>224</v>
      </c>
      <c r="L116" s="27" t="s">
        <v>225</v>
      </c>
      <c r="M116" s="32" t="str">
        <f>HYPERLINK("http://slimages.macys.com/is/image/MCY/3777812 ")</f>
        <v xml:space="preserve">http://slimages.macys.com/is/image/MCY/3777812 </v>
      </c>
    </row>
    <row r="117" spans="1:13" ht="15.2" customHeight="1" x14ac:dyDescent="0.2">
      <c r="A117" s="26" t="s">
        <v>8794</v>
      </c>
      <c r="B117" s="27" t="s">
        <v>8795</v>
      </c>
      <c r="C117" s="28">
        <v>2</v>
      </c>
      <c r="D117" s="29">
        <v>11.5</v>
      </c>
      <c r="E117" s="29">
        <v>23</v>
      </c>
      <c r="F117" s="30">
        <v>29.99</v>
      </c>
      <c r="G117" s="29">
        <v>59.98</v>
      </c>
      <c r="H117" s="28" t="s">
        <v>3822</v>
      </c>
      <c r="I117" s="27" t="s">
        <v>1</v>
      </c>
      <c r="J117" s="31" t="s">
        <v>216</v>
      </c>
      <c r="K117" s="27" t="s">
        <v>200</v>
      </c>
      <c r="L117" s="27" t="s">
        <v>765</v>
      </c>
      <c r="M117" s="32" t="str">
        <f>HYPERLINK("http://slimages.macys.com/is/image/MCY/3581689 ")</f>
        <v xml:space="preserve">http://slimages.macys.com/is/image/MCY/3581689 </v>
      </c>
    </row>
    <row r="118" spans="1:13" ht="15.2" customHeight="1" x14ac:dyDescent="0.2">
      <c r="A118" s="26" t="s">
        <v>8275</v>
      </c>
      <c r="B118" s="27" t="s">
        <v>8276</v>
      </c>
      <c r="C118" s="28">
        <v>2</v>
      </c>
      <c r="D118" s="29">
        <v>11.5</v>
      </c>
      <c r="E118" s="29">
        <v>23</v>
      </c>
      <c r="F118" s="30">
        <v>27.99</v>
      </c>
      <c r="G118" s="29">
        <v>55.98</v>
      </c>
      <c r="H118" s="28" t="s">
        <v>223</v>
      </c>
      <c r="I118" s="27" t="s">
        <v>59</v>
      </c>
      <c r="J118" s="31" t="s">
        <v>5</v>
      </c>
      <c r="K118" s="27" t="s">
        <v>224</v>
      </c>
      <c r="L118" s="27" t="s">
        <v>225</v>
      </c>
      <c r="M118" s="32" t="str">
        <f>HYPERLINK("http://slimages.macys.com/is/image/MCY/3777812 ")</f>
        <v xml:space="preserve">http://slimages.macys.com/is/image/MCY/3777812 </v>
      </c>
    </row>
    <row r="119" spans="1:13" ht="15.2" customHeight="1" x14ac:dyDescent="0.2">
      <c r="A119" s="26" t="s">
        <v>9604</v>
      </c>
      <c r="B119" s="27" t="s">
        <v>9605</v>
      </c>
      <c r="C119" s="28">
        <v>1</v>
      </c>
      <c r="D119" s="29">
        <v>11.5</v>
      </c>
      <c r="E119" s="29">
        <v>11.5</v>
      </c>
      <c r="F119" s="30">
        <v>27.99</v>
      </c>
      <c r="G119" s="29">
        <v>27.99</v>
      </c>
      <c r="H119" s="28" t="s">
        <v>223</v>
      </c>
      <c r="I119" s="27" t="s">
        <v>59</v>
      </c>
      <c r="J119" s="31" t="s">
        <v>5</v>
      </c>
      <c r="K119" s="27" t="s">
        <v>224</v>
      </c>
      <c r="L119" s="27" t="s">
        <v>225</v>
      </c>
      <c r="M119" s="32" t="str">
        <f>HYPERLINK("http://slimages.macys.com/is/image/MCY/3777812 ")</f>
        <v xml:space="preserve">http://slimages.macys.com/is/image/MCY/3777812 </v>
      </c>
    </row>
    <row r="120" spans="1:13" ht="15.2" customHeight="1" x14ac:dyDescent="0.2">
      <c r="A120" s="26" t="s">
        <v>2895</v>
      </c>
      <c r="B120" s="27" t="s">
        <v>2896</v>
      </c>
      <c r="C120" s="28">
        <v>1</v>
      </c>
      <c r="D120" s="29">
        <v>11.5</v>
      </c>
      <c r="E120" s="29">
        <v>11.5</v>
      </c>
      <c r="F120" s="30">
        <v>27.99</v>
      </c>
      <c r="G120" s="29">
        <v>27.99</v>
      </c>
      <c r="H120" s="28" t="s">
        <v>223</v>
      </c>
      <c r="I120" s="27" t="s">
        <v>36</v>
      </c>
      <c r="J120" s="31" t="s">
        <v>21</v>
      </c>
      <c r="K120" s="27" t="s">
        <v>224</v>
      </c>
      <c r="L120" s="27" t="s">
        <v>225</v>
      </c>
      <c r="M120" s="32" t="str">
        <f>HYPERLINK("http://slimages.macys.com/is/image/MCY/3777812 ")</f>
        <v xml:space="preserve">http://slimages.macys.com/is/image/MCY/3777812 </v>
      </c>
    </row>
    <row r="121" spans="1:13" ht="15.2" customHeight="1" x14ac:dyDescent="0.2">
      <c r="A121" s="26" t="s">
        <v>9606</v>
      </c>
      <c r="B121" s="27" t="s">
        <v>9607</v>
      </c>
      <c r="C121" s="28">
        <v>1</v>
      </c>
      <c r="D121" s="29">
        <v>11.5</v>
      </c>
      <c r="E121" s="29">
        <v>11.5</v>
      </c>
      <c r="F121" s="30">
        <v>29.99</v>
      </c>
      <c r="G121" s="29">
        <v>29.99</v>
      </c>
      <c r="H121" s="28" t="s">
        <v>2193</v>
      </c>
      <c r="I121" s="27" t="s">
        <v>207</v>
      </c>
      <c r="J121" s="31" t="s">
        <v>21</v>
      </c>
      <c r="K121" s="27" t="s">
        <v>200</v>
      </c>
      <c r="L121" s="27" t="s">
        <v>133</v>
      </c>
      <c r="M121" s="32" t="str">
        <f>HYPERLINK("http://slimages.macys.com/is/image/MCY/3773829 ")</f>
        <v xml:space="preserve">http://slimages.macys.com/is/image/MCY/3773829 </v>
      </c>
    </row>
    <row r="122" spans="1:13" ht="15.2" customHeight="1" x14ac:dyDescent="0.2">
      <c r="A122" s="26" t="s">
        <v>9425</v>
      </c>
      <c r="B122" s="27" t="s">
        <v>9426</v>
      </c>
      <c r="C122" s="28">
        <v>1</v>
      </c>
      <c r="D122" s="29">
        <v>11.5</v>
      </c>
      <c r="E122" s="29">
        <v>11.5</v>
      </c>
      <c r="F122" s="30">
        <v>25.99</v>
      </c>
      <c r="G122" s="29">
        <v>25.99</v>
      </c>
      <c r="H122" s="28" t="s">
        <v>229</v>
      </c>
      <c r="I122" s="27" t="s">
        <v>82</v>
      </c>
      <c r="J122" s="31" t="s">
        <v>69</v>
      </c>
      <c r="K122" s="27" t="s">
        <v>200</v>
      </c>
      <c r="L122" s="27" t="s">
        <v>133</v>
      </c>
      <c r="M122" s="32" t="str">
        <f>HYPERLINK("http://slimages.macys.com/is/image/MCY/2834709 ")</f>
        <v xml:space="preserve">http://slimages.macys.com/is/image/MCY/2834709 </v>
      </c>
    </row>
    <row r="123" spans="1:13" ht="15.2" customHeight="1" x14ac:dyDescent="0.2">
      <c r="A123" s="26" t="s">
        <v>9608</v>
      </c>
      <c r="B123" s="27" t="s">
        <v>9609</v>
      </c>
      <c r="C123" s="28">
        <v>1</v>
      </c>
      <c r="D123" s="29">
        <v>11.5</v>
      </c>
      <c r="E123" s="29">
        <v>11.5</v>
      </c>
      <c r="F123" s="30">
        <v>25.99</v>
      </c>
      <c r="G123" s="29">
        <v>25.99</v>
      </c>
      <c r="H123" s="28" t="s">
        <v>4825</v>
      </c>
      <c r="I123" s="27" t="s">
        <v>4</v>
      </c>
      <c r="J123" s="31" t="s">
        <v>23</v>
      </c>
      <c r="K123" s="27" t="s">
        <v>200</v>
      </c>
      <c r="L123" s="27" t="s">
        <v>133</v>
      </c>
      <c r="M123" s="32" t="str">
        <f>HYPERLINK("http://slimages.macys.com/is/image/MCY/1246397 ")</f>
        <v xml:space="preserve">http://slimages.macys.com/is/image/MCY/1246397 </v>
      </c>
    </row>
    <row r="124" spans="1:13" ht="15.2" customHeight="1" x14ac:dyDescent="0.2">
      <c r="A124" s="26" t="s">
        <v>8287</v>
      </c>
      <c r="B124" s="27" t="s">
        <v>8288</v>
      </c>
      <c r="C124" s="28">
        <v>1</v>
      </c>
      <c r="D124" s="29">
        <v>11</v>
      </c>
      <c r="E124" s="29">
        <v>11</v>
      </c>
      <c r="F124" s="30">
        <v>27.99</v>
      </c>
      <c r="G124" s="29">
        <v>27.99</v>
      </c>
      <c r="H124" s="28" t="s">
        <v>1283</v>
      </c>
      <c r="I124" s="27" t="s">
        <v>82</v>
      </c>
      <c r="J124" s="31" t="s">
        <v>40</v>
      </c>
      <c r="K124" s="27" t="s">
        <v>224</v>
      </c>
      <c r="L124" s="27" t="s">
        <v>563</v>
      </c>
      <c r="M124" s="32" t="str">
        <f>HYPERLINK("http://slimages.macys.com/is/image/MCY/3852975 ")</f>
        <v xml:space="preserve">http://slimages.macys.com/is/image/MCY/3852975 </v>
      </c>
    </row>
    <row r="125" spans="1:13" ht="15.2" customHeight="1" x14ac:dyDescent="0.2">
      <c r="A125" s="26" t="s">
        <v>8291</v>
      </c>
      <c r="B125" s="27" t="s">
        <v>8292</v>
      </c>
      <c r="C125" s="28">
        <v>1</v>
      </c>
      <c r="D125" s="29">
        <v>11</v>
      </c>
      <c r="E125" s="29">
        <v>11</v>
      </c>
      <c r="F125" s="30">
        <v>22.99</v>
      </c>
      <c r="G125" s="29">
        <v>22.99</v>
      </c>
      <c r="H125" s="28" t="s">
        <v>8293</v>
      </c>
      <c r="I125" s="27" t="s">
        <v>4</v>
      </c>
      <c r="J125" s="31" t="s">
        <v>40</v>
      </c>
      <c r="K125" s="27" t="s">
        <v>200</v>
      </c>
      <c r="L125" s="27" t="s">
        <v>243</v>
      </c>
      <c r="M125" s="32" t="str">
        <f>HYPERLINK("http://slimages.macys.com/is/image/MCY/3794603 ")</f>
        <v xml:space="preserve">http://slimages.macys.com/is/image/MCY/3794603 </v>
      </c>
    </row>
    <row r="126" spans="1:13" ht="15.2" customHeight="1" x14ac:dyDescent="0.2">
      <c r="A126" s="26" t="s">
        <v>8621</v>
      </c>
      <c r="B126" s="27" t="s">
        <v>8622</v>
      </c>
      <c r="C126" s="28">
        <v>1</v>
      </c>
      <c r="D126" s="29">
        <v>11</v>
      </c>
      <c r="E126" s="29">
        <v>11</v>
      </c>
      <c r="F126" s="30">
        <v>27.99</v>
      </c>
      <c r="G126" s="29">
        <v>27.99</v>
      </c>
      <c r="H126" s="28" t="s">
        <v>1283</v>
      </c>
      <c r="I126" s="27" t="s">
        <v>82</v>
      </c>
      <c r="J126" s="31" t="s">
        <v>52</v>
      </c>
      <c r="K126" s="27" t="s">
        <v>224</v>
      </c>
      <c r="L126" s="27" t="s">
        <v>563</v>
      </c>
      <c r="M126" s="32" t="str">
        <f>HYPERLINK("http://slimages.macys.com/is/image/MCY/3852975 ")</f>
        <v xml:space="preserve">http://slimages.macys.com/is/image/MCY/3852975 </v>
      </c>
    </row>
    <row r="127" spans="1:13" ht="15.2" customHeight="1" x14ac:dyDescent="0.2">
      <c r="A127" s="26" t="s">
        <v>8800</v>
      </c>
      <c r="B127" s="27" t="s">
        <v>8801</v>
      </c>
      <c r="C127" s="28">
        <v>1</v>
      </c>
      <c r="D127" s="29">
        <v>11</v>
      </c>
      <c r="E127" s="29">
        <v>11</v>
      </c>
      <c r="F127" s="30">
        <v>22.99</v>
      </c>
      <c r="G127" s="29">
        <v>22.99</v>
      </c>
      <c r="H127" s="28" t="s">
        <v>4461</v>
      </c>
      <c r="I127" s="27" t="s">
        <v>10</v>
      </c>
      <c r="J127" s="31" t="s">
        <v>71</v>
      </c>
      <c r="K127" s="27" t="s">
        <v>200</v>
      </c>
      <c r="L127" s="27" t="s">
        <v>243</v>
      </c>
      <c r="M127" s="32" t="str">
        <f>HYPERLINK("http://slimages.macys.com/is/image/MCY/3755177 ")</f>
        <v xml:space="preserve">http://slimages.macys.com/is/image/MCY/3755177 </v>
      </c>
    </row>
    <row r="128" spans="1:13" ht="15.2" customHeight="1" x14ac:dyDescent="0.2">
      <c r="A128" s="26" t="s">
        <v>1281</v>
      </c>
      <c r="B128" s="27" t="s">
        <v>1282</v>
      </c>
      <c r="C128" s="28">
        <v>1</v>
      </c>
      <c r="D128" s="29">
        <v>11</v>
      </c>
      <c r="E128" s="29">
        <v>11</v>
      </c>
      <c r="F128" s="30">
        <v>27.99</v>
      </c>
      <c r="G128" s="29">
        <v>27.99</v>
      </c>
      <c r="H128" s="28" t="s">
        <v>1283</v>
      </c>
      <c r="I128" s="27" t="s">
        <v>82</v>
      </c>
      <c r="J128" s="31" t="s">
        <v>21</v>
      </c>
      <c r="K128" s="27" t="s">
        <v>224</v>
      </c>
      <c r="L128" s="27" t="s">
        <v>563</v>
      </c>
      <c r="M128" s="32" t="str">
        <f>HYPERLINK("http://slimages.macys.com/is/image/MCY/3852975 ")</f>
        <v xml:space="preserve">http://slimages.macys.com/is/image/MCY/3852975 </v>
      </c>
    </row>
    <row r="129" spans="1:13" ht="15.2" customHeight="1" x14ac:dyDescent="0.2">
      <c r="A129" s="26" t="s">
        <v>8796</v>
      </c>
      <c r="B129" s="27" t="s">
        <v>8797</v>
      </c>
      <c r="C129" s="28">
        <v>1</v>
      </c>
      <c r="D129" s="29">
        <v>11</v>
      </c>
      <c r="E129" s="29">
        <v>11</v>
      </c>
      <c r="F129" s="30">
        <v>27.99</v>
      </c>
      <c r="G129" s="29">
        <v>27.99</v>
      </c>
      <c r="H129" s="28" t="s">
        <v>1283</v>
      </c>
      <c r="I129" s="27" t="s">
        <v>82</v>
      </c>
      <c r="J129" s="31" t="s">
        <v>5</v>
      </c>
      <c r="K129" s="27" t="s">
        <v>224</v>
      </c>
      <c r="L129" s="27" t="s">
        <v>563</v>
      </c>
      <c r="M129" s="32" t="str">
        <f>HYPERLINK("http://slimages.macys.com/is/image/MCY/3852975 ")</f>
        <v xml:space="preserve">http://slimages.macys.com/is/image/MCY/3852975 </v>
      </c>
    </row>
    <row r="130" spans="1:13" ht="15.2" customHeight="1" x14ac:dyDescent="0.2">
      <c r="A130" s="26" t="s">
        <v>8521</v>
      </c>
      <c r="B130" s="27" t="s">
        <v>8522</v>
      </c>
      <c r="C130" s="28">
        <v>1</v>
      </c>
      <c r="D130" s="29">
        <v>11</v>
      </c>
      <c r="E130" s="29">
        <v>11</v>
      </c>
      <c r="F130" s="30">
        <v>44</v>
      </c>
      <c r="G130" s="29">
        <v>44</v>
      </c>
      <c r="H130" s="28" t="s">
        <v>4627</v>
      </c>
      <c r="I130" s="27"/>
      <c r="J130" s="31" t="s">
        <v>40</v>
      </c>
      <c r="K130" s="27" t="s">
        <v>42</v>
      </c>
      <c r="L130" s="27" t="s">
        <v>43</v>
      </c>
      <c r="M130" s="32" t="str">
        <f>HYPERLINK("http://slimages.macys.com/is/image/MCY/3611475 ")</f>
        <v xml:space="preserve">http://slimages.macys.com/is/image/MCY/3611475 </v>
      </c>
    </row>
    <row r="131" spans="1:13" ht="15.2" customHeight="1" x14ac:dyDescent="0.2">
      <c r="A131" s="26" t="s">
        <v>4622</v>
      </c>
      <c r="B131" s="27" t="s">
        <v>4623</v>
      </c>
      <c r="C131" s="28">
        <v>1</v>
      </c>
      <c r="D131" s="29">
        <v>11</v>
      </c>
      <c r="E131" s="29">
        <v>11</v>
      </c>
      <c r="F131" s="30">
        <v>26.99</v>
      </c>
      <c r="G131" s="29">
        <v>26.99</v>
      </c>
      <c r="H131" s="28" t="s">
        <v>4624</v>
      </c>
      <c r="I131" s="27" t="s">
        <v>189</v>
      </c>
      <c r="J131" s="31" t="s">
        <v>5</v>
      </c>
      <c r="K131" s="27" t="s">
        <v>70</v>
      </c>
      <c r="L131" s="27" t="s">
        <v>999</v>
      </c>
      <c r="M131" s="32" t="str">
        <f>HYPERLINK("http://slimages.macys.com/is/image/MCY/3692946 ")</f>
        <v xml:space="preserve">http://slimages.macys.com/is/image/MCY/3692946 </v>
      </c>
    </row>
    <row r="132" spans="1:13" ht="15.2" customHeight="1" x14ac:dyDescent="0.2">
      <c r="A132" s="26" t="s">
        <v>6032</v>
      </c>
      <c r="B132" s="27" t="s">
        <v>6033</v>
      </c>
      <c r="C132" s="28">
        <v>5</v>
      </c>
      <c r="D132" s="29">
        <v>11</v>
      </c>
      <c r="E132" s="29">
        <v>55</v>
      </c>
      <c r="F132" s="30">
        <v>44</v>
      </c>
      <c r="G132" s="29">
        <v>220</v>
      </c>
      <c r="H132" s="28" t="s">
        <v>4627</v>
      </c>
      <c r="I132" s="27"/>
      <c r="J132" s="31" t="s">
        <v>5</v>
      </c>
      <c r="K132" s="27" t="s">
        <v>42</v>
      </c>
      <c r="L132" s="27" t="s">
        <v>43</v>
      </c>
      <c r="M132" s="32" t="str">
        <f>HYPERLINK("http://slimages.macys.com/is/image/MCY/3611475 ")</f>
        <v xml:space="preserve">http://slimages.macys.com/is/image/MCY/3611475 </v>
      </c>
    </row>
    <row r="133" spans="1:13" ht="15.2" customHeight="1" x14ac:dyDescent="0.2">
      <c r="A133" s="26" t="s">
        <v>4625</v>
      </c>
      <c r="B133" s="27" t="s">
        <v>4626</v>
      </c>
      <c r="C133" s="28">
        <v>3</v>
      </c>
      <c r="D133" s="29">
        <v>11</v>
      </c>
      <c r="E133" s="29">
        <v>33</v>
      </c>
      <c r="F133" s="30">
        <v>44</v>
      </c>
      <c r="G133" s="29">
        <v>132</v>
      </c>
      <c r="H133" s="28" t="s">
        <v>4627</v>
      </c>
      <c r="I133" s="27"/>
      <c r="J133" s="31" t="s">
        <v>52</v>
      </c>
      <c r="K133" s="27" t="s">
        <v>42</v>
      </c>
      <c r="L133" s="27" t="s">
        <v>43</v>
      </c>
      <c r="M133" s="32" t="str">
        <f>HYPERLINK("http://slimages.macys.com/is/image/MCY/3611475 ")</f>
        <v xml:space="preserve">http://slimages.macys.com/is/image/MCY/3611475 </v>
      </c>
    </row>
    <row r="134" spans="1:13" ht="15.2" customHeight="1" x14ac:dyDescent="0.2">
      <c r="A134" s="26" t="s">
        <v>4628</v>
      </c>
      <c r="B134" s="27" t="s">
        <v>4629</v>
      </c>
      <c r="C134" s="28">
        <v>1</v>
      </c>
      <c r="D134" s="29">
        <v>11</v>
      </c>
      <c r="E134" s="29">
        <v>11</v>
      </c>
      <c r="F134" s="30">
        <v>44</v>
      </c>
      <c r="G134" s="29">
        <v>44</v>
      </c>
      <c r="H134" s="28" t="s">
        <v>4627</v>
      </c>
      <c r="I134" s="27"/>
      <c r="J134" s="31" t="s">
        <v>21</v>
      </c>
      <c r="K134" s="27" t="s">
        <v>42</v>
      </c>
      <c r="L134" s="27" t="s">
        <v>43</v>
      </c>
      <c r="M134" s="32" t="str">
        <f>HYPERLINK("http://slimages.macys.com/is/image/MCY/3611475 ")</f>
        <v xml:space="preserve">http://slimages.macys.com/is/image/MCY/3611475 </v>
      </c>
    </row>
    <row r="135" spans="1:13" ht="15.2" customHeight="1" x14ac:dyDescent="0.2">
      <c r="A135" s="26" t="s">
        <v>5034</v>
      </c>
      <c r="B135" s="27" t="s">
        <v>5035</v>
      </c>
      <c r="C135" s="28">
        <v>2</v>
      </c>
      <c r="D135" s="29">
        <v>10.65</v>
      </c>
      <c r="E135" s="29">
        <v>21.3</v>
      </c>
      <c r="F135" s="30">
        <v>27.99</v>
      </c>
      <c r="G135" s="29">
        <v>55.98</v>
      </c>
      <c r="H135" s="28" t="s">
        <v>1290</v>
      </c>
      <c r="I135" s="27" t="s">
        <v>49</v>
      </c>
      <c r="J135" s="31" t="s">
        <v>5</v>
      </c>
      <c r="K135" s="27" t="s">
        <v>224</v>
      </c>
      <c r="L135" s="27" t="s">
        <v>237</v>
      </c>
      <c r="M135" s="32" t="str">
        <f>HYPERLINK("http://slimages.macys.com/is/image/MCY/3787610 ")</f>
        <v xml:space="preserve">http://slimages.macys.com/is/image/MCY/3787610 </v>
      </c>
    </row>
    <row r="136" spans="1:13" ht="15.2" customHeight="1" x14ac:dyDescent="0.2">
      <c r="A136" s="26" t="s">
        <v>8296</v>
      </c>
      <c r="B136" s="27" t="s">
        <v>8297</v>
      </c>
      <c r="C136" s="28">
        <v>1</v>
      </c>
      <c r="D136" s="29">
        <v>10.65</v>
      </c>
      <c r="E136" s="29">
        <v>10.65</v>
      </c>
      <c r="F136" s="30">
        <v>27.99</v>
      </c>
      <c r="G136" s="29">
        <v>27.99</v>
      </c>
      <c r="H136" s="28" t="s">
        <v>1290</v>
      </c>
      <c r="I136" s="27" t="s">
        <v>49</v>
      </c>
      <c r="J136" s="31" t="s">
        <v>71</v>
      </c>
      <c r="K136" s="27" t="s">
        <v>224</v>
      </c>
      <c r="L136" s="27" t="s">
        <v>237</v>
      </c>
      <c r="M136" s="32" t="str">
        <f>HYPERLINK("http://slimages.macys.com/is/image/MCY/3787610 ")</f>
        <v xml:space="preserve">http://slimages.macys.com/is/image/MCY/3787610 </v>
      </c>
    </row>
    <row r="137" spans="1:13" ht="15.2" customHeight="1" x14ac:dyDescent="0.2">
      <c r="A137" s="26" t="s">
        <v>9610</v>
      </c>
      <c r="B137" s="27" t="s">
        <v>9611</v>
      </c>
      <c r="C137" s="28">
        <v>1</v>
      </c>
      <c r="D137" s="29">
        <v>10.5</v>
      </c>
      <c r="E137" s="29">
        <v>10.5</v>
      </c>
      <c r="F137" s="30">
        <v>26.99</v>
      </c>
      <c r="G137" s="29">
        <v>26.99</v>
      </c>
      <c r="H137" s="28" t="s">
        <v>2620</v>
      </c>
      <c r="I137" s="27" t="s">
        <v>75</v>
      </c>
      <c r="J137" s="31" t="s">
        <v>40</v>
      </c>
      <c r="K137" s="27" t="s">
        <v>70</v>
      </c>
      <c r="L137" s="27" t="s">
        <v>250</v>
      </c>
      <c r="M137" s="32" t="str">
        <f>HYPERLINK("http://slimages.macys.com/is/image/MCY/3666154 ")</f>
        <v xml:space="preserve">http://slimages.macys.com/is/image/MCY/3666154 </v>
      </c>
    </row>
    <row r="138" spans="1:13" ht="15.2" customHeight="1" x14ac:dyDescent="0.2">
      <c r="A138" s="26" t="s">
        <v>9612</v>
      </c>
      <c r="B138" s="27" t="s">
        <v>9613</v>
      </c>
      <c r="C138" s="28">
        <v>1</v>
      </c>
      <c r="D138" s="29">
        <v>10.5</v>
      </c>
      <c r="E138" s="29">
        <v>10.5</v>
      </c>
      <c r="F138" s="30">
        <v>39</v>
      </c>
      <c r="G138" s="29">
        <v>39</v>
      </c>
      <c r="H138" s="28" t="s">
        <v>7396</v>
      </c>
      <c r="I138" s="27" t="s">
        <v>1467</v>
      </c>
      <c r="J138" s="31" t="s">
        <v>65</v>
      </c>
      <c r="K138" s="27" t="s">
        <v>154</v>
      </c>
      <c r="L138" s="27" t="s">
        <v>155</v>
      </c>
      <c r="M138" s="32" t="str">
        <f>HYPERLINK("http://slimages.macys.com/is/image/MCY/3677916 ")</f>
        <v xml:space="preserve">http://slimages.macys.com/is/image/MCY/3677916 </v>
      </c>
    </row>
    <row r="139" spans="1:13" ht="15.2" customHeight="1" x14ac:dyDescent="0.2">
      <c r="A139" s="26" t="s">
        <v>5432</v>
      </c>
      <c r="B139" s="27" t="s">
        <v>5433</v>
      </c>
      <c r="C139" s="28">
        <v>1</v>
      </c>
      <c r="D139" s="29">
        <v>10.5</v>
      </c>
      <c r="E139" s="29">
        <v>10.5</v>
      </c>
      <c r="F139" s="30">
        <v>24.99</v>
      </c>
      <c r="G139" s="29">
        <v>24.99</v>
      </c>
      <c r="H139" s="28" t="s">
        <v>259</v>
      </c>
      <c r="I139" s="27" t="s">
        <v>26</v>
      </c>
      <c r="J139" s="31" t="s">
        <v>40</v>
      </c>
      <c r="K139" s="27" t="s">
        <v>224</v>
      </c>
      <c r="L139" s="27" t="s">
        <v>260</v>
      </c>
      <c r="M139" s="32" t="str">
        <f>HYPERLINK("http://slimages.macys.com/is/image/MCY/3832929 ")</f>
        <v xml:space="preserve">http://slimages.macys.com/is/image/MCY/3832929 </v>
      </c>
    </row>
    <row r="140" spans="1:13" ht="15.2" customHeight="1" x14ac:dyDescent="0.2">
      <c r="A140" s="26" t="s">
        <v>4472</v>
      </c>
      <c r="B140" s="27" t="s">
        <v>4473</v>
      </c>
      <c r="C140" s="28">
        <v>1</v>
      </c>
      <c r="D140" s="29">
        <v>10.5</v>
      </c>
      <c r="E140" s="29">
        <v>10.5</v>
      </c>
      <c r="F140" s="30">
        <v>27.99</v>
      </c>
      <c r="G140" s="29">
        <v>27.99</v>
      </c>
      <c r="H140" s="28" t="s">
        <v>253</v>
      </c>
      <c r="I140" s="27" t="s">
        <v>4</v>
      </c>
      <c r="J140" s="31" t="s">
        <v>5</v>
      </c>
      <c r="K140" s="27" t="s">
        <v>224</v>
      </c>
      <c r="L140" s="27" t="s">
        <v>254</v>
      </c>
      <c r="M140" s="32" t="str">
        <f>HYPERLINK("http://slimages.macys.com/is/image/MCY/3798053 ")</f>
        <v xml:space="preserve">http://slimages.macys.com/is/image/MCY/3798053 </v>
      </c>
    </row>
    <row r="141" spans="1:13" ht="15.2" customHeight="1" x14ac:dyDescent="0.2">
      <c r="A141" s="26" t="s">
        <v>251</v>
      </c>
      <c r="B141" s="27" t="s">
        <v>252</v>
      </c>
      <c r="C141" s="28">
        <v>1</v>
      </c>
      <c r="D141" s="29">
        <v>10.5</v>
      </c>
      <c r="E141" s="29">
        <v>10.5</v>
      </c>
      <c r="F141" s="30">
        <v>27.99</v>
      </c>
      <c r="G141" s="29">
        <v>27.99</v>
      </c>
      <c r="H141" s="28" t="s">
        <v>253</v>
      </c>
      <c r="I141" s="27" t="s">
        <v>10</v>
      </c>
      <c r="J141" s="31" t="s">
        <v>21</v>
      </c>
      <c r="K141" s="27" t="s">
        <v>224</v>
      </c>
      <c r="L141" s="27" t="s">
        <v>254</v>
      </c>
      <c r="M141" s="32" t="str">
        <f>HYPERLINK("http://slimages.macys.com/is/image/MCY/3798053 ")</f>
        <v xml:space="preserve">http://slimages.macys.com/is/image/MCY/3798053 </v>
      </c>
    </row>
    <row r="142" spans="1:13" ht="15.2" customHeight="1" x14ac:dyDescent="0.2">
      <c r="A142" s="26" t="s">
        <v>9108</v>
      </c>
      <c r="B142" s="27" t="s">
        <v>9109</v>
      </c>
      <c r="C142" s="28">
        <v>1</v>
      </c>
      <c r="D142" s="29">
        <v>10.25</v>
      </c>
      <c r="E142" s="29">
        <v>10.25</v>
      </c>
      <c r="F142" s="30">
        <v>25.99</v>
      </c>
      <c r="G142" s="29">
        <v>25.99</v>
      </c>
      <c r="H142" s="28" t="s">
        <v>1815</v>
      </c>
      <c r="I142" s="27" t="s">
        <v>94</v>
      </c>
      <c r="J142" s="31" t="s">
        <v>40</v>
      </c>
      <c r="K142" s="27" t="s">
        <v>200</v>
      </c>
      <c r="L142" s="27" t="s">
        <v>552</v>
      </c>
      <c r="M142" s="32" t="str">
        <f>HYPERLINK("http://slimages.macys.com/is/image/MCY/3820932 ")</f>
        <v xml:space="preserve">http://slimages.macys.com/is/image/MCY/3820932 </v>
      </c>
    </row>
    <row r="143" spans="1:13" ht="15.2" customHeight="1" x14ac:dyDescent="0.2">
      <c r="A143" s="26" t="s">
        <v>2912</v>
      </c>
      <c r="B143" s="27" t="s">
        <v>2913</v>
      </c>
      <c r="C143" s="28">
        <v>3</v>
      </c>
      <c r="D143" s="29">
        <v>10</v>
      </c>
      <c r="E143" s="29">
        <v>30</v>
      </c>
      <c r="F143" s="30">
        <v>27.99</v>
      </c>
      <c r="G143" s="29">
        <v>83.97</v>
      </c>
      <c r="H143" s="28" t="s">
        <v>279</v>
      </c>
      <c r="I143" s="27" t="s">
        <v>127</v>
      </c>
      <c r="J143" s="31" t="s">
        <v>21</v>
      </c>
      <c r="K143" s="27" t="s">
        <v>224</v>
      </c>
      <c r="L143" s="27" t="s">
        <v>237</v>
      </c>
      <c r="M143" s="32" t="str">
        <f>HYPERLINK("http://slimages.macys.com/is/image/MCY/3820964 ")</f>
        <v xml:space="preserve">http://slimages.macys.com/is/image/MCY/3820964 </v>
      </c>
    </row>
    <row r="144" spans="1:13" ht="15.2" customHeight="1" x14ac:dyDescent="0.2">
      <c r="A144" s="26" t="s">
        <v>8395</v>
      </c>
      <c r="B144" s="27" t="s">
        <v>8396</v>
      </c>
      <c r="C144" s="28">
        <v>1</v>
      </c>
      <c r="D144" s="29">
        <v>10</v>
      </c>
      <c r="E144" s="29">
        <v>10</v>
      </c>
      <c r="F144" s="30">
        <v>27.99</v>
      </c>
      <c r="G144" s="29">
        <v>27.99</v>
      </c>
      <c r="H144" s="28" t="s">
        <v>279</v>
      </c>
      <c r="I144" s="27" t="s">
        <v>127</v>
      </c>
      <c r="J144" s="31" t="s">
        <v>40</v>
      </c>
      <c r="K144" s="27" t="s">
        <v>224</v>
      </c>
      <c r="L144" s="27" t="s">
        <v>237</v>
      </c>
      <c r="M144" s="32" t="str">
        <f>HYPERLINK("http://slimages.macys.com/is/image/MCY/3820964 ")</f>
        <v xml:space="preserve">http://slimages.macys.com/is/image/MCY/3820964 </v>
      </c>
    </row>
    <row r="145" spans="1:13" ht="15.2" customHeight="1" x14ac:dyDescent="0.2">
      <c r="A145" s="26" t="s">
        <v>8398</v>
      </c>
      <c r="B145" s="27" t="s">
        <v>8399</v>
      </c>
      <c r="C145" s="28">
        <v>2</v>
      </c>
      <c r="D145" s="29">
        <v>10</v>
      </c>
      <c r="E145" s="29">
        <v>20</v>
      </c>
      <c r="F145" s="30">
        <v>27.99</v>
      </c>
      <c r="G145" s="29">
        <v>55.98</v>
      </c>
      <c r="H145" s="28" t="s">
        <v>279</v>
      </c>
      <c r="I145" s="27" t="s">
        <v>127</v>
      </c>
      <c r="J145" s="31" t="s">
        <v>5</v>
      </c>
      <c r="K145" s="27" t="s">
        <v>224</v>
      </c>
      <c r="L145" s="27" t="s">
        <v>237</v>
      </c>
      <c r="M145" s="32" t="str">
        <f>HYPERLINK("http://slimages.macys.com/is/image/MCY/3820964 ")</f>
        <v xml:space="preserve">http://slimages.macys.com/is/image/MCY/3820964 </v>
      </c>
    </row>
    <row r="146" spans="1:13" ht="15.2" customHeight="1" x14ac:dyDescent="0.2">
      <c r="A146" s="26" t="s">
        <v>8551</v>
      </c>
      <c r="B146" s="27" t="s">
        <v>8552</v>
      </c>
      <c r="C146" s="28">
        <v>4</v>
      </c>
      <c r="D146" s="29">
        <v>10</v>
      </c>
      <c r="E146" s="29">
        <v>40</v>
      </c>
      <c r="F146" s="30">
        <v>27.99</v>
      </c>
      <c r="G146" s="29">
        <v>111.96</v>
      </c>
      <c r="H146" s="28" t="s">
        <v>279</v>
      </c>
      <c r="I146" s="27" t="s">
        <v>4</v>
      </c>
      <c r="J146" s="31" t="s">
        <v>5</v>
      </c>
      <c r="K146" s="27" t="s">
        <v>224</v>
      </c>
      <c r="L146" s="27" t="s">
        <v>237</v>
      </c>
      <c r="M146" s="32" t="str">
        <f>HYPERLINK("http://slimages.macys.com/is/image/MCY/3820977 ")</f>
        <v xml:space="preserve">http://slimages.macys.com/is/image/MCY/3820977 </v>
      </c>
    </row>
    <row r="147" spans="1:13" ht="15.2" customHeight="1" x14ac:dyDescent="0.2">
      <c r="A147" s="26" t="s">
        <v>8627</v>
      </c>
      <c r="B147" s="27" t="s">
        <v>8628</v>
      </c>
      <c r="C147" s="28">
        <v>1</v>
      </c>
      <c r="D147" s="29">
        <v>10</v>
      </c>
      <c r="E147" s="29">
        <v>10</v>
      </c>
      <c r="F147" s="30">
        <v>27.99</v>
      </c>
      <c r="G147" s="29">
        <v>27.99</v>
      </c>
      <c r="H147" s="28" t="s">
        <v>279</v>
      </c>
      <c r="I147" s="27" t="s">
        <v>4</v>
      </c>
      <c r="J147" s="31" t="s">
        <v>52</v>
      </c>
      <c r="K147" s="27" t="s">
        <v>224</v>
      </c>
      <c r="L147" s="27" t="s">
        <v>237</v>
      </c>
      <c r="M147" s="32" t="str">
        <f>HYPERLINK("http://slimages.macys.com/is/image/MCY/3820977 ")</f>
        <v xml:space="preserve">http://slimages.macys.com/is/image/MCY/3820977 </v>
      </c>
    </row>
    <row r="148" spans="1:13" ht="15.2" customHeight="1" x14ac:dyDescent="0.2">
      <c r="A148" s="26" t="s">
        <v>9614</v>
      </c>
      <c r="B148" s="27" t="s">
        <v>9615</v>
      </c>
      <c r="C148" s="28">
        <v>1</v>
      </c>
      <c r="D148" s="29">
        <v>10</v>
      </c>
      <c r="E148" s="29">
        <v>10</v>
      </c>
      <c r="F148" s="30">
        <v>27.99</v>
      </c>
      <c r="G148" s="29">
        <v>27.99</v>
      </c>
      <c r="H148" s="28" t="s">
        <v>9117</v>
      </c>
      <c r="I148" s="27" t="s">
        <v>189</v>
      </c>
      <c r="J148" s="31" t="s">
        <v>40</v>
      </c>
      <c r="K148" s="27" t="s">
        <v>224</v>
      </c>
      <c r="L148" s="27" t="s">
        <v>563</v>
      </c>
      <c r="M148" s="32" t="str">
        <f>HYPERLINK("http://slimages.macys.com/is/image/MCY/3931026 ")</f>
        <v xml:space="preserve">http://slimages.macys.com/is/image/MCY/3931026 </v>
      </c>
    </row>
    <row r="149" spans="1:13" ht="15.2" customHeight="1" x14ac:dyDescent="0.2">
      <c r="A149" s="26" t="s">
        <v>9616</v>
      </c>
      <c r="B149" s="27" t="s">
        <v>9617</v>
      </c>
      <c r="C149" s="28">
        <v>1</v>
      </c>
      <c r="D149" s="29">
        <v>10</v>
      </c>
      <c r="E149" s="29">
        <v>10</v>
      </c>
      <c r="F149" s="30">
        <v>22.99</v>
      </c>
      <c r="G149" s="29">
        <v>22.99</v>
      </c>
      <c r="H149" s="28" t="s">
        <v>2914</v>
      </c>
      <c r="I149" s="27" t="s">
        <v>94</v>
      </c>
      <c r="J149" s="31" t="s">
        <v>40</v>
      </c>
      <c r="K149" s="27" t="s">
        <v>208</v>
      </c>
      <c r="L149" s="27" t="s">
        <v>197</v>
      </c>
      <c r="M149" s="32" t="str">
        <f>HYPERLINK("http://slimages.macys.com/is/image/MCY/3687920 ")</f>
        <v xml:space="preserve">http://slimages.macys.com/is/image/MCY/3687920 </v>
      </c>
    </row>
    <row r="150" spans="1:13" ht="15.2" customHeight="1" x14ac:dyDescent="0.2">
      <c r="A150" s="26" t="s">
        <v>2910</v>
      </c>
      <c r="B150" s="27" t="s">
        <v>2911</v>
      </c>
      <c r="C150" s="28">
        <v>1</v>
      </c>
      <c r="D150" s="29">
        <v>10</v>
      </c>
      <c r="E150" s="29">
        <v>10</v>
      </c>
      <c r="F150" s="30">
        <v>27.99</v>
      </c>
      <c r="G150" s="29">
        <v>27.99</v>
      </c>
      <c r="H150" s="28" t="s">
        <v>279</v>
      </c>
      <c r="I150" s="27" t="s">
        <v>4</v>
      </c>
      <c r="J150" s="31" t="s">
        <v>21</v>
      </c>
      <c r="K150" s="27" t="s">
        <v>224</v>
      </c>
      <c r="L150" s="27" t="s">
        <v>237</v>
      </c>
      <c r="M150" s="32" t="str">
        <f>HYPERLINK("http://slimages.macys.com/is/image/MCY/3820977 ")</f>
        <v xml:space="preserve">http://slimages.macys.com/is/image/MCY/3820977 </v>
      </c>
    </row>
    <row r="151" spans="1:13" ht="15.2" customHeight="1" x14ac:dyDescent="0.2">
      <c r="A151" s="26" t="s">
        <v>8810</v>
      </c>
      <c r="B151" s="27" t="s">
        <v>8811</v>
      </c>
      <c r="C151" s="28">
        <v>1</v>
      </c>
      <c r="D151" s="29">
        <v>9.75</v>
      </c>
      <c r="E151" s="29">
        <v>9.75</v>
      </c>
      <c r="F151" s="30">
        <v>24.99</v>
      </c>
      <c r="G151" s="29">
        <v>24.99</v>
      </c>
      <c r="H151" s="28" t="s">
        <v>8647</v>
      </c>
      <c r="I151" s="27" t="s">
        <v>4</v>
      </c>
      <c r="J151" s="31" t="s">
        <v>40</v>
      </c>
      <c r="K151" s="27" t="s">
        <v>224</v>
      </c>
      <c r="L151" s="27" t="s">
        <v>197</v>
      </c>
      <c r="M151" s="32" t="str">
        <f>HYPERLINK("http://slimages.macys.com/is/image/MCY/3077099 ")</f>
        <v xml:space="preserve">http://slimages.macys.com/is/image/MCY/3077099 </v>
      </c>
    </row>
    <row r="152" spans="1:13" ht="15.2" customHeight="1" x14ac:dyDescent="0.2">
      <c r="A152" s="26" t="s">
        <v>8643</v>
      </c>
      <c r="B152" s="27" t="s">
        <v>8644</v>
      </c>
      <c r="C152" s="28">
        <v>1</v>
      </c>
      <c r="D152" s="29">
        <v>9.75</v>
      </c>
      <c r="E152" s="29">
        <v>9.75</v>
      </c>
      <c r="F152" s="30">
        <v>24.99</v>
      </c>
      <c r="G152" s="29">
        <v>24.99</v>
      </c>
      <c r="H152" s="28" t="s">
        <v>2919</v>
      </c>
      <c r="I152" s="27" t="s">
        <v>383</v>
      </c>
      <c r="J152" s="31" t="s">
        <v>5</v>
      </c>
      <c r="K152" s="27" t="s">
        <v>224</v>
      </c>
      <c r="L152" s="27" t="s">
        <v>197</v>
      </c>
      <c r="M152" s="32" t="str">
        <f>HYPERLINK("http://slimages.macys.com/is/image/MCY/3820960 ")</f>
        <v xml:space="preserve">http://slimages.macys.com/is/image/MCY/3820960 </v>
      </c>
    </row>
    <row r="153" spans="1:13" ht="15.2" customHeight="1" x14ac:dyDescent="0.2">
      <c r="A153" s="26" t="s">
        <v>9618</v>
      </c>
      <c r="B153" s="27" t="s">
        <v>9619</v>
      </c>
      <c r="C153" s="28">
        <v>1</v>
      </c>
      <c r="D153" s="29">
        <v>9.75</v>
      </c>
      <c r="E153" s="29">
        <v>9.75</v>
      </c>
      <c r="F153" s="30">
        <v>24.99</v>
      </c>
      <c r="G153" s="29">
        <v>24.99</v>
      </c>
      <c r="H153" s="28" t="s">
        <v>8647</v>
      </c>
      <c r="I153" s="27" t="s">
        <v>4</v>
      </c>
      <c r="J153" s="31" t="s">
        <v>5</v>
      </c>
      <c r="K153" s="27" t="s">
        <v>224</v>
      </c>
      <c r="L153" s="27" t="s">
        <v>197</v>
      </c>
      <c r="M153" s="32" t="str">
        <f>HYPERLINK("http://slimages.macys.com/is/image/MCY/3077099 ")</f>
        <v xml:space="preserve">http://slimages.macys.com/is/image/MCY/3077099 </v>
      </c>
    </row>
    <row r="154" spans="1:13" ht="15.2" customHeight="1" x14ac:dyDescent="0.2">
      <c r="A154" s="26" t="s">
        <v>9620</v>
      </c>
      <c r="B154" s="27" t="s">
        <v>9621</v>
      </c>
      <c r="C154" s="28">
        <v>1</v>
      </c>
      <c r="D154" s="29">
        <v>9.75</v>
      </c>
      <c r="E154" s="29">
        <v>9.75</v>
      </c>
      <c r="F154" s="30">
        <v>24.99</v>
      </c>
      <c r="G154" s="29">
        <v>24.99</v>
      </c>
      <c r="H154" s="28" t="s">
        <v>4347</v>
      </c>
      <c r="I154" s="27" t="s">
        <v>82</v>
      </c>
      <c r="J154" s="31" t="s">
        <v>52</v>
      </c>
      <c r="K154" s="27" t="s">
        <v>224</v>
      </c>
      <c r="L154" s="27" t="s">
        <v>197</v>
      </c>
      <c r="M154" s="32" t="str">
        <f>HYPERLINK("http://slimages.macys.com/is/image/MCY/3820961 ")</f>
        <v xml:space="preserve">http://slimages.macys.com/is/image/MCY/3820961 </v>
      </c>
    </row>
    <row r="155" spans="1:13" ht="15.2" customHeight="1" x14ac:dyDescent="0.2">
      <c r="A155" s="26" t="s">
        <v>8404</v>
      </c>
      <c r="B155" s="27" t="s">
        <v>8405</v>
      </c>
      <c r="C155" s="28">
        <v>1</v>
      </c>
      <c r="D155" s="29">
        <v>9.75</v>
      </c>
      <c r="E155" s="29">
        <v>9.75</v>
      </c>
      <c r="F155" s="30">
        <v>19.989999999999998</v>
      </c>
      <c r="G155" s="29">
        <v>19.989999999999998</v>
      </c>
      <c r="H155" s="28" t="s">
        <v>2632</v>
      </c>
      <c r="I155" s="27" t="s">
        <v>59</v>
      </c>
      <c r="J155" s="31" t="s">
        <v>40</v>
      </c>
      <c r="K155" s="27" t="s">
        <v>196</v>
      </c>
      <c r="L155" s="27" t="s">
        <v>256</v>
      </c>
      <c r="M155" s="32" t="str">
        <f>HYPERLINK("http://slimages.macys.com/is/image/MCY/3755166 ")</f>
        <v xml:space="preserve">http://slimages.macys.com/is/image/MCY/3755166 </v>
      </c>
    </row>
    <row r="156" spans="1:13" ht="15.2" customHeight="1" x14ac:dyDescent="0.2">
      <c r="A156" s="26" t="s">
        <v>9622</v>
      </c>
      <c r="B156" s="27" t="s">
        <v>9623</v>
      </c>
      <c r="C156" s="28">
        <v>1</v>
      </c>
      <c r="D156" s="29">
        <v>9.75</v>
      </c>
      <c r="E156" s="29">
        <v>9.75</v>
      </c>
      <c r="F156" s="30">
        <v>19.989999999999998</v>
      </c>
      <c r="G156" s="29">
        <v>19.989999999999998</v>
      </c>
      <c r="H156" s="28" t="s">
        <v>2632</v>
      </c>
      <c r="I156" s="27" t="s">
        <v>26</v>
      </c>
      <c r="J156" s="31" t="s">
        <v>71</v>
      </c>
      <c r="K156" s="27" t="s">
        <v>196</v>
      </c>
      <c r="L156" s="27" t="s">
        <v>256</v>
      </c>
      <c r="M156" s="32" t="str">
        <f>HYPERLINK("http://slimages.macys.com/is/image/MCY/3755166 ")</f>
        <v xml:space="preserve">http://slimages.macys.com/is/image/MCY/3755166 </v>
      </c>
    </row>
    <row r="157" spans="1:13" ht="15.2" customHeight="1" x14ac:dyDescent="0.2">
      <c r="A157" s="26" t="s">
        <v>8645</v>
      </c>
      <c r="B157" s="27" t="s">
        <v>8646</v>
      </c>
      <c r="C157" s="28">
        <v>2</v>
      </c>
      <c r="D157" s="29">
        <v>9.75</v>
      </c>
      <c r="E157" s="29">
        <v>19.5</v>
      </c>
      <c r="F157" s="30">
        <v>24.99</v>
      </c>
      <c r="G157" s="29">
        <v>49.98</v>
      </c>
      <c r="H157" s="28" t="s">
        <v>8647</v>
      </c>
      <c r="I157" s="27" t="s">
        <v>4</v>
      </c>
      <c r="J157" s="31" t="s">
        <v>21</v>
      </c>
      <c r="K157" s="27" t="s">
        <v>224</v>
      </c>
      <c r="L157" s="27" t="s">
        <v>197</v>
      </c>
      <c r="M157" s="32" t="str">
        <f>HYPERLINK("http://slimages.macys.com/is/image/MCY/3077099 ")</f>
        <v xml:space="preserve">http://slimages.macys.com/is/image/MCY/3077099 </v>
      </c>
    </row>
    <row r="158" spans="1:13" ht="15.2" customHeight="1" x14ac:dyDescent="0.2">
      <c r="A158" s="26" t="s">
        <v>9429</v>
      </c>
      <c r="B158" s="27" t="s">
        <v>9430</v>
      </c>
      <c r="C158" s="28">
        <v>2</v>
      </c>
      <c r="D158" s="29">
        <v>9.75</v>
      </c>
      <c r="E158" s="29">
        <v>19.5</v>
      </c>
      <c r="F158" s="30">
        <v>27.99</v>
      </c>
      <c r="G158" s="29">
        <v>55.98</v>
      </c>
      <c r="H158" s="28" t="s">
        <v>8303</v>
      </c>
      <c r="I158" s="27" t="s">
        <v>94</v>
      </c>
      <c r="J158" s="31" t="s">
        <v>40</v>
      </c>
      <c r="K158" s="27" t="s">
        <v>224</v>
      </c>
      <c r="L158" s="27" t="s">
        <v>563</v>
      </c>
      <c r="M158" s="32" t="str">
        <f>HYPERLINK("http://slimages.macys.com/is/image/MCY/3954242 ")</f>
        <v xml:space="preserve">http://slimages.macys.com/is/image/MCY/3954242 </v>
      </c>
    </row>
    <row r="159" spans="1:13" ht="15.2" customHeight="1" x14ac:dyDescent="0.2">
      <c r="A159" s="26" t="s">
        <v>9624</v>
      </c>
      <c r="B159" s="27" t="s">
        <v>9625</v>
      </c>
      <c r="C159" s="28">
        <v>1</v>
      </c>
      <c r="D159" s="29">
        <v>9.75</v>
      </c>
      <c r="E159" s="29">
        <v>9.75</v>
      </c>
      <c r="F159" s="30">
        <v>24.99</v>
      </c>
      <c r="G159" s="29">
        <v>24.99</v>
      </c>
      <c r="H159" s="28" t="s">
        <v>2919</v>
      </c>
      <c r="I159" s="27" t="s">
        <v>383</v>
      </c>
      <c r="J159" s="31" t="s">
        <v>52</v>
      </c>
      <c r="K159" s="27" t="s">
        <v>224</v>
      </c>
      <c r="L159" s="27" t="s">
        <v>197</v>
      </c>
      <c r="M159" s="32" t="str">
        <f>HYPERLINK("http://slimages.macys.com/is/image/MCY/3820960 ")</f>
        <v xml:space="preserve">http://slimages.macys.com/is/image/MCY/3820960 </v>
      </c>
    </row>
    <row r="160" spans="1:13" ht="15.2" customHeight="1" x14ac:dyDescent="0.2">
      <c r="A160" s="26" t="s">
        <v>9626</v>
      </c>
      <c r="B160" s="27" t="s">
        <v>9627</v>
      </c>
      <c r="C160" s="28">
        <v>2</v>
      </c>
      <c r="D160" s="29">
        <v>9.75</v>
      </c>
      <c r="E160" s="29">
        <v>19.5</v>
      </c>
      <c r="F160" s="30">
        <v>24.99</v>
      </c>
      <c r="G160" s="29">
        <v>49.98</v>
      </c>
      <c r="H160" s="28" t="s">
        <v>8647</v>
      </c>
      <c r="I160" s="27" t="s">
        <v>4</v>
      </c>
      <c r="J160" s="31" t="s">
        <v>71</v>
      </c>
      <c r="K160" s="27" t="s">
        <v>224</v>
      </c>
      <c r="L160" s="27" t="s">
        <v>197</v>
      </c>
      <c r="M160" s="32" t="str">
        <f>HYPERLINK("http://slimages.macys.com/is/image/MCY/3077099 ")</f>
        <v xml:space="preserve">http://slimages.macys.com/is/image/MCY/3077099 </v>
      </c>
    </row>
    <row r="161" spans="1:13" ht="15.2" customHeight="1" x14ac:dyDescent="0.2">
      <c r="A161" s="26" t="s">
        <v>8472</v>
      </c>
      <c r="B161" s="27" t="s">
        <v>8473</v>
      </c>
      <c r="C161" s="28">
        <v>1</v>
      </c>
      <c r="D161" s="29">
        <v>9.75</v>
      </c>
      <c r="E161" s="29">
        <v>9.75</v>
      </c>
      <c r="F161" s="30">
        <v>24.99</v>
      </c>
      <c r="G161" s="29">
        <v>24.99</v>
      </c>
      <c r="H161" s="28" t="s">
        <v>4347</v>
      </c>
      <c r="I161" s="27" t="s">
        <v>82</v>
      </c>
      <c r="J161" s="31" t="s">
        <v>21</v>
      </c>
      <c r="K161" s="27" t="s">
        <v>224</v>
      </c>
      <c r="L161" s="27" t="s">
        <v>197</v>
      </c>
      <c r="M161" s="32" t="str">
        <f>HYPERLINK("http://slimages.macys.com/is/image/MCY/3820961 ")</f>
        <v xml:space="preserve">http://slimages.macys.com/is/image/MCY/3820961 </v>
      </c>
    </row>
    <row r="162" spans="1:13" ht="15.2" customHeight="1" x14ac:dyDescent="0.2">
      <c r="A162" s="26" t="s">
        <v>9628</v>
      </c>
      <c r="B162" s="27" t="s">
        <v>9629</v>
      </c>
      <c r="C162" s="28">
        <v>1</v>
      </c>
      <c r="D162" s="29">
        <v>9.5</v>
      </c>
      <c r="E162" s="29">
        <v>9.5</v>
      </c>
      <c r="F162" s="30">
        <v>24.99</v>
      </c>
      <c r="G162" s="29">
        <v>24.99</v>
      </c>
      <c r="H162" s="28" t="s">
        <v>284</v>
      </c>
      <c r="I162" s="27" t="s">
        <v>1</v>
      </c>
      <c r="J162" s="31" t="s">
        <v>5</v>
      </c>
      <c r="K162" s="27" t="s">
        <v>224</v>
      </c>
      <c r="L162" s="27" t="s">
        <v>239</v>
      </c>
      <c r="M162" s="32" t="str">
        <f>HYPERLINK("http://slimages.macys.com/is/image/MCY/3734881 ")</f>
        <v xml:space="preserve">http://slimages.macys.com/is/image/MCY/3734881 </v>
      </c>
    </row>
    <row r="163" spans="1:13" ht="15.2" customHeight="1" x14ac:dyDescent="0.2">
      <c r="A163" s="26" t="s">
        <v>1324</v>
      </c>
      <c r="B163" s="27" t="s">
        <v>1325</v>
      </c>
      <c r="C163" s="28">
        <v>1</v>
      </c>
      <c r="D163" s="29">
        <v>9.5</v>
      </c>
      <c r="E163" s="29">
        <v>9.5</v>
      </c>
      <c r="F163" s="30">
        <v>24.99</v>
      </c>
      <c r="G163" s="29">
        <v>24.99</v>
      </c>
      <c r="H163" s="28" t="s">
        <v>288</v>
      </c>
      <c r="I163" s="27"/>
      <c r="J163" s="31" t="s">
        <v>52</v>
      </c>
      <c r="K163" s="27" t="s">
        <v>224</v>
      </c>
      <c r="L163" s="27" t="s">
        <v>239</v>
      </c>
      <c r="M163" s="32" t="str">
        <f>HYPERLINK("http://slimages.macys.com/is/image/MCY/3719840 ")</f>
        <v xml:space="preserve">http://slimages.macys.com/is/image/MCY/3719840 </v>
      </c>
    </row>
    <row r="164" spans="1:13" ht="15.2" customHeight="1" x14ac:dyDescent="0.2">
      <c r="A164" s="26" t="s">
        <v>8406</v>
      </c>
      <c r="B164" s="27" t="s">
        <v>8407</v>
      </c>
      <c r="C164" s="28">
        <v>2</v>
      </c>
      <c r="D164" s="29">
        <v>9.5</v>
      </c>
      <c r="E164" s="29">
        <v>19</v>
      </c>
      <c r="F164" s="30">
        <v>22.99</v>
      </c>
      <c r="G164" s="29">
        <v>45.98</v>
      </c>
      <c r="H164" s="28" t="s">
        <v>8408</v>
      </c>
      <c r="I164" s="27" t="s">
        <v>274</v>
      </c>
      <c r="J164" s="31" t="s">
        <v>21</v>
      </c>
      <c r="K164" s="27" t="s">
        <v>196</v>
      </c>
      <c r="L164" s="27" t="s">
        <v>1329</v>
      </c>
      <c r="M164" s="32" t="str">
        <f>HYPERLINK("http://slimages.macys.com/is/image/MCY/3732859 ")</f>
        <v xml:space="preserve">http://slimages.macys.com/is/image/MCY/3732859 </v>
      </c>
    </row>
    <row r="165" spans="1:13" ht="15.2" customHeight="1" x14ac:dyDescent="0.2">
      <c r="A165" s="26" t="s">
        <v>9630</v>
      </c>
      <c r="B165" s="27" t="s">
        <v>9631</v>
      </c>
      <c r="C165" s="28">
        <v>1</v>
      </c>
      <c r="D165" s="29">
        <v>9.5</v>
      </c>
      <c r="E165" s="29">
        <v>9.5</v>
      </c>
      <c r="F165" s="30">
        <v>22.99</v>
      </c>
      <c r="G165" s="29">
        <v>22.99</v>
      </c>
      <c r="H165" s="28" t="s">
        <v>8408</v>
      </c>
      <c r="I165" s="27" t="s">
        <v>274</v>
      </c>
      <c r="J165" s="31" t="s">
        <v>40</v>
      </c>
      <c r="K165" s="27" t="s">
        <v>196</v>
      </c>
      <c r="L165" s="27" t="s">
        <v>1329</v>
      </c>
      <c r="M165" s="32" t="str">
        <f>HYPERLINK("http://slimages.macys.com/is/image/MCY/3732859 ")</f>
        <v xml:space="preserve">http://slimages.macys.com/is/image/MCY/3732859 </v>
      </c>
    </row>
    <row r="166" spans="1:13" ht="15.2" customHeight="1" x14ac:dyDescent="0.2">
      <c r="A166" s="26" t="s">
        <v>8814</v>
      </c>
      <c r="B166" s="27" t="s">
        <v>8815</v>
      </c>
      <c r="C166" s="28">
        <v>2</v>
      </c>
      <c r="D166" s="29">
        <v>9.5</v>
      </c>
      <c r="E166" s="29">
        <v>19</v>
      </c>
      <c r="F166" s="30">
        <v>24.99</v>
      </c>
      <c r="G166" s="29">
        <v>49.98</v>
      </c>
      <c r="H166" s="28" t="s">
        <v>288</v>
      </c>
      <c r="I166" s="27"/>
      <c r="J166" s="31" t="s">
        <v>5</v>
      </c>
      <c r="K166" s="27" t="s">
        <v>224</v>
      </c>
      <c r="L166" s="27" t="s">
        <v>239</v>
      </c>
      <c r="M166" s="32" t="str">
        <f>HYPERLINK("http://slimages.macys.com/is/image/MCY/3719840 ")</f>
        <v xml:space="preserve">http://slimages.macys.com/is/image/MCY/3719840 </v>
      </c>
    </row>
    <row r="167" spans="1:13" ht="15.2" customHeight="1" x14ac:dyDescent="0.2">
      <c r="A167" s="26" t="s">
        <v>7756</v>
      </c>
      <c r="B167" s="27" t="s">
        <v>7757</v>
      </c>
      <c r="C167" s="28">
        <v>1</v>
      </c>
      <c r="D167" s="29">
        <v>9.25</v>
      </c>
      <c r="E167" s="29">
        <v>9.25</v>
      </c>
      <c r="F167" s="30">
        <v>19.989999999999998</v>
      </c>
      <c r="G167" s="29">
        <v>19.989999999999998</v>
      </c>
      <c r="H167" s="28" t="s">
        <v>808</v>
      </c>
      <c r="I167" s="27" t="s">
        <v>4</v>
      </c>
      <c r="J167" s="31" t="s">
        <v>52</v>
      </c>
      <c r="K167" s="27" t="s">
        <v>282</v>
      </c>
      <c r="L167" s="27" t="s">
        <v>283</v>
      </c>
      <c r="M167" s="32" t="str">
        <f>HYPERLINK("http://slimages.macys.com/is/image/MCY/3835617 ")</f>
        <v xml:space="preserve">http://slimages.macys.com/is/image/MCY/3835617 </v>
      </c>
    </row>
    <row r="168" spans="1:13" ht="15.2" customHeight="1" x14ac:dyDescent="0.2">
      <c r="A168" s="26" t="s">
        <v>8307</v>
      </c>
      <c r="B168" s="27" t="s">
        <v>8308</v>
      </c>
      <c r="C168" s="28">
        <v>1</v>
      </c>
      <c r="D168" s="29">
        <v>9.25</v>
      </c>
      <c r="E168" s="29">
        <v>9.25</v>
      </c>
      <c r="F168" s="30">
        <v>19.989999999999998</v>
      </c>
      <c r="G168" s="29">
        <v>19.989999999999998</v>
      </c>
      <c r="H168" s="28" t="s">
        <v>808</v>
      </c>
      <c r="I168" s="27" t="s">
        <v>4</v>
      </c>
      <c r="J168" s="31" t="s">
        <v>40</v>
      </c>
      <c r="K168" s="27" t="s">
        <v>282</v>
      </c>
      <c r="L168" s="27" t="s">
        <v>283</v>
      </c>
      <c r="M168" s="32" t="str">
        <f>HYPERLINK("http://slimages.macys.com/is/image/MCY/3835617 ")</f>
        <v xml:space="preserve">http://slimages.macys.com/is/image/MCY/3835617 </v>
      </c>
    </row>
    <row r="169" spans="1:13" ht="15.2" customHeight="1" x14ac:dyDescent="0.2">
      <c r="A169" s="26" t="s">
        <v>9632</v>
      </c>
      <c r="B169" s="27" t="s">
        <v>9633</v>
      </c>
      <c r="C169" s="28">
        <v>1</v>
      </c>
      <c r="D169" s="29">
        <v>9.25</v>
      </c>
      <c r="E169" s="29">
        <v>9.25</v>
      </c>
      <c r="F169" s="30">
        <v>22.99</v>
      </c>
      <c r="G169" s="29">
        <v>22.99</v>
      </c>
      <c r="H169" s="28" t="s">
        <v>8818</v>
      </c>
      <c r="I169" s="27" t="s">
        <v>82</v>
      </c>
      <c r="J169" s="31" t="s">
        <v>52</v>
      </c>
      <c r="K169" s="27" t="s">
        <v>196</v>
      </c>
      <c r="L169" s="27" t="s">
        <v>256</v>
      </c>
      <c r="M169" s="32" t="str">
        <f>HYPERLINK("http://slimages.macys.com/is/image/MCY/3799617 ")</f>
        <v xml:space="preserve">http://slimages.macys.com/is/image/MCY/3799617 </v>
      </c>
    </row>
    <row r="170" spans="1:13" ht="15.2" customHeight="1" x14ac:dyDescent="0.2">
      <c r="A170" s="26" t="s">
        <v>8652</v>
      </c>
      <c r="B170" s="27" t="s">
        <v>8653</v>
      </c>
      <c r="C170" s="28">
        <v>4</v>
      </c>
      <c r="D170" s="29">
        <v>9.25</v>
      </c>
      <c r="E170" s="29">
        <v>37</v>
      </c>
      <c r="F170" s="30">
        <v>19.989999999999998</v>
      </c>
      <c r="G170" s="29">
        <v>79.959999999999994</v>
      </c>
      <c r="H170" s="28" t="s">
        <v>7555</v>
      </c>
      <c r="I170" s="27" t="s">
        <v>215</v>
      </c>
      <c r="J170" s="31" t="s">
        <v>40</v>
      </c>
      <c r="K170" s="27" t="s">
        <v>282</v>
      </c>
      <c r="L170" s="27" t="s">
        <v>283</v>
      </c>
      <c r="M170" s="32" t="str">
        <f>HYPERLINK("http://slimages.macys.com/is/image/MCY/3832893 ")</f>
        <v xml:space="preserve">http://slimages.macys.com/is/image/MCY/3832893 </v>
      </c>
    </row>
    <row r="171" spans="1:13" ht="15.2" customHeight="1" x14ac:dyDescent="0.2">
      <c r="A171" s="26" t="s">
        <v>7553</v>
      </c>
      <c r="B171" s="27" t="s">
        <v>7554</v>
      </c>
      <c r="C171" s="28">
        <v>3</v>
      </c>
      <c r="D171" s="29">
        <v>9.25</v>
      </c>
      <c r="E171" s="29">
        <v>27.75</v>
      </c>
      <c r="F171" s="30">
        <v>19.989999999999998</v>
      </c>
      <c r="G171" s="29">
        <v>59.97</v>
      </c>
      <c r="H171" s="28" t="s">
        <v>7555</v>
      </c>
      <c r="I171" s="27" t="s">
        <v>215</v>
      </c>
      <c r="J171" s="31" t="s">
        <v>5</v>
      </c>
      <c r="K171" s="27" t="s">
        <v>282</v>
      </c>
      <c r="L171" s="27" t="s">
        <v>283</v>
      </c>
      <c r="M171" s="32" t="str">
        <f>HYPERLINK("http://slimages.macys.com/is/image/MCY/3832893 ")</f>
        <v xml:space="preserve">http://slimages.macys.com/is/image/MCY/3832893 </v>
      </c>
    </row>
    <row r="172" spans="1:13" ht="15.2" customHeight="1" x14ac:dyDescent="0.2">
      <c r="A172" s="26" t="s">
        <v>9142</v>
      </c>
      <c r="B172" s="27" t="s">
        <v>9143</v>
      </c>
      <c r="C172" s="28">
        <v>2</v>
      </c>
      <c r="D172" s="29">
        <v>9.25</v>
      </c>
      <c r="E172" s="29">
        <v>18.5</v>
      </c>
      <c r="F172" s="30">
        <v>19.989999999999998</v>
      </c>
      <c r="G172" s="29">
        <v>39.979999999999997</v>
      </c>
      <c r="H172" s="28" t="s">
        <v>7555</v>
      </c>
      <c r="I172" s="27" t="s">
        <v>215</v>
      </c>
      <c r="J172" s="31" t="s">
        <v>52</v>
      </c>
      <c r="K172" s="27" t="s">
        <v>282</v>
      </c>
      <c r="L172" s="27" t="s">
        <v>283</v>
      </c>
      <c r="M172" s="32" t="str">
        <f>HYPERLINK("http://slimages.macys.com/is/image/MCY/3832893 ")</f>
        <v xml:space="preserve">http://slimages.macys.com/is/image/MCY/3832893 </v>
      </c>
    </row>
    <row r="173" spans="1:13" ht="15.2" customHeight="1" x14ac:dyDescent="0.2">
      <c r="A173" s="26" t="s">
        <v>9431</v>
      </c>
      <c r="B173" s="27" t="s">
        <v>9432</v>
      </c>
      <c r="C173" s="28">
        <v>1</v>
      </c>
      <c r="D173" s="29">
        <v>9.25</v>
      </c>
      <c r="E173" s="29">
        <v>9.25</v>
      </c>
      <c r="F173" s="30">
        <v>19.989999999999998</v>
      </c>
      <c r="G173" s="29">
        <v>19.989999999999998</v>
      </c>
      <c r="H173" s="28">
        <v>60394972</v>
      </c>
      <c r="I173" s="27" t="s">
        <v>22</v>
      </c>
      <c r="J173" s="31" t="s">
        <v>21</v>
      </c>
      <c r="K173" s="27" t="s">
        <v>224</v>
      </c>
      <c r="L173" s="27" t="s">
        <v>255</v>
      </c>
      <c r="M173" s="32" t="str">
        <f>HYPERLINK("http://slimages.macys.com/is/image/MCY/2469382 ")</f>
        <v xml:space="preserve">http://slimages.macys.com/is/image/MCY/2469382 </v>
      </c>
    </row>
    <row r="174" spans="1:13" ht="15.2" customHeight="1" x14ac:dyDescent="0.2">
      <c r="A174" s="26" t="s">
        <v>806</v>
      </c>
      <c r="B174" s="27" t="s">
        <v>807</v>
      </c>
      <c r="C174" s="28">
        <v>1</v>
      </c>
      <c r="D174" s="29">
        <v>9.25</v>
      </c>
      <c r="E174" s="29">
        <v>9.25</v>
      </c>
      <c r="F174" s="30">
        <v>19.989999999999998</v>
      </c>
      <c r="G174" s="29">
        <v>19.989999999999998</v>
      </c>
      <c r="H174" s="28" t="s">
        <v>808</v>
      </c>
      <c r="I174" s="27" t="s">
        <v>4</v>
      </c>
      <c r="J174" s="31" t="s">
        <v>5</v>
      </c>
      <c r="K174" s="27" t="s">
        <v>282</v>
      </c>
      <c r="L174" s="27" t="s">
        <v>283</v>
      </c>
      <c r="M174" s="32" t="str">
        <f>HYPERLINK("http://slimages.macys.com/is/image/MCY/3835617 ")</f>
        <v xml:space="preserve">http://slimages.macys.com/is/image/MCY/3835617 </v>
      </c>
    </row>
    <row r="175" spans="1:13" ht="15.2" customHeight="1" x14ac:dyDescent="0.2">
      <c r="A175" s="26" t="s">
        <v>1818</v>
      </c>
      <c r="B175" s="27" t="s">
        <v>1819</v>
      </c>
      <c r="C175" s="28">
        <v>1</v>
      </c>
      <c r="D175" s="29">
        <v>9.25</v>
      </c>
      <c r="E175" s="29">
        <v>9.25</v>
      </c>
      <c r="F175" s="30">
        <v>21.99</v>
      </c>
      <c r="G175" s="29">
        <v>21.99</v>
      </c>
      <c r="H175" s="28" t="s">
        <v>1332</v>
      </c>
      <c r="I175" s="27" t="s">
        <v>36</v>
      </c>
      <c r="J175" s="31" t="s">
        <v>71</v>
      </c>
      <c r="K175" s="27" t="s">
        <v>159</v>
      </c>
      <c r="L175" s="27" t="s">
        <v>160</v>
      </c>
      <c r="M175" s="32" t="str">
        <f>HYPERLINK("http://slimages.macys.com/is/image/MCY/3640472 ")</f>
        <v xml:space="preserve">http://slimages.macys.com/is/image/MCY/3640472 </v>
      </c>
    </row>
    <row r="176" spans="1:13" ht="15.2" customHeight="1" x14ac:dyDescent="0.2">
      <c r="A176" s="26" t="s">
        <v>9634</v>
      </c>
      <c r="B176" s="27" t="s">
        <v>9635</v>
      </c>
      <c r="C176" s="28">
        <v>1</v>
      </c>
      <c r="D176" s="29">
        <v>9.24</v>
      </c>
      <c r="E176" s="29">
        <v>9.24</v>
      </c>
      <c r="F176" s="30">
        <v>21.99</v>
      </c>
      <c r="G176" s="29">
        <v>21.99</v>
      </c>
      <c r="H176" s="28" t="s">
        <v>9636</v>
      </c>
      <c r="I176" s="27" t="s">
        <v>4</v>
      </c>
      <c r="J176" s="31" t="s">
        <v>21</v>
      </c>
      <c r="K176" s="27" t="s">
        <v>159</v>
      </c>
      <c r="L176" s="27" t="s">
        <v>160</v>
      </c>
      <c r="M176" s="32" t="str">
        <f>HYPERLINK("http://slimages.macys.com/is/image/MCY/3738496 ")</f>
        <v xml:space="preserve">http://slimages.macys.com/is/image/MCY/3738496 </v>
      </c>
    </row>
    <row r="177" spans="1:13" ht="15.2" customHeight="1" x14ac:dyDescent="0.2">
      <c r="A177" s="26" t="s">
        <v>8821</v>
      </c>
      <c r="B177" s="27" t="s">
        <v>8822</v>
      </c>
      <c r="C177" s="28">
        <v>1</v>
      </c>
      <c r="D177" s="29">
        <v>9.1999999999999993</v>
      </c>
      <c r="E177" s="29">
        <v>9.1999999999999993</v>
      </c>
      <c r="F177" s="30">
        <v>21.99</v>
      </c>
      <c r="G177" s="29">
        <v>21.99</v>
      </c>
      <c r="H177" s="28" t="s">
        <v>4634</v>
      </c>
      <c r="I177" s="27" t="s">
        <v>4</v>
      </c>
      <c r="J177" s="31" t="s">
        <v>52</v>
      </c>
      <c r="K177" s="27" t="s">
        <v>159</v>
      </c>
      <c r="L177" s="27" t="s">
        <v>160</v>
      </c>
      <c r="M177" s="32" t="str">
        <f>HYPERLINK("http://slimages.macys.com/is/image/MCY/3640472 ")</f>
        <v xml:space="preserve">http://slimages.macys.com/is/image/MCY/3640472 </v>
      </c>
    </row>
    <row r="178" spans="1:13" ht="15.2" customHeight="1" x14ac:dyDescent="0.2">
      <c r="A178" s="26" t="s">
        <v>8501</v>
      </c>
      <c r="B178" s="27" t="s">
        <v>8502</v>
      </c>
      <c r="C178" s="28">
        <v>2</v>
      </c>
      <c r="D178" s="29">
        <v>9.15</v>
      </c>
      <c r="E178" s="29">
        <v>18.3</v>
      </c>
      <c r="F178" s="30">
        <v>21.99</v>
      </c>
      <c r="G178" s="29">
        <v>43.98</v>
      </c>
      <c r="H178" s="28" t="s">
        <v>8503</v>
      </c>
      <c r="I178" s="27" t="s">
        <v>103</v>
      </c>
      <c r="J178" s="31" t="s">
        <v>21</v>
      </c>
      <c r="K178" s="27" t="s">
        <v>159</v>
      </c>
      <c r="L178" s="27" t="s">
        <v>160</v>
      </c>
      <c r="M178" s="32" t="str">
        <f>HYPERLINK("http://slimages.macys.com/is/image/MCY/3593498 ")</f>
        <v xml:space="preserve">http://slimages.macys.com/is/image/MCY/3593498 </v>
      </c>
    </row>
    <row r="179" spans="1:13" ht="15.2" customHeight="1" x14ac:dyDescent="0.2">
      <c r="A179" s="26" t="s">
        <v>2957</v>
      </c>
      <c r="B179" s="27" t="s">
        <v>2958</v>
      </c>
      <c r="C179" s="28">
        <v>1</v>
      </c>
      <c r="D179" s="29">
        <v>9.15</v>
      </c>
      <c r="E179" s="29">
        <v>9.15</v>
      </c>
      <c r="F179" s="30">
        <v>21.99</v>
      </c>
      <c r="G179" s="29">
        <v>21.99</v>
      </c>
      <c r="H179" s="28" t="s">
        <v>301</v>
      </c>
      <c r="I179" s="27" t="s">
        <v>302</v>
      </c>
      <c r="J179" s="31" t="s">
        <v>65</v>
      </c>
      <c r="K179" s="27" t="s">
        <v>159</v>
      </c>
      <c r="L179" s="27" t="s">
        <v>160</v>
      </c>
      <c r="M179" s="32" t="str">
        <f>HYPERLINK("http://slimages.macys.com/is/image/MCY/3593666 ")</f>
        <v xml:space="preserve">http://slimages.macys.com/is/image/MCY/3593666 </v>
      </c>
    </row>
    <row r="180" spans="1:13" ht="15.2" customHeight="1" x14ac:dyDescent="0.2">
      <c r="A180" s="26" t="s">
        <v>9637</v>
      </c>
      <c r="B180" s="27" t="s">
        <v>9638</v>
      </c>
      <c r="C180" s="28">
        <v>1</v>
      </c>
      <c r="D180" s="29">
        <v>9.0500000000000007</v>
      </c>
      <c r="E180" s="29">
        <v>9.0500000000000007</v>
      </c>
      <c r="F180" s="30">
        <v>21.99</v>
      </c>
      <c r="G180" s="29">
        <v>21.99</v>
      </c>
      <c r="H180" s="28" t="s">
        <v>9639</v>
      </c>
      <c r="I180" s="27" t="s">
        <v>36</v>
      </c>
      <c r="J180" s="31" t="s">
        <v>52</v>
      </c>
      <c r="K180" s="27" t="s">
        <v>159</v>
      </c>
      <c r="L180" s="27" t="s">
        <v>160</v>
      </c>
      <c r="M180" s="32" t="str">
        <f>HYPERLINK("http://slimages.macys.com/is/image/MCY/3598888 ")</f>
        <v xml:space="preserve">http://slimages.macys.com/is/image/MCY/3598888 </v>
      </c>
    </row>
    <row r="181" spans="1:13" ht="15.2" customHeight="1" x14ac:dyDescent="0.2">
      <c r="A181" s="26" t="s">
        <v>9640</v>
      </c>
      <c r="B181" s="27" t="s">
        <v>9641</v>
      </c>
      <c r="C181" s="28">
        <v>1</v>
      </c>
      <c r="D181" s="29">
        <v>9</v>
      </c>
      <c r="E181" s="29">
        <v>9</v>
      </c>
      <c r="F181" s="30">
        <v>22.99</v>
      </c>
      <c r="G181" s="29">
        <v>22.99</v>
      </c>
      <c r="H181" s="28" t="s">
        <v>8504</v>
      </c>
      <c r="I181" s="27" t="s">
        <v>29</v>
      </c>
      <c r="J181" s="31" t="s">
        <v>113</v>
      </c>
      <c r="K181" s="27" t="s">
        <v>200</v>
      </c>
      <c r="L181" s="27" t="s">
        <v>765</v>
      </c>
      <c r="M181" s="32" t="str">
        <f>HYPERLINK("http://slimages.macys.com/is/image/MCY/3486944 ")</f>
        <v xml:space="preserve">http://slimages.macys.com/is/image/MCY/3486944 </v>
      </c>
    </row>
    <row r="182" spans="1:13" ht="15.2" customHeight="1" x14ac:dyDescent="0.2">
      <c r="A182" s="26" t="s">
        <v>9642</v>
      </c>
      <c r="B182" s="27" t="s">
        <v>9643</v>
      </c>
      <c r="C182" s="28">
        <v>1</v>
      </c>
      <c r="D182" s="29">
        <v>9</v>
      </c>
      <c r="E182" s="29">
        <v>9</v>
      </c>
      <c r="F182" s="30">
        <v>19.989999999999998</v>
      </c>
      <c r="G182" s="29">
        <v>19.989999999999998</v>
      </c>
      <c r="H182" s="28">
        <v>60433255</v>
      </c>
      <c r="I182" s="27" t="s">
        <v>280</v>
      </c>
      <c r="J182" s="31" t="s">
        <v>21</v>
      </c>
      <c r="K182" s="27" t="s">
        <v>208</v>
      </c>
      <c r="L182" s="27" t="s">
        <v>255</v>
      </c>
      <c r="M182" s="32" t="str">
        <f>HYPERLINK("http://slimages.macys.com/is/image/MCY/3580264 ")</f>
        <v xml:space="preserve">http://slimages.macys.com/is/image/MCY/3580264 </v>
      </c>
    </row>
    <row r="183" spans="1:13" ht="15.2" customHeight="1" x14ac:dyDescent="0.2">
      <c r="A183" s="26" t="s">
        <v>9644</v>
      </c>
      <c r="B183" s="27" t="s">
        <v>9645</v>
      </c>
      <c r="C183" s="28">
        <v>1</v>
      </c>
      <c r="D183" s="29">
        <v>8.85</v>
      </c>
      <c r="E183" s="29">
        <v>8.85</v>
      </c>
      <c r="F183" s="30">
        <v>19.989999999999998</v>
      </c>
      <c r="G183" s="29">
        <v>19.989999999999998</v>
      </c>
      <c r="H183" s="28">
        <v>512215</v>
      </c>
      <c r="I183" s="27" t="s">
        <v>59</v>
      </c>
      <c r="J183" s="31" t="s">
        <v>52</v>
      </c>
      <c r="K183" s="27" t="s">
        <v>196</v>
      </c>
      <c r="L183" s="27" t="s">
        <v>1808</v>
      </c>
      <c r="M183" s="32" t="str">
        <f>HYPERLINK("http://slimages.macys.com/is/image/MCY/3787589 ")</f>
        <v xml:space="preserve">http://slimages.macys.com/is/image/MCY/3787589 </v>
      </c>
    </row>
    <row r="184" spans="1:13" ht="15.2" customHeight="1" x14ac:dyDescent="0.2">
      <c r="A184" s="26" t="s">
        <v>9646</v>
      </c>
      <c r="B184" s="27" t="s">
        <v>9647</v>
      </c>
      <c r="C184" s="28">
        <v>1</v>
      </c>
      <c r="D184" s="29">
        <v>8.84</v>
      </c>
      <c r="E184" s="29">
        <v>8.84</v>
      </c>
      <c r="F184" s="30">
        <v>19.989999999999998</v>
      </c>
      <c r="G184" s="29">
        <v>19.989999999999998</v>
      </c>
      <c r="H184" s="28" t="s">
        <v>9648</v>
      </c>
      <c r="I184" s="27" t="s">
        <v>20</v>
      </c>
      <c r="J184" s="31" t="s">
        <v>52</v>
      </c>
      <c r="K184" s="27" t="s">
        <v>159</v>
      </c>
      <c r="L184" s="27" t="s">
        <v>160</v>
      </c>
      <c r="M184" s="32" t="str">
        <f>HYPERLINK("http://slimages.macys.com/is/image/MCY/3538024 ")</f>
        <v xml:space="preserve">http://slimages.macys.com/is/image/MCY/3538024 </v>
      </c>
    </row>
    <row r="185" spans="1:13" ht="15.2" customHeight="1" x14ac:dyDescent="0.2">
      <c r="A185" s="26" t="s">
        <v>9649</v>
      </c>
      <c r="B185" s="27" t="s">
        <v>9650</v>
      </c>
      <c r="C185" s="28">
        <v>1</v>
      </c>
      <c r="D185" s="29">
        <v>8.6</v>
      </c>
      <c r="E185" s="29">
        <v>8.6</v>
      </c>
      <c r="F185" s="30">
        <v>19.989999999999998</v>
      </c>
      <c r="G185" s="29">
        <v>19.989999999999998</v>
      </c>
      <c r="H185" s="28" t="s">
        <v>821</v>
      </c>
      <c r="I185" s="27" t="s">
        <v>274</v>
      </c>
      <c r="J185" s="31" t="s">
        <v>71</v>
      </c>
      <c r="K185" s="27" t="s">
        <v>196</v>
      </c>
      <c r="L185" s="27" t="s">
        <v>239</v>
      </c>
      <c r="M185" s="32" t="str">
        <f>HYPERLINK("http://slimages.macys.com/is/image/MCY/3890894 ")</f>
        <v xml:space="preserve">http://slimages.macys.com/is/image/MCY/3890894 </v>
      </c>
    </row>
    <row r="186" spans="1:13" ht="15.2" customHeight="1" x14ac:dyDescent="0.2">
      <c r="A186" s="26" t="s">
        <v>8666</v>
      </c>
      <c r="B186" s="27" t="s">
        <v>8667</v>
      </c>
      <c r="C186" s="28">
        <v>2</v>
      </c>
      <c r="D186" s="29">
        <v>8.5</v>
      </c>
      <c r="E186" s="29">
        <v>17</v>
      </c>
      <c r="F186" s="30">
        <v>19.989999999999998</v>
      </c>
      <c r="G186" s="29">
        <v>39.979999999999997</v>
      </c>
      <c r="H186" s="28" t="s">
        <v>1374</v>
      </c>
      <c r="I186" s="27" t="s">
        <v>271</v>
      </c>
      <c r="J186" s="31" t="s">
        <v>52</v>
      </c>
      <c r="K186" s="27" t="s">
        <v>196</v>
      </c>
      <c r="L186" s="27" t="s">
        <v>322</v>
      </c>
      <c r="M186" s="32" t="str">
        <f>HYPERLINK("http://slimages.macys.com/is/image/MCY/3915487 ")</f>
        <v xml:space="preserve">http://slimages.macys.com/is/image/MCY/3915487 </v>
      </c>
    </row>
    <row r="187" spans="1:13" ht="15.2" customHeight="1" x14ac:dyDescent="0.2">
      <c r="A187" s="26" t="s">
        <v>8829</v>
      </c>
      <c r="B187" s="27" t="s">
        <v>8830</v>
      </c>
      <c r="C187" s="28">
        <v>3</v>
      </c>
      <c r="D187" s="29">
        <v>8.5</v>
      </c>
      <c r="E187" s="29">
        <v>25.5</v>
      </c>
      <c r="F187" s="30">
        <v>19.989999999999998</v>
      </c>
      <c r="G187" s="29">
        <v>59.97</v>
      </c>
      <c r="H187" s="28" t="s">
        <v>1374</v>
      </c>
      <c r="I187" s="27" t="s">
        <v>82</v>
      </c>
      <c r="J187" s="31" t="s">
        <v>71</v>
      </c>
      <c r="K187" s="27" t="s">
        <v>196</v>
      </c>
      <c r="L187" s="27" t="s">
        <v>322</v>
      </c>
      <c r="M187" s="32" t="str">
        <f>HYPERLINK("http://slimages.macys.com/is/image/MCY/3915487 ")</f>
        <v xml:space="preserve">http://slimages.macys.com/is/image/MCY/3915487 </v>
      </c>
    </row>
    <row r="188" spans="1:13" ht="15.2" customHeight="1" x14ac:dyDescent="0.2">
      <c r="A188" s="26" t="s">
        <v>9651</v>
      </c>
      <c r="B188" s="27" t="s">
        <v>9652</v>
      </c>
      <c r="C188" s="28">
        <v>4</v>
      </c>
      <c r="D188" s="29">
        <v>8.5</v>
      </c>
      <c r="E188" s="29">
        <v>34</v>
      </c>
      <c r="F188" s="30">
        <v>19.989999999999998</v>
      </c>
      <c r="G188" s="29">
        <v>79.959999999999994</v>
      </c>
      <c r="H188" s="28" t="s">
        <v>3872</v>
      </c>
      <c r="I188" s="27" t="s">
        <v>59</v>
      </c>
      <c r="J188" s="31" t="s">
        <v>40</v>
      </c>
      <c r="K188" s="27" t="s">
        <v>196</v>
      </c>
      <c r="L188" s="27" t="s">
        <v>256</v>
      </c>
      <c r="M188" s="32" t="str">
        <f>HYPERLINK("http://slimages.macys.com/is/image/MCY/3651029 ")</f>
        <v xml:space="preserve">http://slimages.macys.com/is/image/MCY/3651029 </v>
      </c>
    </row>
    <row r="189" spans="1:13" ht="15.2" customHeight="1" x14ac:dyDescent="0.2">
      <c r="A189" s="26" t="s">
        <v>8011</v>
      </c>
      <c r="B189" s="27" t="s">
        <v>8012</v>
      </c>
      <c r="C189" s="28">
        <v>3</v>
      </c>
      <c r="D189" s="29">
        <v>8.5</v>
      </c>
      <c r="E189" s="29">
        <v>25.5</v>
      </c>
      <c r="F189" s="30">
        <v>19.989999999999998</v>
      </c>
      <c r="G189" s="29">
        <v>59.97</v>
      </c>
      <c r="H189" s="28" t="s">
        <v>2970</v>
      </c>
      <c r="I189" s="27" t="s">
        <v>26</v>
      </c>
      <c r="J189" s="31" t="s">
        <v>40</v>
      </c>
      <c r="K189" s="27" t="s">
        <v>196</v>
      </c>
      <c r="L189" s="27" t="s">
        <v>322</v>
      </c>
      <c r="M189" s="32" t="str">
        <f>HYPERLINK("http://slimages.macys.com/is/image/MCY/3915487 ")</f>
        <v xml:space="preserve">http://slimages.macys.com/is/image/MCY/3915487 </v>
      </c>
    </row>
    <row r="190" spans="1:13" ht="15.2" customHeight="1" x14ac:dyDescent="0.2">
      <c r="A190" s="26" t="s">
        <v>7767</v>
      </c>
      <c r="B190" s="27" t="s">
        <v>7768</v>
      </c>
      <c r="C190" s="28">
        <v>2</v>
      </c>
      <c r="D190" s="29">
        <v>8.5</v>
      </c>
      <c r="E190" s="29">
        <v>17</v>
      </c>
      <c r="F190" s="30">
        <v>19.989999999999998</v>
      </c>
      <c r="G190" s="29">
        <v>39.979999999999997</v>
      </c>
      <c r="H190" s="28" t="s">
        <v>2970</v>
      </c>
      <c r="I190" s="27" t="s">
        <v>333</v>
      </c>
      <c r="J190" s="31" t="s">
        <v>52</v>
      </c>
      <c r="K190" s="27" t="s">
        <v>196</v>
      </c>
      <c r="L190" s="27" t="s">
        <v>322</v>
      </c>
      <c r="M190" s="32" t="str">
        <f>HYPERLINK("http://slimages.macys.com/is/image/MCY/3915487 ")</f>
        <v xml:space="preserve">http://slimages.macys.com/is/image/MCY/3915487 </v>
      </c>
    </row>
    <row r="191" spans="1:13" ht="15.2" customHeight="1" x14ac:dyDescent="0.2">
      <c r="A191" s="26" t="s">
        <v>1372</v>
      </c>
      <c r="B191" s="27" t="s">
        <v>1373</v>
      </c>
      <c r="C191" s="28">
        <v>2</v>
      </c>
      <c r="D191" s="29">
        <v>8.5</v>
      </c>
      <c r="E191" s="29">
        <v>17</v>
      </c>
      <c r="F191" s="30">
        <v>19.989999999999998</v>
      </c>
      <c r="G191" s="29">
        <v>39.979999999999997</v>
      </c>
      <c r="H191" s="28" t="s">
        <v>1374</v>
      </c>
      <c r="I191" s="27" t="s">
        <v>82</v>
      </c>
      <c r="J191" s="31" t="s">
        <v>52</v>
      </c>
      <c r="K191" s="27" t="s">
        <v>196</v>
      </c>
      <c r="L191" s="27" t="s">
        <v>322</v>
      </c>
      <c r="M191" s="32" t="str">
        <f>HYPERLINK("http://slimages.macys.com/is/image/MCY/3915487 ")</f>
        <v xml:space="preserve">http://slimages.macys.com/is/image/MCY/3915487 </v>
      </c>
    </row>
    <row r="192" spans="1:13" ht="15.2" customHeight="1" x14ac:dyDescent="0.2">
      <c r="A192" s="26" t="s">
        <v>824</v>
      </c>
      <c r="B192" s="27" t="s">
        <v>825</v>
      </c>
      <c r="C192" s="28">
        <v>1</v>
      </c>
      <c r="D192" s="29">
        <v>8.5</v>
      </c>
      <c r="E192" s="29">
        <v>8.5</v>
      </c>
      <c r="F192" s="30">
        <v>19.989999999999998</v>
      </c>
      <c r="G192" s="29">
        <v>19.989999999999998</v>
      </c>
      <c r="H192" s="28" t="s">
        <v>826</v>
      </c>
      <c r="I192" s="27" t="s">
        <v>4</v>
      </c>
      <c r="J192" s="31" t="s">
        <v>21</v>
      </c>
      <c r="K192" s="27" t="s">
        <v>282</v>
      </c>
      <c r="L192" s="27" t="s">
        <v>312</v>
      </c>
      <c r="M192" s="32" t="str">
        <f>HYPERLINK("http://slimages.macys.com/is/image/MCY/3853697 ")</f>
        <v xml:space="preserve">http://slimages.macys.com/is/image/MCY/3853697 </v>
      </c>
    </row>
    <row r="193" spans="1:13" ht="15.2" customHeight="1" x14ac:dyDescent="0.2">
      <c r="A193" s="26" t="s">
        <v>7409</v>
      </c>
      <c r="B193" s="27" t="s">
        <v>7410</v>
      </c>
      <c r="C193" s="28">
        <v>3</v>
      </c>
      <c r="D193" s="29">
        <v>8.5</v>
      </c>
      <c r="E193" s="29">
        <v>25.5</v>
      </c>
      <c r="F193" s="30">
        <v>19.989999999999998</v>
      </c>
      <c r="G193" s="29">
        <v>59.97</v>
      </c>
      <c r="H193" s="28" t="s">
        <v>1867</v>
      </c>
      <c r="I193" s="27" t="s">
        <v>343</v>
      </c>
      <c r="J193" s="31" t="s">
        <v>71</v>
      </c>
      <c r="K193" s="27" t="s">
        <v>282</v>
      </c>
      <c r="L193" s="27" t="s">
        <v>312</v>
      </c>
      <c r="M193" s="32" t="str">
        <f>HYPERLINK("http://slimages.macys.com/is/image/MCY/3905651 ")</f>
        <v xml:space="preserve">http://slimages.macys.com/is/image/MCY/3905651 </v>
      </c>
    </row>
    <row r="194" spans="1:13" ht="15.2" customHeight="1" x14ac:dyDescent="0.2">
      <c r="A194" s="26" t="s">
        <v>8451</v>
      </c>
      <c r="B194" s="27" t="s">
        <v>8452</v>
      </c>
      <c r="C194" s="28">
        <v>1</v>
      </c>
      <c r="D194" s="29">
        <v>8.5</v>
      </c>
      <c r="E194" s="29">
        <v>8.5</v>
      </c>
      <c r="F194" s="30">
        <v>19.989999999999998</v>
      </c>
      <c r="G194" s="29">
        <v>19.989999999999998</v>
      </c>
      <c r="H194" s="28" t="s">
        <v>7760</v>
      </c>
      <c r="I194" s="27" t="s">
        <v>189</v>
      </c>
      <c r="J194" s="31" t="s">
        <v>71</v>
      </c>
      <c r="K194" s="27" t="s">
        <v>282</v>
      </c>
      <c r="L194" s="27" t="s">
        <v>327</v>
      </c>
      <c r="M194" s="32" t="str">
        <f>HYPERLINK("http://slimages.macys.com/is/image/MCY/3961906 ")</f>
        <v xml:space="preserve">http://slimages.macys.com/is/image/MCY/3961906 </v>
      </c>
    </row>
    <row r="195" spans="1:13" ht="15.2" customHeight="1" x14ac:dyDescent="0.2">
      <c r="A195" s="26" t="s">
        <v>7758</v>
      </c>
      <c r="B195" s="27" t="s">
        <v>7759</v>
      </c>
      <c r="C195" s="28">
        <v>4</v>
      </c>
      <c r="D195" s="29">
        <v>8.5</v>
      </c>
      <c r="E195" s="29">
        <v>34</v>
      </c>
      <c r="F195" s="30">
        <v>19.989999999999998</v>
      </c>
      <c r="G195" s="29">
        <v>79.959999999999994</v>
      </c>
      <c r="H195" s="28" t="s">
        <v>7760</v>
      </c>
      <c r="I195" s="27" t="s">
        <v>189</v>
      </c>
      <c r="J195" s="31" t="s">
        <v>5</v>
      </c>
      <c r="K195" s="27" t="s">
        <v>282</v>
      </c>
      <c r="L195" s="27" t="s">
        <v>327</v>
      </c>
      <c r="M195" s="32" t="str">
        <f>HYPERLINK("http://slimages.macys.com/is/image/MCY/3961906 ")</f>
        <v xml:space="preserve">http://slimages.macys.com/is/image/MCY/3961906 </v>
      </c>
    </row>
    <row r="196" spans="1:13" ht="15.2" customHeight="1" x14ac:dyDescent="0.2">
      <c r="A196" s="26" t="s">
        <v>2273</v>
      </c>
      <c r="B196" s="27" t="s">
        <v>2274</v>
      </c>
      <c r="C196" s="28">
        <v>1</v>
      </c>
      <c r="D196" s="29">
        <v>8.5</v>
      </c>
      <c r="E196" s="29">
        <v>8.5</v>
      </c>
      <c r="F196" s="30">
        <v>19.989999999999998</v>
      </c>
      <c r="G196" s="29">
        <v>19.989999999999998</v>
      </c>
      <c r="H196" s="28" t="s">
        <v>830</v>
      </c>
      <c r="I196" s="27" t="s">
        <v>4</v>
      </c>
      <c r="J196" s="31" t="s">
        <v>21</v>
      </c>
      <c r="K196" s="27" t="s">
        <v>282</v>
      </c>
      <c r="L196" s="27" t="s">
        <v>312</v>
      </c>
      <c r="M196" s="32" t="str">
        <f>HYPERLINK("http://slimages.macys.com/is/image/MCY/3853693 ")</f>
        <v xml:space="preserve">http://slimages.macys.com/is/image/MCY/3853693 </v>
      </c>
    </row>
    <row r="197" spans="1:13" ht="15.2" customHeight="1" x14ac:dyDescent="0.2">
      <c r="A197" s="26" t="s">
        <v>1378</v>
      </c>
      <c r="B197" s="27" t="s">
        <v>1379</v>
      </c>
      <c r="C197" s="28">
        <v>1</v>
      </c>
      <c r="D197" s="29">
        <v>8.5</v>
      </c>
      <c r="E197" s="29">
        <v>8.5</v>
      </c>
      <c r="F197" s="30">
        <v>22.99</v>
      </c>
      <c r="G197" s="29">
        <v>22.99</v>
      </c>
      <c r="H197" s="28" t="s">
        <v>1380</v>
      </c>
      <c r="I197" s="27" t="s">
        <v>4</v>
      </c>
      <c r="J197" s="31" t="s">
        <v>21</v>
      </c>
      <c r="K197" s="27" t="s">
        <v>200</v>
      </c>
      <c r="L197" s="27" t="s">
        <v>325</v>
      </c>
      <c r="M197" s="32" t="str">
        <f>HYPERLINK("http://slimages.macys.com/is/image/MCY/3937156 ")</f>
        <v xml:space="preserve">http://slimages.macys.com/is/image/MCY/3937156 </v>
      </c>
    </row>
    <row r="198" spans="1:13" ht="15.2" customHeight="1" x14ac:dyDescent="0.2">
      <c r="A198" s="26" t="s">
        <v>8217</v>
      </c>
      <c r="B198" s="27" t="s">
        <v>8218</v>
      </c>
      <c r="C198" s="28">
        <v>3</v>
      </c>
      <c r="D198" s="29">
        <v>8.5</v>
      </c>
      <c r="E198" s="29">
        <v>25.5</v>
      </c>
      <c r="F198" s="30">
        <v>19.989999999999998</v>
      </c>
      <c r="G198" s="29">
        <v>59.97</v>
      </c>
      <c r="H198" s="28" t="s">
        <v>7760</v>
      </c>
      <c r="I198" s="27" t="s">
        <v>189</v>
      </c>
      <c r="J198" s="31" t="s">
        <v>40</v>
      </c>
      <c r="K198" s="27" t="s">
        <v>282</v>
      </c>
      <c r="L198" s="27" t="s">
        <v>327</v>
      </c>
      <c r="M198" s="32" t="str">
        <f>HYPERLINK("http://slimages.macys.com/is/image/MCY/3961906 ")</f>
        <v xml:space="preserve">http://slimages.macys.com/is/image/MCY/3961906 </v>
      </c>
    </row>
    <row r="199" spans="1:13" ht="15.2" customHeight="1" x14ac:dyDescent="0.2">
      <c r="A199" s="26" t="s">
        <v>8001</v>
      </c>
      <c r="B199" s="27" t="s">
        <v>8002</v>
      </c>
      <c r="C199" s="28">
        <v>2</v>
      </c>
      <c r="D199" s="29">
        <v>8.5</v>
      </c>
      <c r="E199" s="29">
        <v>17</v>
      </c>
      <c r="F199" s="30">
        <v>19.989999999999998</v>
      </c>
      <c r="G199" s="29">
        <v>39.979999999999997</v>
      </c>
      <c r="H199" s="28" t="s">
        <v>7760</v>
      </c>
      <c r="I199" s="27" t="s">
        <v>189</v>
      </c>
      <c r="J199" s="31" t="s">
        <v>21</v>
      </c>
      <c r="K199" s="27" t="s">
        <v>282</v>
      </c>
      <c r="L199" s="27" t="s">
        <v>327</v>
      </c>
      <c r="M199" s="32" t="str">
        <f>HYPERLINK("http://slimages.macys.com/is/image/MCY/3961906 ")</f>
        <v xml:space="preserve">http://slimages.macys.com/is/image/MCY/3961906 </v>
      </c>
    </row>
    <row r="200" spans="1:13" ht="15.2" customHeight="1" x14ac:dyDescent="0.2">
      <c r="A200" s="26" t="s">
        <v>7769</v>
      </c>
      <c r="B200" s="27" t="s">
        <v>7770</v>
      </c>
      <c r="C200" s="28">
        <v>1</v>
      </c>
      <c r="D200" s="29">
        <v>8.5</v>
      </c>
      <c r="E200" s="29">
        <v>8.5</v>
      </c>
      <c r="F200" s="30">
        <v>19.989999999999998</v>
      </c>
      <c r="G200" s="29">
        <v>19.989999999999998</v>
      </c>
      <c r="H200" s="28" t="s">
        <v>3872</v>
      </c>
      <c r="I200" s="27" t="s">
        <v>274</v>
      </c>
      <c r="J200" s="31" t="s">
        <v>21</v>
      </c>
      <c r="K200" s="27" t="s">
        <v>196</v>
      </c>
      <c r="L200" s="27" t="s">
        <v>256</v>
      </c>
      <c r="M200" s="32" t="str">
        <f>HYPERLINK("http://slimages.macys.com/is/image/MCY/3651029 ")</f>
        <v xml:space="preserve">http://slimages.macys.com/is/image/MCY/3651029 </v>
      </c>
    </row>
    <row r="201" spans="1:13" ht="15.2" customHeight="1" x14ac:dyDescent="0.2">
      <c r="A201" s="26" t="s">
        <v>8310</v>
      </c>
      <c r="B201" s="27" t="s">
        <v>8311</v>
      </c>
      <c r="C201" s="28">
        <v>1</v>
      </c>
      <c r="D201" s="29">
        <v>8.5</v>
      </c>
      <c r="E201" s="29">
        <v>8.5</v>
      </c>
      <c r="F201" s="30">
        <v>19.989999999999998</v>
      </c>
      <c r="G201" s="29">
        <v>19.989999999999998</v>
      </c>
      <c r="H201" s="28" t="s">
        <v>1374</v>
      </c>
      <c r="I201" s="27" t="s">
        <v>271</v>
      </c>
      <c r="J201" s="31" t="s">
        <v>71</v>
      </c>
      <c r="K201" s="27" t="s">
        <v>196</v>
      </c>
      <c r="L201" s="27" t="s">
        <v>322</v>
      </c>
      <c r="M201" s="32" t="str">
        <f>HYPERLINK("http://slimages.macys.com/is/image/MCY/3915487 ")</f>
        <v xml:space="preserve">http://slimages.macys.com/is/image/MCY/3915487 </v>
      </c>
    </row>
    <row r="202" spans="1:13" ht="15.2" customHeight="1" x14ac:dyDescent="0.2">
      <c r="A202" s="26" t="s">
        <v>8657</v>
      </c>
      <c r="B202" s="27" t="s">
        <v>8658</v>
      </c>
      <c r="C202" s="28">
        <v>1</v>
      </c>
      <c r="D202" s="29">
        <v>8.5</v>
      </c>
      <c r="E202" s="29">
        <v>8.5</v>
      </c>
      <c r="F202" s="30">
        <v>19.989999999999998</v>
      </c>
      <c r="G202" s="29">
        <v>19.989999999999998</v>
      </c>
      <c r="H202" s="28" t="s">
        <v>2970</v>
      </c>
      <c r="I202" s="27" t="s">
        <v>26</v>
      </c>
      <c r="J202" s="31" t="s">
        <v>71</v>
      </c>
      <c r="K202" s="27" t="s">
        <v>196</v>
      </c>
      <c r="L202" s="27" t="s">
        <v>322</v>
      </c>
      <c r="M202" s="32" t="str">
        <f>HYPERLINK("http://slimages.macys.com/is/image/MCY/3915487 ")</f>
        <v xml:space="preserve">http://slimages.macys.com/is/image/MCY/3915487 </v>
      </c>
    </row>
    <row r="203" spans="1:13" ht="15.2" customHeight="1" x14ac:dyDescent="0.2">
      <c r="A203" s="26" t="s">
        <v>8827</v>
      </c>
      <c r="B203" s="27" t="s">
        <v>8828</v>
      </c>
      <c r="C203" s="28">
        <v>1</v>
      </c>
      <c r="D203" s="29">
        <v>8.5</v>
      </c>
      <c r="E203" s="29">
        <v>8.5</v>
      </c>
      <c r="F203" s="30">
        <v>19.989999999999998</v>
      </c>
      <c r="G203" s="29">
        <v>19.989999999999998</v>
      </c>
      <c r="H203" s="28" t="s">
        <v>1374</v>
      </c>
      <c r="I203" s="27" t="s">
        <v>271</v>
      </c>
      <c r="J203" s="31" t="s">
        <v>40</v>
      </c>
      <c r="K203" s="27" t="s">
        <v>196</v>
      </c>
      <c r="L203" s="27" t="s">
        <v>322</v>
      </c>
      <c r="M203" s="32" t="str">
        <f>HYPERLINK("http://slimages.macys.com/is/image/MCY/3915487 ")</f>
        <v xml:space="preserve">http://slimages.macys.com/is/image/MCY/3915487 </v>
      </c>
    </row>
    <row r="204" spans="1:13" ht="15.2" customHeight="1" x14ac:dyDescent="0.2">
      <c r="A204" s="26" t="s">
        <v>4635</v>
      </c>
      <c r="B204" s="27" t="s">
        <v>4636</v>
      </c>
      <c r="C204" s="28">
        <v>2</v>
      </c>
      <c r="D204" s="29">
        <v>8.5</v>
      </c>
      <c r="E204" s="29">
        <v>17</v>
      </c>
      <c r="F204" s="30">
        <v>19.989999999999998</v>
      </c>
      <c r="G204" s="29">
        <v>39.979999999999997</v>
      </c>
      <c r="H204" s="28" t="s">
        <v>1374</v>
      </c>
      <c r="I204" s="27" t="s">
        <v>82</v>
      </c>
      <c r="J204" s="31" t="s">
        <v>21</v>
      </c>
      <c r="K204" s="27" t="s">
        <v>196</v>
      </c>
      <c r="L204" s="27" t="s">
        <v>322</v>
      </c>
      <c r="M204" s="32" t="str">
        <f>HYPERLINK("http://slimages.macys.com/is/image/MCY/3915487 ")</f>
        <v xml:space="preserve">http://slimages.macys.com/is/image/MCY/3915487 </v>
      </c>
    </row>
    <row r="205" spans="1:13" ht="15.2" customHeight="1" x14ac:dyDescent="0.2">
      <c r="A205" s="26" t="s">
        <v>7765</v>
      </c>
      <c r="B205" s="27" t="s">
        <v>7766</v>
      </c>
      <c r="C205" s="28">
        <v>2</v>
      </c>
      <c r="D205" s="29">
        <v>8.5</v>
      </c>
      <c r="E205" s="29">
        <v>17</v>
      </c>
      <c r="F205" s="30">
        <v>19.989999999999998</v>
      </c>
      <c r="G205" s="29">
        <v>39.979999999999997</v>
      </c>
      <c r="H205" s="28" t="s">
        <v>1880</v>
      </c>
      <c r="I205" s="27" t="s">
        <v>4</v>
      </c>
      <c r="J205" s="31" t="s">
        <v>21</v>
      </c>
      <c r="K205" s="27" t="s">
        <v>196</v>
      </c>
      <c r="L205" s="27" t="s">
        <v>1329</v>
      </c>
      <c r="M205" s="32" t="str">
        <f>HYPERLINK("http://slimages.macys.com/is/image/MCY/3947073 ")</f>
        <v xml:space="preserve">http://slimages.macys.com/is/image/MCY/3947073 </v>
      </c>
    </row>
    <row r="206" spans="1:13" ht="15.2" customHeight="1" x14ac:dyDescent="0.2">
      <c r="A206" s="26" t="s">
        <v>8670</v>
      </c>
      <c r="B206" s="27" t="s">
        <v>8671</v>
      </c>
      <c r="C206" s="28">
        <v>1</v>
      </c>
      <c r="D206" s="29">
        <v>8.5</v>
      </c>
      <c r="E206" s="29">
        <v>8.5</v>
      </c>
      <c r="F206" s="30">
        <v>19.989999999999998</v>
      </c>
      <c r="G206" s="29">
        <v>19.989999999999998</v>
      </c>
      <c r="H206" s="28" t="s">
        <v>1374</v>
      </c>
      <c r="I206" s="27" t="s">
        <v>271</v>
      </c>
      <c r="J206" s="31" t="s">
        <v>5</v>
      </c>
      <c r="K206" s="27" t="s">
        <v>196</v>
      </c>
      <c r="L206" s="27" t="s">
        <v>322</v>
      </c>
      <c r="M206" s="32" t="str">
        <f t="shared" ref="M206:M212" si="0">HYPERLINK("http://slimages.macys.com/is/image/MCY/3915487 ")</f>
        <v xml:space="preserve">http://slimages.macys.com/is/image/MCY/3915487 </v>
      </c>
    </row>
    <row r="207" spans="1:13" ht="15.2" customHeight="1" x14ac:dyDescent="0.2">
      <c r="A207" s="26" t="s">
        <v>7405</v>
      </c>
      <c r="B207" s="27" t="s">
        <v>7406</v>
      </c>
      <c r="C207" s="28">
        <v>3</v>
      </c>
      <c r="D207" s="29">
        <v>8.5</v>
      </c>
      <c r="E207" s="29">
        <v>25.5</v>
      </c>
      <c r="F207" s="30">
        <v>19.989999999999998</v>
      </c>
      <c r="G207" s="29">
        <v>59.97</v>
      </c>
      <c r="H207" s="28" t="s">
        <v>1374</v>
      </c>
      <c r="I207" s="27" t="s">
        <v>82</v>
      </c>
      <c r="J207" s="31" t="s">
        <v>40</v>
      </c>
      <c r="K207" s="27" t="s">
        <v>196</v>
      </c>
      <c r="L207" s="27" t="s">
        <v>322</v>
      </c>
      <c r="M207" s="32" t="str">
        <f t="shared" si="0"/>
        <v xml:space="preserve">http://slimages.macys.com/is/image/MCY/3915487 </v>
      </c>
    </row>
    <row r="208" spans="1:13" ht="15.2" customHeight="1" x14ac:dyDescent="0.2">
      <c r="A208" s="26" t="s">
        <v>2968</v>
      </c>
      <c r="B208" s="27" t="s">
        <v>2969</v>
      </c>
      <c r="C208" s="28">
        <v>6</v>
      </c>
      <c r="D208" s="29">
        <v>8.5</v>
      </c>
      <c r="E208" s="29">
        <v>51</v>
      </c>
      <c r="F208" s="30">
        <v>19.989999999999998</v>
      </c>
      <c r="G208" s="29">
        <v>119.94</v>
      </c>
      <c r="H208" s="28" t="s">
        <v>2970</v>
      </c>
      <c r="I208" s="27" t="s">
        <v>333</v>
      </c>
      <c r="J208" s="31" t="s">
        <v>5</v>
      </c>
      <c r="K208" s="27" t="s">
        <v>196</v>
      </c>
      <c r="L208" s="27" t="s">
        <v>322</v>
      </c>
      <c r="M208" s="32" t="str">
        <f t="shared" si="0"/>
        <v xml:space="preserve">http://slimages.macys.com/is/image/MCY/3915487 </v>
      </c>
    </row>
    <row r="209" spans="1:13" ht="15.2" customHeight="1" x14ac:dyDescent="0.2">
      <c r="A209" s="26" t="s">
        <v>7556</v>
      </c>
      <c r="B209" s="27" t="s">
        <v>7557</v>
      </c>
      <c r="C209" s="28">
        <v>2</v>
      </c>
      <c r="D209" s="29">
        <v>8.5</v>
      </c>
      <c r="E209" s="29">
        <v>17</v>
      </c>
      <c r="F209" s="30">
        <v>19.989999999999998</v>
      </c>
      <c r="G209" s="29">
        <v>39.979999999999997</v>
      </c>
      <c r="H209" s="28" t="s">
        <v>2970</v>
      </c>
      <c r="I209" s="27" t="s">
        <v>26</v>
      </c>
      <c r="J209" s="31" t="s">
        <v>21</v>
      </c>
      <c r="K209" s="27" t="s">
        <v>196</v>
      </c>
      <c r="L209" s="27" t="s">
        <v>322</v>
      </c>
      <c r="M209" s="32" t="str">
        <f t="shared" si="0"/>
        <v xml:space="preserve">http://slimages.macys.com/is/image/MCY/3915487 </v>
      </c>
    </row>
    <row r="210" spans="1:13" ht="15.2" customHeight="1" x14ac:dyDescent="0.2">
      <c r="A210" s="26" t="s">
        <v>8655</v>
      </c>
      <c r="B210" s="27" t="s">
        <v>8656</v>
      </c>
      <c r="C210" s="28">
        <v>4</v>
      </c>
      <c r="D210" s="29">
        <v>8.5</v>
      </c>
      <c r="E210" s="29">
        <v>34</v>
      </c>
      <c r="F210" s="30">
        <v>19.989999999999998</v>
      </c>
      <c r="G210" s="29">
        <v>79.959999999999994</v>
      </c>
      <c r="H210" s="28" t="s">
        <v>1374</v>
      </c>
      <c r="I210" s="27" t="s">
        <v>271</v>
      </c>
      <c r="J210" s="31" t="s">
        <v>21</v>
      </c>
      <c r="K210" s="27" t="s">
        <v>196</v>
      </c>
      <c r="L210" s="27" t="s">
        <v>322</v>
      </c>
      <c r="M210" s="32" t="str">
        <f t="shared" si="0"/>
        <v xml:space="preserve">http://slimages.macys.com/is/image/MCY/3915487 </v>
      </c>
    </row>
    <row r="211" spans="1:13" ht="15.2" customHeight="1" x14ac:dyDescent="0.2">
      <c r="A211" s="26" t="s">
        <v>8668</v>
      </c>
      <c r="B211" s="27" t="s">
        <v>8669</v>
      </c>
      <c r="C211" s="28">
        <v>1</v>
      </c>
      <c r="D211" s="29">
        <v>8.5</v>
      </c>
      <c r="E211" s="29">
        <v>8.5</v>
      </c>
      <c r="F211" s="30">
        <v>19.989999999999998</v>
      </c>
      <c r="G211" s="29">
        <v>19.989999999999998</v>
      </c>
      <c r="H211" s="28" t="s">
        <v>2970</v>
      </c>
      <c r="I211" s="27" t="s">
        <v>26</v>
      </c>
      <c r="J211" s="31" t="s">
        <v>52</v>
      </c>
      <c r="K211" s="27" t="s">
        <v>196</v>
      </c>
      <c r="L211" s="27" t="s">
        <v>322</v>
      </c>
      <c r="M211" s="32" t="str">
        <f t="shared" si="0"/>
        <v xml:space="preserve">http://slimages.macys.com/is/image/MCY/3915487 </v>
      </c>
    </row>
    <row r="212" spans="1:13" ht="15.2" customHeight="1" x14ac:dyDescent="0.2">
      <c r="A212" s="26" t="s">
        <v>8659</v>
      </c>
      <c r="B212" s="27" t="s">
        <v>8660</v>
      </c>
      <c r="C212" s="28">
        <v>7</v>
      </c>
      <c r="D212" s="29">
        <v>8.5</v>
      </c>
      <c r="E212" s="29">
        <v>59.5</v>
      </c>
      <c r="F212" s="30">
        <v>19.989999999999998</v>
      </c>
      <c r="G212" s="29">
        <v>139.93</v>
      </c>
      <c r="H212" s="28" t="s">
        <v>2970</v>
      </c>
      <c r="I212" s="27" t="s">
        <v>333</v>
      </c>
      <c r="J212" s="31" t="s">
        <v>40</v>
      </c>
      <c r="K212" s="27" t="s">
        <v>196</v>
      </c>
      <c r="L212" s="27" t="s">
        <v>322</v>
      </c>
      <c r="M212" s="32" t="str">
        <f t="shared" si="0"/>
        <v xml:space="preserve">http://slimages.macys.com/is/image/MCY/3915487 </v>
      </c>
    </row>
    <row r="213" spans="1:13" ht="15.2" customHeight="1" x14ac:dyDescent="0.2">
      <c r="A213" s="26" t="s">
        <v>5747</v>
      </c>
      <c r="B213" s="27" t="s">
        <v>5748</v>
      </c>
      <c r="C213" s="28">
        <v>1</v>
      </c>
      <c r="D213" s="29">
        <v>8.4499999999999993</v>
      </c>
      <c r="E213" s="29">
        <v>8.4499999999999993</v>
      </c>
      <c r="F213" s="30">
        <v>19.989999999999998</v>
      </c>
      <c r="G213" s="29">
        <v>19.989999999999998</v>
      </c>
      <c r="H213" s="28" t="s">
        <v>5746</v>
      </c>
      <c r="I213" s="27" t="s">
        <v>4</v>
      </c>
      <c r="J213" s="31" t="s">
        <v>5</v>
      </c>
      <c r="K213" s="27" t="s">
        <v>196</v>
      </c>
      <c r="L213" s="27" t="s">
        <v>322</v>
      </c>
      <c r="M213" s="32" t="str">
        <f>HYPERLINK("http://slimages.macys.com/is/image/MCY/3947128 ")</f>
        <v xml:space="preserve">http://slimages.macys.com/is/image/MCY/3947128 </v>
      </c>
    </row>
    <row r="214" spans="1:13" ht="15.2" customHeight="1" x14ac:dyDescent="0.2">
      <c r="A214" s="26" t="s">
        <v>9653</v>
      </c>
      <c r="B214" s="27" t="s">
        <v>9654</v>
      </c>
      <c r="C214" s="28">
        <v>1</v>
      </c>
      <c r="D214" s="29">
        <v>8.25</v>
      </c>
      <c r="E214" s="29">
        <v>8.25</v>
      </c>
      <c r="F214" s="30">
        <v>19.989999999999998</v>
      </c>
      <c r="G214" s="29">
        <v>19.989999999999998</v>
      </c>
      <c r="H214" s="28" t="s">
        <v>3879</v>
      </c>
      <c r="I214" s="27" t="s">
        <v>357</v>
      </c>
      <c r="J214" s="31" t="s">
        <v>21</v>
      </c>
      <c r="K214" s="27" t="s">
        <v>196</v>
      </c>
      <c r="L214" s="27" t="s">
        <v>322</v>
      </c>
      <c r="M214" s="32" t="str">
        <f>HYPERLINK("http://slimages.macys.com/is/image/MCY/3645183 ")</f>
        <v xml:space="preserve">http://slimages.macys.com/is/image/MCY/3645183 </v>
      </c>
    </row>
    <row r="215" spans="1:13" ht="15.2" customHeight="1" x14ac:dyDescent="0.2">
      <c r="A215" s="26" t="s">
        <v>9193</v>
      </c>
      <c r="B215" s="27" t="s">
        <v>9194</v>
      </c>
      <c r="C215" s="28">
        <v>2</v>
      </c>
      <c r="D215" s="29">
        <v>8.25</v>
      </c>
      <c r="E215" s="29">
        <v>16.5</v>
      </c>
      <c r="F215" s="30">
        <v>19.989999999999998</v>
      </c>
      <c r="G215" s="29">
        <v>39.979999999999997</v>
      </c>
      <c r="H215" s="28" t="s">
        <v>2975</v>
      </c>
      <c r="I215" s="27" t="s">
        <v>29</v>
      </c>
      <c r="J215" s="31" t="s">
        <v>5</v>
      </c>
      <c r="K215" s="27" t="s">
        <v>196</v>
      </c>
      <c r="L215" s="27" t="s">
        <v>225</v>
      </c>
      <c r="M215" s="32" t="str">
        <f>HYPERLINK("http://slimages.macys.com/is/image/MCY/3651791 ")</f>
        <v xml:space="preserve">http://slimages.macys.com/is/image/MCY/3651791 </v>
      </c>
    </row>
    <row r="216" spans="1:13" ht="15.2" customHeight="1" x14ac:dyDescent="0.2">
      <c r="A216" s="26" t="s">
        <v>7775</v>
      </c>
      <c r="B216" s="27" t="s">
        <v>7776</v>
      </c>
      <c r="C216" s="28">
        <v>1</v>
      </c>
      <c r="D216" s="29">
        <v>8.25</v>
      </c>
      <c r="E216" s="29">
        <v>8.25</v>
      </c>
      <c r="F216" s="30">
        <v>19.989999999999998</v>
      </c>
      <c r="G216" s="29">
        <v>19.989999999999998</v>
      </c>
      <c r="H216" s="28" t="s">
        <v>1388</v>
      </c>
      <c r="I216" s="27" t="s">
        <v>4</v>
      </c>
      <c r="J216" s="31" t="s">
        <v>21</v>
      </c>
      <c r="K216" s="27" t="s">
        <v>282</v>
      </c>
      <c r="L216" s="27" t="s">
        <v>283</v>
      </c>
      <c r="M216" s="32" t="str">
        <f>HYPERLINK("http://slimages.macys.com/is/image/MCY/3773924 ")</f>
        <v xml:space="preserve">http://slimages.macys.com/is/image/MCY/3773924 </v>
      </c>
    </row>
    <row r="217" spans="1:13" ht="15.2" customHeight="1" x14ac:dyDescent="0.2">
      <c r="A217" s="26" t="s">
        <v>9655</v>
      </c>
      <c r="B217" s="27" t="s">
        <v>9656</v>
      </c>
      <c r="C217" s="28">
        <v>1</v>
      </c>
      <c r="D217" s="29">
        <v>8.25</v>
      </c>
      <c r="E217" s="29">
        <v>8.25</v>
      </c>
      <c r="F217" s="30">
        <v>19.989999999999998</v>
      </c>
      <c r="G217" s="29">
        <v>19.989999999999998</v>
      </c>
      <c r="H217" s="28" t="s">
        <v>8675</v>
      </c>
      <c r="I217" s="27" t="s">
        <v>377</v>
      </c>
      <c r="J217" s="31" t="s">
        <v>71</v>
      </c>
      <c r="K217" s="27" t="s">
        <v>196</v>
      </c>
      <c r="L217" s="27" t="s">
        <v>225</v>
      </c>
      <c r="M217" s="32" t="str">
        <f>HYPERLINK("http://slimages.macys.com/is/image/MCY/3832889 ")</f>
        <v xml:space="preserve">http://slimages.macys.com/is/image/MCY/3832889 </v>
      </c>
    </row>
    <row r="218" spans="1:13" ht="15.2" customHeight="1" x14ac:dyDescent="0.2">
      <c r="A218" s="26" t="s">
        <v>9657</v>
      </c>
      <c r="B218" s="27" t="s">
        <v>9658</v>
      </c>
      <c r="C218" s="28">
        <v>1</v>
      </c>
      <c r="D218" s="29">
        <v>8.25</v>
      </c>
      <c r="E218" s="29">
        <v>8.25</v>
      </c>
      <c r="F218" s="30">
        <v>19.989999999999998</v>
      </c>
      <c r="G218" s="29">
        <v>19.989999999999998</v>
      </c>
      <c r="H218" s="28" t="s">
        <v>2976</v>
      </c>
      <c r="I218" s="27" t="s">
        <v>4</v>
      </c>
      <c r="J218" s="31" t="s">
        <v>52</v>
      </c>
      <c r="K218" s="27" t="s">
        <v>196</v>
      </c>
      <c r="L218" s="27" t="s">
        <v>260</v>
      </c>
      <c r="M218" s="32" t="str">
        <f>HYPERLINK("http://slimages.macys.com/is/image/MCY/3700257 ")</f>
        <v xml:space="preserve">http://slimages.macys.com/is/image/MCY/3700257 </v>
      </c>
    </row>
    <row r="219" spans="1:13" ht="15.2" customHeight="1" x14ac:dyDescent="0.2">
      <c r="A219" s="26" t="s">
        <v>9439</v>
      </c>
      <c r="B219" s="27" t="s">
        <v>9440</v>
      </c>
      <c r="C219" s="28">
        <v>1</v>
      </c>
      <c r="D219" s="29">
        <v>8.25</v>
      </c>
      <c r="E219" s="29">
        <v>8.25</v>
      </c>
      <c r="F219" s="30">
        <v>19.989999999999998</v>
      </c>
      <c r="G219" s="29">
        <v>19.989999999999998</v>
      </c>
      <c r="H219" s="28" t="s">
        <v>8676</v>
      </c>
      <c r="I219" s="27" t="s">
        <v>189</v>
      </c>
      <c r="J219" s="31" t="s">
        <v>5</v>
      </c>
      <c r="K219" s="27" t="s">
        <v>196</v>
      </c>
      <c r="L219" s="27" t="s">
        <v>225</v>
      </c>
      <c r="M219" s="32" t="str">
        <f>HYPERLINK("http://slimages.macys.com/is/image/MCY/3832889 ")</f>
        <v xml:space="preserve">http://slimages.macys.com/is/image/MCY/3832889 </v>
      </c>
    </row>
    <row r="220" spans="1:13" ht="15.2" customHeight="1" x14ac:dyDescent="0.2">
      <c r="A220" s="26" t="s">
        <v>1410</v>
      </c>
      <c r="B220" s="27" t="s">
        <v>1411</v>
      </c>
      <c r="C220" s="28">
        <v>1</v>
      </c>
      <c r="D220" s="29">
        <v>8</v>
      </c>
      <c r="E220" s="29">
        <v>8</v>
      </c>
      <c r="F220" s="30">
        <v>22.99</v>
      </c>
      <c r="G220" s="29">
        <v>22.99</v>
      </c>
      <c r="H220" s="28" t="s">
        <v>1412</v>
      </c>
      <c r="I220" s="27" t="s">
        <v>4</v>
      </c>
      <c r="J220" s="31" t="s">
        <v>21</v>
      </c>
      <c r="K220" s="27" t="s">
        <v>200</v>
      </c>
      <c r="L220" s="27" t="s">
        <v>325</v>
      </c>
      <c r="M220" s="32" t="str">
        <f>HYPERLINK("http://slimages.macys.com/is/image/MCY/3937194 ")</f>
        <v xml:space="preserve">http://slimages.macys.com/is/image/MCY/3937194 </v>
      </c>
    </row>
    <row r="221" spans="1:13" ht="15.2" customHeight="1" x14ac:dyDescent="0.2">
      <c r="A221" s="26" t="s">
        <v>9659</v>
      </c>
      <c r="B221" s="27" t="s">
        <v>9660</v>
      </c>
      <c r="C221" s="28">
        <v>1</v>
      </c>
      <c r="D221" s="29">
        <v>8</v>
      </c>
      <c r="E221" s="29">
        <v>8</v>
      </c>
      <c r="F221" s="30">
        <v>19.989999999999998</v>
      </c>
      <c r="G221" s="29">
        <v>19.989999999999998</v>
      </c>
      <c r="H221" s="28" t="s">
        <v>1394</v>
      </c>
      <c r="I221" s="27" t="s">
        <v>82</v>
      </c>
      <c r="J221" s="31" t="s">
        <v>21</v>
      </c>
      <c r="K221" s="27" t="s">
        <v>224</v>
      </c>
      <c r="L221" s="27" t="s">
        <v>254</v>
      </c>
      <c r="M221" s="32" t="str">
        <f>HYPERLINK("http://slimages.macys.com/is/image/MCY/3825537 ")</f>
        <v xml:space="preserve">http://slimages.macys.com/is/image/MCY/3825537 </v>
      </c>
    </row>
    <row r="222" spans="1:13" ht="15.2" customHeight="1" x14ac:dyDescent="0.2">
      <c r="A222" s="26" t="s">
        <v>9661</v>
      </c>
      <c r="B222" s="27" t="s">
        <v>9662</v>
      </c>
      <c r="C222" s="28">
        <v>1</v>
      </c>
      <c r="D222" s="29">
        <v>8</v>
      </c>
      <c r="E222" s="29">
        <v>8</v>
      </c>
      <c r="F222" s="30">
        <v>21.5</v>
      </c>
      <c r="G222" s="29">
        <v>21.5</v>
      </c>
      <c r="H222" s="28" t="s">
        <v>352</v>
      </c>
      <c r="I222" s="27" t="s">
        <v>4</v>
      </c>
      <c r="J222" s="31" t="s">
        <v>21</v>
      </c>
      <c r="K222" s="27" t="s">
        <v>70</v>
      </c>
      <c r="L222" s="27" t="s">
        <v>353</v>
      </c>
      <c r="M222" s="32" t="str">
        <f>HYPERLINK("http://slimages.macys.com/is/image/MCY/3799214 ")</f>
        <v xml:space="preserve">http://slimages.macys.com/is/image/MCY/3799214 </v>
      </c>
    </row>
    <row r="223" spans="1:13" ht="15.2" customHeight="1" x14ac:dyDescent="0.2">
      <c r="A223" s="26" t="s">
        <v>7674</v>
      </c>
      <c r="B223" s="27" t="s">
        <v>7675</v>
      </c>
      <c r="C223" s="28">
        <v>1</v>
      </c>
      <c r="D223" s="29">
        <v>8</v>
      </c>
      <c r="E223" s="29">
        <v>8</v>
      </c>
      <c r="F223" s="30">
        <v>21.5</v>
      </c>
      <c r="G223" s="29">
        <v>21.5</v>
      </c>
      <c r="H223" s="28" t="s">
        <v>352</v>
      </c>
      <c r="I223" s="27" t="s">
        <v>4</v>
      </c>
      <c r="J223" s="31" t="s">
        <v>65</v>
      </c>
      <c r="K223" s="27" t="s">
        <v>70</v>
      </c>
      <c r="L223" s="27" t="s">
        <v>353</v>
      </c>
      <c r="M223" s="32" t="str">
        <f>HYPERLINK("http://slimages.macys.com/is/image/MCY/3799214 ")</f>
        <v xml:space="preserve">http://slimages.macys.com/is/image/MCY/3799214 </v>
      </c>
    </row>
    <row r="224" spans="1:13" ht="15.2" customHeight="1" x14ac:dyDescent="0.2">
      <c r="A224" s="26" t="s">
        <v>1883</v>
      </c>
      <c r="B224" s="27" t="s">
        <v>1884</v>
      </c>
      <c r="C224" s="28">
        <v>1</v>
      </c>
      <c r="D224" s="29">
        <v>8</v>
      </c>
      <c r="E224" s="29">
        <v>8</v>
      </c>
      <c r="F224" s="30">
        <v>19.989999999999998</v>
      </c>
      <c r="G224" s="29">
        <v>19.989999999999998</v>
      </c>
      <c r="H224" s="28" t="s">
        <v>1885</v>
      </c>
      <c r="I224" s="27" t="s">
        <v>94</v>
      </c>
      <c r="J224" s="31" t="s">
        <v>71</v>
      </c>
      <c r="K224" s="27" t="s">
        <v>196</v>
      </c>
      <c r="L224" s="27" t="s">
        <v>239</v>
      </c>
      <c r="M224" s="32" t="str">
        <f>HYPERLINK("http://slimages.macys.com/is/image/MCY/3834521 ")</f>
        <v xml:space="preserve">http://slimages.macys.com/is/image/MCY/3834521 </v>
      </c>
    </row>
    <row r="225" spans="1:13" ht="15.2" customHeight="1" x14ac:dyDescent="0.2">
      <c r="A225" s="26" t="s">
        <v>9663</v>
      </c>
      <c r="B225" s="27" t="s">
        <v>9664</v>
      </c>
      <c r="C225" s="28">
        <v>1</v>
      </c>
      <c r="D225" s="29">
        <v>8</v>
      </c>
      <c r="E225" s="29">
        <v>8</v>
      </c>
      <c r="F225" s="30">
        <v>19.989999999999998</v>
      </c>
      <c r="G225" s="29">
        <v>19.989999999999998</v>
      </c>
      <c r="H225" s="28" t="s">
        <v>1885</v>
      </c>
      <c r="I225" s="27" t="s">
        <v>1472</v>
      </c>
      <c r="J225" s="31" t="s">
        <v>21</v>
      </c>
      <c r="K225" s="27" t="s">
        <v>196</v>
      </c>
      <c r="L225" s="27" t="s">
        <v>239</v>
      </c>
      <c r="M225" s="32" t="str">
        <f>HYPERLINK("http://slimages.macys.com/is/image/MCY/3834521 ")</f>
        <v xml:space="preserve">http://slimages.macys.com/is/image/MCY/3834521 </v>
      </c>
    </row>
    <row r="226" spans="1:13" ht="15.2" customHeight="1" x14ac:dyDescent="0.2">
      <c r="A226" s="26" t="s">
        <v>7676</v>
      </c>
      <c r="B226" s="27" t="s">
        <v>7677</v>
      </c>
      <c r="C226" s="28">
        <v>1</v>
      </c>
      <c r="D226" s="29">
        <v>8</v>
      </c>
      <c r="E226" s="29">
        <v>8</v>
      </c>
      <c r="F226" s="30">
        <v>21.5</v>
      </c>
      <c r="G226" s="29">
        <v>21.5</v>
      </c>
      <c r="H226" s="28" t="s">
        <v>352</v>
      </c>
      <c r="I226" s="27" t="s">
        <v>4</v>
      </c>
      <c r="J226" s="31" t="s">
        <v>5</v>
      </c>
      <c r="K226" s="27" t="s">
        <v>70</v>
      </c>
      <c r="L226" s="27" t="s">
        <v>353</v>
      </c>
      <c r="M226" s="32" t="str">
        <f>HYPERLINK("http://slimages.macys.com/is/image/MCY/3799214 ")</f>
        <v xml:space="preserve">http://slimages.macys.com/is/image/MCY/3799214 </v>
      </c>
    </row>
    <row r="227" spans="1:13" ht="15.2" customHeight="1" x14ac:dyDescent="0.2">
      <c r="A227" s="26" t="s">
        <v>5455</v>
      </c>
      <c r="B227" s="27" t="s">
        <v>5456</v>
      </c>
      <c r="C227" s="28">
        <v>1</v>
      </c>
      <c r="D227" s="29">
        <v>8</v>
      </c>
      <c r="E227" s="29">
        <v>8</v>
      </c>
      <c r="F227" s="30">
        <v>19.989999999999998</v>
      </c>
      <c r="G227" s="29">
        <v>19.989999999999998</v>
      </c>
      <c r="H227" s="28" t="s">
        <v>840</v>
      </c>
      <c r="I227" s="27" t="s">
        <v>189</v>
      </c>
      <c r="J227" s="31" t="s">
        <v>71</v>
      </c>
      <c r="K227" s="27" t="s">
        <v>282</v>
      </c>
      <c r="L227" s="27" t="s">
        <v>349</v>
      </c>
      <c r="M227" s="32" t="str">
        <f>HYPERLINK("http://slimages.macys.com/is/image/MCY/3799630 ")</f>
        <v xml:space="preserve">http://slimages.macys.com/is/image/MCY/3799630 </v>
      </c>
    </row>
    <row r="228" spans="1:13" ht="15.2" customHeight="1" x14ac:dyDescent="0.2">
      <c r="A228" s="26" t="s">
        <v>9665</v>
      </c>
      <c r="B228" s="27" t="s">
        <v>9666</v>
      </c>
      <c r="C228" s="28">
        <v>1</v>
      </c>
      <c r="D228" s="29">
        <v>7.85</v>
      </c>
      <c r="E228" s="29">
        <v>7.85</v>
      </c>
      <c r="F228" s="30">
        <v>27.99</v>
      </c>
      <c r="G228" s="29">
        <v>27.99</v>
      </c>
      <c r="H228" s="28" t="s">
        <v>1419</v>
      </c>
      <c r="I228" s="27" t="s">
        <v>144</v>
      </c>
      <c r="J228" s="31" t="s">
        <v>40</v>
      </c>
      <c r="K228" s="27" t="s">
        <v>224</v>
      </c>
      <c r="L228" s="27" t="s">
        <v>260</v>
      </c>
      <c r="M228" s="32" t="str">
        <f>HYPERLINK("http://slimages.macys.com/is/image/MCY/3798032 ")</f>
        <v xml:space="preserve">http://slimages.macys.com/is/image/MCY/3798032 </v>
      </c>
    </row>
    <row r="229" spans="1:13" ht="15.2" customHeight="1" x14ac:dyDescent="0.2">
      <c r="A229" s="26" t="s">
        <v>9667</v>
      </c>
      <c r="B229" s="27" t="s">
        <v>9668</v>
      </c>
      <c r="C229" s="28">
        <v>1</v>
      </c>
      <c r="D229" s="29">
        <v>7.75</v>
      </c>
      <c r="E229" s="29">
        <v>7.75</v>
      </c>
      <c r="F229" s="30">
        <v>19.989999999999998</v>
      </c>
      <c r="G229" s="29">
        <v>19.989999999999998</v>
      </c>
      <c r="H229" s="28" t="s">
        <v>7566</v>
      </c>
      <c r="I229" s="27" t="s">
        <v>94</v>
      </c>
      <c r="J229" s="31" t="s">
        <v>40</v>
      </c>
      <c r="K229" s="27" t="s">
        <v>70</v>
      </c>
      <c r="L229" s="27" t="s">
        <v>353</v>
      </c>
      <c r="M229" s="32" t="str">
        <f>HYPERLINK("http://slimages.macys.com/is/image/MCY/3809354 ")</f>
        <v xml:space="preserve">http://slimages.macys.com/is/image/MCY/3809354 </v>
      </c>
    </row>
    <row r="230" spans="1:13" ht="15.2" customHeight="1" x14ac:dyDescent="0.2">
      <c r="A230" s="26" t="s">
        <v>9227</v>
      </c>
      <c r="B230" s="27" t="s">
        <v>9228</v>
      </c>
      <c r="C230" s="28">
        <v>1</v>
      </c>
      <c r="D230" s="29">
        <v>7.6</v>
      </c>
      <c r="E230" s="29">
        <v>7.6</v>
      </c>
      <c r="F230" s="30">
        <v>19.989999999999998</v>
      </c>
      <c r="G230" s="29">
        <v>19.989999999999998</v>
      </c>
      <c r="H230" s="28" t="s">
        <v>1420</v>
      </c>
      <c r="I230" s="27" t="s">
        <v>20</v>
      </c>
      <c r="J230" s="31" t="s">
        <v>40</v>
      </c>
      <c r="K230" s="27" t="s">
        <v>196</v>
      </c>
      <c r="L230" s="27" t="s">
        <v>197</v>
      </c>
      <c r="M230" s="32" t="str">
        <f>HYPERLINK("http://slimages.macys.com/is/image/MCY/3651032 ")</f>
        <v xml:space="preserve">http://slimages.macys.com/is/image/MCY/3651032 </v>
      </c>
    </row>
    <row r="231" spans="1:13" ht="15.2" customHeight="1" x14ac:dyDescent="0.2">
      <c r="A231" s="26" t="s">
        <v>9669</v>
      </c>
      <c r="B231" s="27" t="s">
        <v>9670</v>
      </c>
      <c r="C231" s="28">
        <v>1</v>
      </c>
      <c r="D231" s="29">
        <v>7.5</v>
      </c>
      <c r="E231" s="29">
        <v>7.5</v>
      </c>
      <c r="F231" s="30">
        <v>19.989999999999998</v>
      </c>
      <c r="G231" s="29">
        <v>19.989999999999998</v>
      </c>
      <c r="H231" s="28" t="s">
        <v>1433</v>
      </c>
      <c r="I231" s="27" t="s">
        <v>690</v>
      </c>
      <c r="J231" s="31" t="s">
        <v>71</v>
      </c>
      <c r="K231" s="27" t="s">
        <v>196</v>
      </c>
      <c r="L231" s="27" t="s">
        <v>336</v>
      </c>
      <c r="M231" s="32" t="str">
        <f>HYPERLINK("http://slimages.macys.com/is/image/MCY/3821001 ")</f>
        <v xml:space="preserve">http://slimages.macys.com/is/image/MCY/3821001 </v>
      </c>
    </row>
    <row r="232" spans="1:13" ht="15.2" customHeight="1" x14ac:dyDescent="0.2">
      <c r="A232" s="26" t="s">
        <v>9445</v>
      </c>
      <c r="B232" s="27" t="s">
        <v>9446</v>
      </c>
      <c r="C232" s="28">
        <v>2</v>
      </c>
      <c r="D232" s="29">
        <v>7.5</v>
      </c>
      <c r="E232" s="29">
        <v>15</v>
      </c>
      <c r="F232" s="30">
        <v>19.989999999999998</v>
      </c>
      <c r="G232" s="29">
        <v>39.979999999999997</v>
      </c>
      <c r="H232" s="28" t="s">
        <v>8223</v>
      </c>
      <c r="I232" s="27" t="s">
        <v>244</v>
      </c>
      <c r="J232" s="31" t="s">
        <v>5</v>
      </c>
      <c r="K232" s="27" t="s">
        <v>196</v>
      </c>
      <c r="L232" s="27" t="s">
        <v>336</v>
      </c>
      <c r="M232" s="32" t="str">
        <f>HYPERLINK("http://slimages.macys.com/is/image/MCY/3705540 ")</f>
        <v xml:space="preserve">http://slimages.macys.com/is/image/MCY/3705540 </v>
      </c>
    </row>
    <row r="233" spans="1:13" ht="15.2" customHeight="1" x14ac:dyDescent="0.2">
      <c r="A233" s="26" t="s">
        <v>9671</v>
      </c>
      <c r="B233" s="27" t="s">
        <v>9672</v>
      </c>
      <c r="C233" s="28">
        <v>1</v>
      </c>
      <c r="D233" s="29">
        <v>7.5</v>
      </c>
      <c r="E233" s="29">
        <v>7.5</v>
      </c>
      <c r="F233" s="30">
        <v>19.989999999999998</v>
      </c>
      <c r="G233" s="29">
        <v>19.989999999999998</v>
      </c>
      <c r="H233" s="28" t="s">
        <v>8223</v>
      </c>
      <c r="I233" s="27" t="s">
        <v>244</v>
      </c>
      <c r="J233" s="31" t="s">
        <v>21</v>
      </c>
      <c r="K233" s="27" t="s">
        <v>196</v>
      </c>
      <c r="L233" s="27" t="s">
        <v>336</v>
      </c>
      <c r="M233" s="32" t="str">
        <f>HYPERLINK("http://slimages.macys.com/is/image/MCY/3705540 ")</f>
        <v xml:space="preserve">http://slimages.macys.com/is/image/MCY/3705540 </v>
      </c>
    </row>
    <row r="234" spans="1:13" ht="15.2" customHeight="1" x14ac:dyDescent="0.2">
      <c r="A234" s="26" t="s">
        <v>1898</v>
      </c>
      <c r="B234" s="27" t="s">
        <v>1899</v>
      </c>
      <c r="C234" s="28">
        <v>2</v>
      </c>
      <c r="D234" s="29">
        <v>7.5</v>
      </c>
      <c r="E234" s="29">
        <v>15</v>
      </c>
      <c r="F234" s="30">
        <v>19.989999999999998</v>
      </c>
      <c r="G234" s="29">
        <v>39.979999999999997</v>
      </c>
      <c r="H234" s="28" t="s">
        <v>1900</v>
      </c>
      <c r="I234" s="27" t="s">
        <v>248</v>
      </c>
      <c r="J234" s="31" t="s">
        <v>5</v>
      </c>
      <c r="K234" s="27" t="s">
        <v>196</v>
      </c>
      <c r="L234" s="27" t="s">
        <v>225</v>
      </c>
      <c r="M234" s="32" t="str">
        <f>HYPERLINK("http://slimages.macys.com/is/image/MCY/3953461 ")</f>
        <v xml:space="preserve">http://slimages.macys.com/is/image/MCY/3953461 </v>
      </c>
    </row>
    <row r="235" spans="1:13" ht="15.2" customHeight="1" x14ac:dyDescent="0.2">
      <c r="A235" s="26" t="s">
        <v>8559</v>
      </c>
      <c r="B235" s="27" t="s">
        <v>8560</v>
      </c>
      <c r="C235" s="28">
        <v>1</v>
      </c>
      <c r="D235" s="29">
        <v>7.5</v>
      </c>
      <c r="E235" s="29">
        <v>7.5</v>
      </c>
      <c r="F235" s="30">
        <v>19.989999999999998</v>
      </c>
      <c r="G235" s="29">
        <v>19.989999999999998</v>
      </c>
      <c r="H235" s="28" t="s">
        <v>1433</v>
      </c>
      <c r="I235" s="27" t="s">
        <v>690</v>
      </c>
      <c r="J235" s="31" t="s">
        <v>5</v>
      </c>
      <c r="K235" s="27" t="s">
        <v>196</v>
      </c>
      <c r="L235" s="27" t="s">
        <v>336</v>
      </c>
      <c r="M235" s="32" t="str">
        <f>HYPERLINK("http://slimages.macys.com/is/image/MCY/3821001 ")</f>
        <v xml:space="preserve">http://slimages.macys.com/is/image/MCY/3821001 </v>
      </c>
    </row>
    <row r="236" spans="1:13" ht="15.2" customHeight="1" x14ac:dyDescent="0.2">
      <c r="A236" s="26" t="s">
        <v>861</v>
      </c>
      <c r="B236" s="27" t="s">
        <v>862</v>
      </c>
      <c r="C236" s="28">
        <v>1</v>
      </c>
      <c r="D236" s="29">
        <v>7.5</v>
      </c>
      <c r="E236" s="29">
        <v>7.5</v>
      </c>
      <c r="F236" s="30">
        <v>16.989999999999998</v>
      </c>
      <c r="G236" s="29">
        <v>16.989999999999998</v>
      </c>
      <c r="H236" s="28">
        <v>60444415</v>
      </c>
      <c r="I236" s="27" t="s">
        <v>280</v>
      </c>
      <c r="J236" s="31" t="s">
        <v>71</v>
      </c>
      <c r="K236" s="27" t="s">
        <v>208</v>
      </c>
      <c r="L236" s="27" t="s">
        <v>255</v>
      </c>
      <c r="M236" s="32" t="str">
        <f>HYPERLINK("http://slimages.macys.com/is/image/MCY/3832168 ")</f>
        <v xml:space="preserve">http://slimages.macys.com/is/image/MCY/3832168 </v>
      </c>
    </row>
    <row r="237" spans="1:13" ht="15.2" customHeight="1" x14ac:dyDescent="0.2">
      <c r="A237" s="26" t="s">
        <v>5463</v>
      </c>
      <c r="B237" s="27" t="s">
        <v>5464</v>
      </c>
      <c r="C237" s="28">
        <v>1</v>
      </c>
      <c r="D237" s="29">
        <v>7.5</v>
      </c>
      <c r="E237" s="29">
        <v>7.5</v>
      </c>
      <c r="F237" s="30">
        <v>19.989999999999998</v>
      </c>
      <c r="G237" s="29">
        <v>19.989999999999998</v>
      </c>
      <c r="H237" s="28" t="s">
        <v>5121</v>
      </c>
      <c r="I237" s="27" t="s">
        <v>36</v>
      </c>
      <c r="J237" s="31" t="s">
        <v>21</v>
      </c>
      <c r="K237" s="27" t="s">
        <v>196</v>
      </c>
      <c r="L237" s="27" t="s">
        <v>336</v>
      </c>
      <c r="M237" s="32" t="str">
        <f>HYPERLINK("http://slimages.macys.com/is/image/MCY/3705540 ")</f>
        <v xml:space="preserve">http://slimages.macys.com/is/image/MCY/3705540 </v>
      </c>
    </row>
    <row r="238" spans="1:13" ht="15.2" customHeight="1" x14ac:dyDescent="0.2">
      <c r="A238" s="26" t="s">
        <v>8478</v>
      </c>
      <c r="B238" s="27" t="s">
        <v>8479</v>
      </c>
      <c r="C238" s="28">
        <v>1</v>
      </c>
      <c r="D238" s="29">
        <v>7.5</v>
      </c>
      <c r="E238" s="29">
        <v>7.5</v>
      </c>
      <c r="F238" s="30">
        <v>16.989999999999998</v>
      </c>
      <c r="G238" s="29">
        <v>16.989999999999998</v>
      </c>
      <c r="H238" s="28" t="s">
        <v>4355</v>
      </c>
      <c r="I238" s="27" t="s">
        <v>4</v>
      </c>
      <c r="J238" s="31" t="s">
        <v>5</v>
      </c>
      <c r="K238" s="27" t="s">
        <v>282</v>
      </c>
      <c r="L238" s="27" t="s">
        <v>260</v>
      </c>
      <c r="M238" s="32" t="str">
        <f>HYPERLINK("http://slimages.macys.com/is/image/MCY/3798083 ")</f>
        <v xml:space="preserve">http://slimages.macys.com/is/image/MCY/3798083 </v>
      </c>
    </row>
    <row r="239" spans="1:13" ht="15.2" customHeight="1" x14ac:dyDescent="0.2">
      <c r="A239" s="26" t="s">
        <v>9673</v>
      </c>
      <c r="B239" s="27" t="s">
        <v>9674</v>
      </c>
      <c r="C239" s="28">
        <v>1</v>
      </c>
      <c r="D239" s="29">
        <v>7.5</v>
      </c>
      <c r="E239" s="29">
        <v>7.5</v>
      </c>
      <c r="F239" s="30">
        <v>18.989999999999998</v>
      </c>
      <c r="G239" s="29">
        <v>18.989999999999998</v>
      </c>
      <c r="H239" s="28" t="s">
        <v>8034</v>
      </c>
      <c r="I239" s="27" t="s">
        <v>4</v>
      </c>
      <c r="J239" s="31" t="s">
        <v>52</v>
      </c>
      <c r="K239" s="27" t="s">
        <v>70</v>
      </c>
      <c r="L239" s="27" t="s">
        <v>1355</v>
      </c>
      <c r="M239" s="32" t="str">
        <f>HYPERLINK("http://slimages.macys.com/is/image/MCY/3677953 ")</f>
        <v xml:space="preserve">http://slimages.macys.com/is/image/MCY/3677953 </v>
      </c>
    </row>
    <row r="240" spans="1:13" ht="15.2" customHeight="1" x14ac:dyDescent="0.2">
      <c r="A240" s="26" t="s">
        <v>9675</v>
      </c>
      <c r="B240" s="27" t="s">
        <v>9676</v>
      </c>
      <c r="C240" s="28">
        <v>1</v>
      </c>
      <c r="D240" s="29">
        <v>7.5</v>
      </c>
      <c r="E240" s="29">
        <v>7.5</v>
      </c>
      <c r="F240" s="30">
        <v>18.989999999999998</v>
      </c>
      <c r="G240" s="29">
        <v>18.989999999999998</v>
      </c>
      <c r="H240" s="28" t="s">
        <v>8034</v>
      </c>
      <c r="I240" s="27" t="s">
        <v>274</v>
      </c>
      <c r="J240" s="31" t="s">
        <v>21</v>
      </c>
      <c r="K240" s="27" t="s">
        <v>70</v>
      </c>
      <c r="L240" s="27" t="s">
        <v>1355</v>
      </c>
      <c r="M240" s="32" t="str">
        <f>HYPERLINK("http://slimages.macys.com/is/image/MCY/3677953 ")</f>
        <v xml:space="preserve">http://slimages.macys.com/is/image/MCY/3677953 </v>
      </c>
    </row>
    <row r="241" spans="1:13" ht="15.2" customHeight="1" x14ac:dyDescent="0.2">
      <c r="A241" s="26" t="s">
        <v>9677</v>
      </c>
      <c r="B241" s="27" t="s">
        <v>9678</v>
      </c>
      <c r="C241" s="28">
        <v>1</v>
      </c>
      <c r="D241" s="29">
        <v>7.5</v>
      </c>
      <c r="E241" s="29">
        <v>7.5</v>
      </c>
      <c r="F241" s="30">
        <v>12.99</v>
      </c>
      <c r="G241" s="29">
        <v>12.99</v>
      </c>
      <c r="H241" s="28" t="s">
        <v>2981</v>
      </c>
      <c r="I241" s="27" t="s">
        <v>4483</v>
      </c>
      <c r="J241" s="31" t="s">
        <v>21</v>
      </c>
      <c r="K241" s="27" t="s">
        <v>200</v>
      </c>
      <c r="L241" s="27" t="s">
        <v>239</v>
      </c>
      <c r="M241" s="32" t="str">
        <f>HYPERLINK("http://slimages.macys.com/is/image/MCY/3755667 ")</f>
        <v xml:space="preserve">http://slimages.macys.com/is/image/MCY/3755667 </v>
      </c>
    </row>
    <row r="242" spans="1:13" ht="15.2" customHeight="1" x14ac:dyDescent="0.2">
      <c r="A242" s="26" t="s">
        <v>9679</v>
      </c>
      <c r="B242" s="27" t="s">
        <v>9680</v>
      </c>
      <c r="C242" s="28">
        <v>1</v>
      </c>
      <c r="D242" s="29">
        <v>7.4</v>
      </c>
      <c r="E242" s="29">
        <v>7.4</v>
      </c>
      <c r="F242" s="30">
        <v>12.99</v>
      </c>
      <c r="G242" s="29">
        <v>12.99</v>
      </c>
      <c r="H242" s="28" t="s">
        <v>1387</v>
      </c>
      <c r="I242" s="27" t="s">
        <v>59</v>
      </c>
      <c r="J242" s="31" t="s">
        <v>71</v>
      </c>
      <c r="K242" s="27" t="s">
        <v>200</v>
      </c>
      <c r="L242" s="27" t="s">
        <v>260</v>
      </c>
      <c r="M242" s="32" t="str">
        <f>HYPERLINK("http://slimages.macys.com/is/image/MCY/3755683 ")</f>
        <v xml:space="preserve">http://slimages.macys.com/is/image/MCY/3755683 </v>
      </c>
    </row>
    <row r="243" spans="1:13" ht="15.2" customHeight="1" x14ac:dyDescent="0.2">
      <c r="A243" s="26" t="s">
        <v>9681</v>
      </c>
      <c r="B243" s="27" t="s">
        <v>9682</v>
      </c>
      <c r="C243" s="28">
        <v>1</v>
      </c>
      <c r="D243" s="29">
        <v>7.25</v>
      </c>
      <c r="E243" s="29">
        <v>7.25</v>
      </c>
      <c r="F243" s="30">
        <v>18.989999999999998</v>
      </c>
      <c r="G243" s="29">
        <v>18.989999999999998</v>
      </c>
      <c r="H243" s="28" t="s">
        <v>2663</v>
      </c>
      <c r="I243" s="27" t="s">
        <v>4</v>
      </c>
      <c r="J243" s="31" t="s">
        <v>5</v>
      </c>
      <c r="K243" s="27" t="s">
        <v>70</v>
      </c>
      <c r="L243" s="27" t="s">
        <v>260</v>
      </c>
      <c r="M243" s="32" t="str">
        <f>HYPERLINK("http://slimages.macys.com/is/image/MCY/3597408 ")</f>
        <v xml:space="preserve">http://slimages.macys.com/is/image/MCY/3597408 </v>
      </c>
    </row>
    <row r="244" spans="1:13" ht="15.2" customHeight="1" x14ac:dyDescent="0.2">
      <c r="A244" s="26" t="s">
        <v>9683</v>
      </c>
      <c r="B244" s="27" t="s">
        <v>9684</v>
      </c>
      <c r="C244" s="28">
        <v>1</v>
      </c>
      <c r="D244" s="29">
        <v>7.25</v>
      </c>
      <c r="E244" s="29">
        <v>7.25</v>
      </c>
      <c r="F244" s="30">
        <v>17.989999999999998</v>
      </c>
      <c r="G244" s="29">
        <v>17.989999999999998</v>
      </c>
      <c r="H244" s="28" t="s">
        <v>9685</v>
      </c>
      <c r="I244" s="27" t="s">
        <v>189</v>
      </c>
      <c r="J244" s="31" t="s">
        <v>40</v>
      </c>
      <c r="K244" s="27" t="s">
        <v>70</v>
      </c>
      <c r="L244" s="27" t="s">
        <v>8323</v>
      </c>
      <c r="M244" s="32" t="str">
        <f>HYPERLINK("http://slimages.macys.com/is/image/MCY/3812860 ")</f>
        <v xml:space="preserve">http://slimages.macys.com/is/image/MCY/3812860 </v>
      </c>
    </row>
    <row r="245" spans="1:13" ht="15.2" customHeight="1" x14ac:dyDescent="0.2">
      <c r="A245" s="26" t="s">
        <v>9686</v>
      </c>
      <c r="B245" s="27" t="s">
        <v>9687</v>
      </c>
      <c r="C245" s="28">
        <v>1</v>
      </c>
      <c r="D245" s="29">
        <v>7.23</v>
      </c>
      <c r="E245" s="29">
        <v>7.23</v>
      </c>
      <c r="F245" s="30">
        <v>16.989999999999998</v>
      </c>
      <c r="G245" s="29">
        <v>16.989999999999998</v>
      </c>
      <c r="H245" s="28" t="s">
        <v>1903</v>
      </c>
      <c r="I245" s="27" t="s">
        <v>4</v>
      </c>
      <c r="J245" s="31" t="s">
        <v>71</v>
      </c>
      <c r="K245" s="27" t="s">
        <v>159</v>
      </c>
      <c r="L245" s="27" t="s">
        <v>160</v>
      </c>
      <c r="M245" s="32" t="str">
        <f>HYPERLINK("http://slimages.macys.com/is/image/MCY/3634309 ")</f>
        <v xml:space="preserve">http://slimages.macys.com/is/image/MCY/3634309 </v>
      </c>
    </row>
    <row r="246" spans="1:13" ht="15.2" customHeight="1" x14ac:dyDescent="0.2">
      <c r="A246" s="26" t="s">
        <v>8417</v>
      </c>
      <c r="B246" s="27" t="s">
        <v>8418</v>
      </c>
      <c r="C246" s="28">
        <v>1</v>
      </c>
      <c r="D246" s="29">
        <v>7.23</v>
      </c>
      <c r="E246" s="29">
        <v>7.23</v>
      </c>
      <c r="F246" s="30">
        <v>16.989999999999998</v>
      </c>
      <c r="G246" s="29">
        <v>16.989999999999998</v>
      </c>
      <c r="H246" s="28" t="s">
        <v>1903</v>
      </c>
      <c r="I246" s="27" t="s">
        <v>4</v>
      </c>
      <c r="J246" s="31" t="s">
        <v>52</v>
      </c>
      <c r="K246" s="27" t="s">
        <v>159</v>
      </c>
      <c r="L246" s="27" t="s">
        <v>160</v>
      </c>
      <c r="M246" s="32" t="str">
        <f>HYPERLINK("http://slimages.macys.com/is/image/MCY/3634309 ")</f>
        <v xml:space="preserve">http://slimages.macys.com/is/image/MCY/3634309 </v>
      </c>
    </row>
    <row r="247" spans="1:13" ht="15.2" customHeight="1" x14ac:dyDescent="0.2">
      <c r="A247" s="26" t="s">
        <v>9688</v>
      </c>
      <c r="B247" s="27" t="s">
        <v>9689</v>
      </c>
      <c r="C247" s="28">
        <v>1</v>
      </c>
      <c r="D247" s="29">
        <v>7.23</v>
      </c>
      <c r="E247" s="29">
        <v>7.23</v>
      </c>
      <c r="F247" s="30">
        <v>16.989999999999998</v>
      </c>
      <c r="G247" s="29">
        <v>16.989999999999998</v>
      </c>
      <c r="H247" s="28" t="s">
        <v>1903</v>
      </c>
      <c r="I247" s="27" t="s">
        <v>4</v>
      </c>
      <c r="J247" s="31" t="s">
        <v>40</v>
      </c>
      <c r="K247" s="27" t="s">
        <v>159</v>
      </c>
      <c r="L247" s="27" t="s">
        <v>160</v>
      </c>
      <c r="M247" s="32" t="str">
        <f>HYPERLINK("http://slimages.macys.com/is/image/MCY/3634309 ")</f>
        <v xml:space="preserve">http://slimages.macys.com/is/image/MCY/3634309 </v>
      </c>
    </row>
    <row r="248" spans="1:13" ht="15.2" customHeight="1" x14ac:dyDescent="0.2">
      <c r="A248" s="26" t="s">
        <v>8695</v>
      </c>
      <c r="B248" s="27" t="s">
        <v>8696</v>
      </c>
      <c r="C248" s="28">
        <v>1</v>
      </c>
      <c r="D248" s="29">
        <v>7</v>
      </c>
      <c r="E248" s="29">
        <v>7</v>
      </c>
      <c r="F248" s="30">
        <v>19.989999999999998</v>
      </c>
      <c r="G248" s="29">
        <v>19.989999999999998</v>
      </c>
      <c r="H248" s="28" t="s">
        <v>2984</v>
      </c>
      <c r="I248" s="27" t="s">
        <v>82</v>
      </c>
      <c r="J248" s="31" t="s">
        <v>21</v>
      </c>
      <c r="K248" s="27" t="s">
        <v>196</v>
      </c>
      <c r="L248" s="27" t="s">
        <v>239</v>
      </c>
      <c r="M248" s="32" t="str">
        <f>HYPERLINK("http://slimages.macys.com/is/image/MCY/3685480 ")</f>
        <v xml:space="preserve">http://slimages.macys.com/is/image/MCY/3685480 </v>
      </c>
    </row>
    <row r="249" spans="1:13" ht="15.2" customHeight="1" x14ac:dyDescent="0.2">
      <c r="A249" s="26" t="s">
        <v>8690</v>
      </c>
      <c r="B249" s="27" t="s">
        <v>8691</v>
      </c>
      <c r="C249" s="28">
        <v>1</v>
      </c>
      <c r="D249" s="29">
        <v>7</v>
      </c>
      <c r="E249" s="29">
        <v>7</v>
      </c>
      <c r="F249" s="30">
        <v>19.989999999999998</v>
      </c>
      <c r="G249" s="29">
        <v>19.989999999999998</v>
      </c>
      <c r="H249" s="28" t="s">
        <v>8692</v>
      </c>
      <c r="I249" s="27" t="s">
        <v>4</v>
      </c>
      <c r="J249" s="31" t="s">
        <v>40</v>
      </c>
      <c r="K249" s="27" t="s">
        <v>196</v>
      </c>
      <c r="L249" s="27" t="s">
        <v>336</v>
      </c>
      <c r="M249" s="32" t="str">
        <f>HYPERLINK("http://slimages.macys.com/is/image/MCY/3755159 ")</f>
        <v xml:space="preserve">http://slimages.macys.com/is/image/MCY/3755159 </v>
      </c>
    </row>
    <row r="250" spans="1:13" ht="15.2" customHeight="1" x14ac:dyDescent="0.2">
      <c r="A250" s="26" t="s">
        <v>7787</v>
      </c>
      <c r="B250" s="27" t="s">
        <v>7788</v>
      </c>
      <c r="C250" s="28">
        <v>2</v>
      </c>
      <c r="D250" s="29">
        <v>7</v>
      </c>
      <c r="E250" s="29">
        <v>14</v>
      </c>
      <c r="F250" s="30">
        <v>19.989999999999998</v>
      </c>
      <c r="G250" s="29">
        <v>39.979999999999997</v>
      </c>
      <c r="H250" s="28" t="s">
        <v>1906</v>
      </c>
      <c r="I250" s="27" t="s">
        <v>280</v>
      </c>
      <c r="J250" s="31" t="s">
        <v>21</v>
      </c>
      <c r="K250" s="27" t="s">
        <v>282</v>
      </c>
      <c r="L250" s="27" t="s">
        <v>358</v>
      </c>
      <c r="M250" s="32" t="str">
        <f>HYPERLINK("http://slimages.macys.com/is/image/MCY/3773685 ")</f>
        <v xml:space="preserve">http://slimages.macys.com/is/image/MCY/3773685 </v>
      </c>
    </row>
    <row r="251" spans="1:13" ht="15.2" customHeight="1" x14ac:dyDescent="0.2">
      <c r="A251" s="26" t="s">
        <v>9690</v>
      </c>
      <c r="B251" s="27" t="s">
        <v>9691</v>
      </c>
      <c r="C251" s="28">
        <v>1</v>
      </c>
      <c r="D251" s="29">
        <v>7</v>
      </c>
      <c r="E251" s="29">
        <v>7</v>
      </c>
      <c r="F251" s="30">
        <v>19.989999999999998</v>
      </c>
      <c r="G251" s="29">
        <v>19.989999999999998</v>
      </c>
      <c r="H251" s="28" t="s">
        <v>2984</v>
      </c>
      <c r="I251" s="27" t="s">
        <v>82</v>
      </c>
      <c r="J251" s="31" t="s">
        <v>71</v>
      </c>
      <c r="K251" s="27" t="s">
        <v>196</v>
      </c>
      <c r="L251" s="27" t="s">
        <v>239</v>
      </c>
      <c r="M251" s="32" t="str">
        <f>HYPERLINK("http://slimages.macys.com/is/image/MCY/3685480 ")</f>
        <v xml:space="preserve">http://slimages.macys.com/is/image/MCY/3685480 </v>
      </c>
    </row>
    <row r="252" spans="1:13" ht="15.2" customHeight="1" x14ac:dyDescent="0.2">
      <c r="A252" s="26" t="s">
        <v>9692</v>
      </c>
      <c r="B252" s="27" t="s">
        <v>9693</v>
      </c>
      <c r="C252" s="28">
        <v>1</v>
      </c>
      <c r="D252" s="29">
        <v>7</v>
      </c>
      <c r="E252" s="29">
        <v>7</v>
      </c>
      <c r="F252" s="30">
        <v>19.989999999999998</v>
      </c>
      <c r="G252" s="29">
        <v>19.989999999999998</v>
      </c>
      <c r="H252" s="28" t="s">
        <v>9694</v>
      </c>
      <c r="I252" s="27" t="s">
        <v>248</v>
      </c>
      <c r="J252" s="31" t="s">
        <v>21</v>
      </c>
      <c r="K252" s="27" t="s">
        <v>196</v>
      </c>
      <c r="L252" s="27" t="s">
        <v>336</v>
      </c>
      <c r="M252" s="32" t="str">
        <f>HYPERLINK("http://slimages.macys.com/is/image/MCY/3469370 ")</f>
        <v xml:space="preserve">http://slimages.macys.com/is/image/MCY/3469370 </v>
      </c>
    </row>
    <row r="253" spans="1:13" ht="15.2" customHeight="1" x14ac:dyDescent="0.2">
      <c r="A253" s="26" t="s">
        <v>1907</v>
      </c>
      <c r="B253" s="27" t="s">
        <v>1908</v>
      </c>
      <c r="C253" s="28">
        <v>3</v>
      </c>
      <c r="D253" s="29">
        <v>7</v>
      </c>
      <c r="E253" s="29">
        <v>21</v>
      </c>
      <c r="F253" s="30">
        <v>19.989999999999998</v>
      </c>
      <c r="G253" s="29">
        <v>59.97</v>
      </c>
      <c r="H253" s="28" t="s">
        <v>1909</v>
      </c>
      <c r="I253" s="27" t="s">
        <v>82</v>
      </c>
      <c r="J253" s="31" t="s">
        <v>71</v>
      </c>
      <c r="K253" s="27" t="s">
        <v>282</v>
      </c>
      <c r="L253" s="27" t="s">
        <v>358</v>
      </c>
      <c r="M253" s="32" t="str">
        <f>HYPERLINK("http://slimages.macys.com/is/image/MCY/3773262 ")</f>
        <v xml:space="preserve">http://slimages.macys.com/is/image/MCY/3773262 </v>
      </c>
    </row>
    <row r="254" spans="1:13" ht="15.2" customHeight="1" x14ac:dyDescent="0.2">
      <c r="A254" s="26" t="s">
        <v>7569</v>
      </c>
      <c r="B254" s="27" t="s">
        <v>7570</v>
      </c>
      <c r="C254" s="28">
        <v>1</v>
      </c>
      <c r="D254" s="29">
        <v>7</v>
      </c>
      <c r="E254" s="29">
        <v>7</v>
      </c>
      <c r="F254" s="30">
        <v>19.989999999999998</v>
      </c>
      <c r="G254" s="29">
        <v>19.989999999999998</v>
      </c>
      <c r="H254" s="28" t="s">
        <v>2987</v>
      </c>
      <c r="I254" s="27" t="s">
        <v>94</v>
      </c>
      <c r="J254" s="31" t="s">
        <v>5</v>
      </c>
      <c r="K254" s="27" t="s">
        <v>282</v>
      </c>
      <c r="L254" s="27" t="s">
        <v>358</v>
      </c>
      <c r="M254" s="32" t="str">
        <f>HYPERLINK("http://slimages.macys.com/is/image/MCY/3832156 ")</f>
        <v xml:space="preserve">http://slimages.macys.com/is/image/MCY/3832156 </v>
      </c>
    </row>
    <row r="255" spans="1:13" ht="15.2" customHeight="1" x14ac:dyDescent="0.2">
      <c r="A255" s="26" t="s">
        <v>7108</v>
      </c>
      <c r="B255" s="27" t="s">
        <v>7109</v>
      </c>
      <c r="C255" s="28">
        <v>1</v>
      </c>
      <c r="D255" s="29">
        <v>7</v>
      </c>
      <c r="E255" s="29">
        <v>7</v>
      </c>
      <c r="F255" s="30">
        <v>19.989999999999998</v>
      </c>
      <c r="G255" s="29">
        <v>19.989999999999998</v>
      </c>
      <c r="H255" s="28" t="s">
        <v>1906</v>
      </c>
      <c r="I255" s="27" t="s">
        <v>280</v>
      </c>
      <c r="J255" s="31" t="s">
        <v>71</v>
      </c>
      <c r="K255" s="27" t="s">
        <v>282</v>
      </c>
      <c r="L255" s="27" t="s">
        <v>358</v>
      </c>
      <c r="M255" s="32" t="str">
        <f>HYPERLINK("http://slimages.macys.com/is/image/MCY/3773685 ")</f>
        <v xml:space="preserve">http://slimages.macys.com/is/image/MCY/3773685 </v>
      </c>
    </row>
    <row r="256" spans="1:13" ht="15.2" customHeight="1" x14ac:dyDescent="0.2">
      <c r="A256" s="26" t="s">
        <v>5127</v>
      </c>
      <c r="B256" s="27" t="s">
        <v>5128</v>
      </c>
      <c r="C256" s="28">
        <v>1</v>
      </c>
      <c r="D256" s="29">
        <v>7</v>
      </c>
      <c r="E256" s="29">
        <v>7</v>
      </c>
      <c r="F256" s="30">
        <v>19.989999999999998</v>
      </c>
      <c r="G256" s="29">
        <v>19.989999999999998</v>
      </c>
      <c r="H256" s="28" t="s">
        <v>1906</v>
      </c>
      <c r="I256" s="27" t="s">
        <v>280</v>
      </c>
      <c r="J256" s="31" t="s">
        <v>40</v>
      </c>
      <c r="K256" s="27" t="s">
        <v>282</v>
      </c>
      <c r="L256" s="27" t="s">
        <v>358</v>
      </c>
      <c r="M256" s="32" t="str">
        <f>HYPERLINK("http://slimages.macys.com/is/image/MCY/3773685 ")</f>
        <v xml:space="preserve">http://slimages.macys.com/is/image/MCY/3773685 </v>
      </c>
    </row>
    <row r="257" spans="1:13" ht="15.2" customHeight="1" x14ac:dyDescent="0.2">
      <c r="A257" s="26" t="s">
        <v>1910</v>
      </c>
      <c r="B257" s="27" t="s">
        <v>1911</v>
      </c>
      <c r="C257" s="28">
        <v>1</v>
      </c>
      <c r="D257" s="29">
        <v>7</v>
      </c>
      <c r="E257" s="29">
        <v>7</v>
      </c>
      <c r="F257" s="30">
        <v>19.989999999999998</v>
      </c>
      <c r="G257" s="29">
        <v>19.989999999999998</v>
      </c>
      <c r="H257" s="28" t="s">
        <v>1906</v>
      </c>
      <c r="I257" s="27" t="s">
        <v>280</v>
      </c>
      <c r="J257" s="31" t="s">
        <v>5</v>
      </c>
      <c r="K257" s="27" t="s">
        <v>282</v>
      </c>
      <c r="L257" s="27" t="s">
        <v>358</v>
      </c>
      <c r="M257" s="32" t="str">
        <f>HYPERLINK("http://slimages.macys.com/is/image/MCY/3773685 ")</f>
        <v xml:space="preserve">http://slimages.macys.com/is/image/MCY/3773685 </v>
      </c>
    </row>
    <row r="258" spans="1:13" ht="15.2" customHeight="1" x14ac:dyDescent="0.2">
      <c r="A258" s="26" t="s">
        <v>8699</v>
      </c>
      <c r="B258" s="27" t="s">
        <v>8700</v>
      </c>
      <c r="C258" s="28">
        <v>1</v>
      </c>
      <c r="D258" s="29">
        <v>7</v>
      </c>
      <c r="E258" s="29">
        <v>7</v>
      </c>
      <c r="F258" s="30">
        <v>19.989999999999998</v>
      </c>
      <c r="G258" s="29">
        <v>19.989999999999998</v>
      </c>
      <c r="H258" s="28" t="s">
        <v>2984</v>
      </c>
      <c r="I258" s="27" t="s">
        <v>82</v>
      </c>
      <c r="J258" s="31" t="s">
        <v>52</v>
      </c>
      <c r="K258" s="27" t="s">
        <v>196</v>
      </c>
      <c r="L258" s="27" t="s">
        <v>239</v>
      </c>
      <c r="M258" s="32" t="str">
        <f>HYPERLINK("http://slimages.macys.com/is/image/MCY/3685480 ")</f>
        <v xml:space="preserve">http://slimages.macys.com/is/image/MCY/3685480 </v>
      </c>
    </row>
    <row r="259" spans="1:13" ht="15.2" customHeight="1" x14ac:dyDescent="0.2">
      <c r="A259" s="26" t="s">
        <v>9695</v>
      </c>
      <c r="B259" s="27" t="s">
        <v>9696</v>
      </c>
      <c r="C259" s="28">
        <v>1</v>
      </c>
      <c r="D259" s="29">
        <v>6.96</v>
      </c>
      <c r="E259" s="29">
        <v>6.96</v>
      </c>
      <c r="F259" s="30">
        <v>14.99</v>
      </c>
      <c r="G259" s="29">
        <v>14.99</v>
      </c>
      <c r="H259" s="28" t="s">
        <v>9697</v>
      </c>
      <c r="I259" s="27" t="s">
        <v>4</v>
      </c>
      <c r="J259" s="31" t="s">
        <v>65</v>
      </c>
      <c r="K259" s="27" t="s">
        <v>159</v>
      </c>
      <c r="L259" s="27" t="s">
        <v>160</v>
      </c>
      <c r="M259" s="32" t="str">
        <f>HYPERLINK("http://slimages.macys.com/is/image/MCY/3598887 ")</f>
        <v xml:space="preserve">http://slimages.macys.com/is/image/MCY/3598887 </v>
      </c>
    </row>
    <row r="260" spans="1:13" ht="15.2" customHeight="1" x14ac:dyDescent="0.2">
      <c r="A260" s="26" t="s">
        <v>9447</v>
      </c>
      <c r="B260" s="27" t="s">
        <v>9448</v>
      </c>
      <c r="C260" s="28">
        <v>1</v>
      </c>
      <c r="D260" s="29">
        <v>6.75</v>
      </c>
      <c r="E260" s="29">
        <v>6.75</v>
      </c>
      <c r="F260" s="30">
        <v>16.989999999999998</v>
      </c>
      <c r="G260" s="29">
        <v>16.989999999999998</v>
      </c>
      <c r="H260" s="28">
        <v>60444529</v>
      </c>
      <c r="I260" s="27" t="s">
        <v>59</v>
      </c>
      <c r="J260" s="31" t="s">
        <v>52</v>
      </c>
      <c r="K260" s="27" t="s">
        <v>208</v>
      </c>
      <c r="L260" s="27" t="s">
        <v>255</v>
      </c>
      <c r="M260" s="32" t="str">
        <f>HYPERLINK("http://slimages.macys.com/is/image/MCY/3774063 ")</f>
        <v xml:space="preserve">http://slimages.macys.com/is/image/MCY/3774063 </v>
      </c>
    </row>
    <row r="261" spans="1:13" ht="15.2" customHeight="1" x14ac:dyDescent="0.2">
      <c r="A261" s="26" t="s">
        <v>8840</v>
      </c>
      <c r="B261" s="27" t="s">
        <v>7618</v>
      </c>
      <c r="C261" s="28">
        <v>1</v>
      </c>
      <c r="D261" s="29">
        <v>6.72</v>
      </c>
      <c r="E261" s="29">
        <v>6.72</v>
      </c>
      <c r="F261" s="30">
        <v>15.99</v>
      </c>
      <c r="G261" s="29">
        <v>15.99</v>
      </c>
      <c r="H261" s="28" t="s">
        <v>5144</v>
      </c>
      <c r="I261" s="27" t="s">
        <v>82</v>
      </c>
      <c r="J261" s="31" t="s">
        <v>40</v>
      </c>
      <c r="K261" s="27" t="s">
        <v>159</v>
      </c>
      <c r="L261" s="27" t="s">
        <v>160</v>
      </c>
      <c r="M261" s="32" t="str">
        <f>HYPERLINK("http://slimages.macys.com/is/image/MCY/3677454 ")</f>
        <v xml:space="preserve">http://slimages.macys.com/is/image/MCY/3677454 </v>
      </c>
    </row>
    <row r="262" spans="1:13" ht="15.2" customHeight="1" x14ac:dyDescent="0.2">
      <c r="A262" s="26" t="s">
        <v>9277</v>
      </c>
      <c r="B262" s="27" t="s">
        <v>9278</v>
      </c>
      <c r="C262" s="28">
        <v>1</v>
      </c>
      <c r="D262" s="29">
        <v>6.65</v>
      </c>
      <c r="E262" s="29">
        <v>6.65</v>
      </c>
      <c r="F262" s="30">
        <v>12.99</v>
      </c>
      <c r="G262" s="29">
        <v>12.99</v>
      </c>
      <c r="H262" s="28" t="s">
        <v>5471</v>
      </c>
      <c r="I262" s="27" t="s">
        <v>82</v>
      </c>
      <c r="J262" s="31" t="s">
        <v>7798</v>
      </c>
      <c r="K262" s="27" t="s">
        <v>282</v>
      </c>
      <c r="L262" s="27" t="s">
        <v>386</v>
      </c>
      <c r="M262" s="32" t="str">
        <f>HYPERLINK("http://slimages.macys.com/is/image/MCY/3687729 ")</f>
        <v xml:space="preserve">http://slimages.macys.com/is/image/MCY/3687729 </v>
      </c>
    </row>
    <row r="263" spans="1:13" ht="15.2" customHeight="1" x14ac:dyDescent="0.2">
      <c r="A263" s="26" t="s">
        <v>7116</v>
      </c>
      <c r="B263" s="27" t="s">
        <v>7117</v>
      </c>
      <c r="C263" s="28">
        <v>1</v>
      </c>
      <c r="D263" s="29">
        <v>6.5</v>
      </c>
      <c r="E263" s="29">
        <v>6.5</v>
      </c>
      <c r="F263" s="30">
        <v>12.99</v>
      </c>
      <c r="G263" s="29">
        <v>12.99</v>
      </c>
      <c r="H263" s="28" t="s">
        <v>5474</v>
      </c>
      <c r="I263" s="27" t="s">
        <v>189</v>
      </c>
      <c r="J263" s="31" t="s">
        <v>52</v>
      </c>
      <c r="K263" s="27" t="s">
        <v>282</v>
      </c>
      <c r="L263" s="27" t="s">
        <v>327</v>
      </c>
      <c r="M263" s="32" t="str">
        <f>HYPERLINK("http://slimages.macys.com/is/image/MCY/3773733 ")</f>
        <v xml:space="preserve">http://slimages.macys.com/is/image/MCY/3773733 </v>
      </c>
    </row>
    <row r="264" spans="1:13" ht="15.2" customHeight="1" x14ac:dyDescent="0.2">
      <c r="A264" s="26" t="s">
        <v>8051</v>
      </c>
      <c r="B264" s="27" t="s">
        <v>8052</v>
      </c>
      <c r="C264" s="28">
        <v>2</v>
      </c>
      <c r="D264" s="29">
        <v>6.5</v>
      </c>
      <c r="E264" s="29">
        <v>13</v>
      </c>
      <c r="F264" s="30">
        <v>12.99</v>
      </c>
      <c r="G264" s="29">
        <v>25.98</v>
      </c>
      <c r="H264" s="28" t="s">
        <v>5474</v>
      </c>
      <c r="I264" s="27" t="s">
        <v>189</v>
      </c>
      <c r="J264" s="31" t="s">
        <v>71</v>
      </c>
      <c r="K264" s="27" t="s">
        <v>282</v>
      </c>
      <c r="L264" s="27" t="s">
        <v>327</v>
      </c>
      <c r="M264" s="32" t="str">
        <f>HYPERLINK("http://slimages.macys.com/is/image/MCY/3773733 ")</f>
        <v xml:space="preserve">http://slimages.macys.com/is/image/MCY/3773733 </v>
      </c>
    </row>
    <row r="265" spans="1:13" ht="15.2" customHeight="1" x14ac:dyDescent="0.2">
      <c r="A265" s="26" t="s">
        <v>5472</v>
      </c>
      <c r="B265" s="27" t="s">
        <v>5473</v>
      </c>
      <c r="C265" s="28">
        <v>2</v>
      </c>
      <c r="D265" s="29">
        <v>6.5</v>
      </c>
      <c r="E265" s="29">
        <v>13</v>
      </c>
      <c r="F265" s="30">
        <v>12.99</v>
      </c>
      <c r="G265" s="29">
        <v>25.98</v>
      </c>
      <c r="H265" s="28" t="s">
        <v>5474</v>
      </c>
      <c r="I265" s="27" t="s">
        <v>189</v>
      </c>
      <c r="J265" s="31" t="s">
        <v>21</v>
      </c>
      <c r="K265" s="27" t="s">
        <v>282</v>
      </c>
      <c r="L265" s="27" t="s">
        <v>327</v>
      </c>
      <c r="M265" s="32" t="str">
        <f>HYPERLINK("http://slimages.macys.com/is/image/MCY/3773733 ")</f>
        <v xml:space="preserve">http://slimages.macys.com/is/image/MCY/3773733 </v>
      </c>
    </row>
    <row r="266" spans="1:13" ht="15.2" customHeight="1" x14ac:dyDescent="0.2">
      <c r="A266" s="26" t="s">
        <v>7792</v>
      </c>
      <c r="B266" s="27" t="s">
        <v>7793</v>
      </c>
      <c r="C266" s="28">
        <v>1</v>
      </c>
      <c r="D266" s="29">
        <v>6.5</v>
      </c>
      <c r="E266" s="29">
        <v>6.5</v>
      </c>
      <c r="F266" s="30">
        <v>12.99</v>
      </c>
      <c r="G266" s="29">
        <v>12.99</v>
      </c>
      <c r="H266" s="28" t="s">
        <v>5474</v>
      </c>
      <c r="I266" s="27" t="s">
        <v>189</v>
      </c>
      <c r="J266" s="31" t="s">
        <v>5</v>
      </c>
      <c r="K266" s="27" t="s">
        <v>282</v>
      </c>
      <c r="L266" s="27" t="s">
        <v>327</v>
      </c>
      <c r="M266" s="32" t="str">
        <f>HYPERLINK("http://slimages.macys.com/is/image/MCY/3773733 ")</f>
        <v xml:space="preserve">http://slimages.macys.com/is/image/MCY/3773733 </v>
      </c>
    </row>
    <row r="267" spans="1:13" ht="15.2" customHeight="1" x14ac:dyDescent="0.2">
      <c r="A267" s="26" t="s">
        <v>8053</v>
      </c>
      <c r="B267" s="27" t="s">
        <v>8054</v>
      </c>
      <c r="C267" s="28">
        <v>2</v>
      </c>
      <c r="D267" s="29">
        <v>6.5</v>
      </c>
      <c r="E267" s="29">
        <v>13</v>
      </c>
      <c r="F267" s="30">
        <v>12.99</v>
      </c>
      <c r="G267" s="29">
        <v>25.98</v>
      </c>
      <c r="H267" s="28" t="s">
        <v>5474</v>
      </c>
      <c r="I267" s="27" t="s">
        <v>189</v>
      </c>
      <c r="J267" s="31" t="s">
        <v>40</v>
      </c>
      <c r="K267" s="27" t="s">
        <v>282</v>
      </c>
      <c r="L267" s="27" t="s">
        <v>327</v>
      </c>
      <c r="M267" s="32" t="str">
        <f>HYPERLINK("http://slimages.macys.com/is/image/MCY/3773733 ")</f>
        <v xml:space="preserve">http://slimages.macys.com/is/image/MCY/3773733 </v>
      </c>
    </row>
    <row r="268" spans="1:13" ht="15.2" customHeight="1" x14ac:dyDescent="0.2">
      <c r="A268" s="26" t="s">
        <v>8703</v>
      </c>
      <c r="B268" s="27" t="s">
        <v>8704</v>
      </c>
      <c r="C268" s="28">
        <v>1</v>
      </c>
      <c r="D268" s="29">
        <v>6.5</v>
      </c>
      <c r="E268" s="29">
        <v>6.5</v>
      </c>
      <c r="F268" s="30">
        <v>12.99</v>
      </c>
      <c r="G268" s="29">
        <v>12.99</v>
      </c>
      <c r="H268" s="28" t="s">
        <v>7432</v>
      </c>
      <c r="I268" s="27" t="s">
        <v>82</v>
      </c>
      <c r="J268" s="31" t="s">
        <v>21</v>
      </c>
      <c r="K268" s="27" t="s">
        <v>282</v>
      </c>
      <c r="L268" s="27" t="s">
        <v>327</v>
      </c>
      <c r="M268" s="32" t="str">
        <f>HYPERLINK("http://slimages.macys.com/is/image/MCY/3652700 ")</f>
        <v xml:space="preserve">http://slimages.macys.com/is/image/MCY/3652700 </v>
      </c>
    </row>
    <row r="269" spans="1:13" ht="15.2" customHeight="1" x14ac:dyDescent="0.2">
      <c r="A269" s="26" t="s">
        <v>9698</v>
      </c>
      <c r="B269" s="27" t="s">
        <v>9699</v>
      </c>
      <c r="C269" s="28">
        <v>2</v>
      </c>
      <c r="D269" s="29">
        <v>6.5</v>
      </c>
      <c r="E269" s="29">
        <v>13</v>
      </c>
      <c r="F269" s="30">
        <v>12.99</v>
      </c>
      <c r="G269" s="29">
        <v>25.98</v>
      </c>
      <c r="H269" s="28" t="s">
        <v>1449</v>
      </c>
      <c r="I269" s="27" t="s">
        <v>82</v>
      </c>
      <c r="J269" s="31" t="s">
        <v>71</v>
      </c>
      <c r="K269" s="27" t="s">
        <v>282</v>
      </c>
      <c r="L269" s="27" t="s">
        <v>327</v>
      </c>
      <c r="M269" s="32" t="str">
        <f>HYPERLINK("http://slimages.macys.com/is/image/MCY/3773730 ")</f>
        <v xml:space="preserve">http://slimages.macys.com/is/image/MCY/3773730 </v>
      </c>
    </row>
    <row r="270" spans="1:13" ht="15.2" customHeight="1" x14ac:dyDescent="0.2">
      <c r="A270" s="26" t="s">
        <v>1922</v>
      </c>
      <c r="B270" s="27" t="s">
        <v>1923</v>
      </c>
      <c r="C270" s="28">
        <v>1</v>
      </c>
      <c r="D270" s="29">
        <v>6.35</v>
      </c>
      <c r="E270" s="29">
        <v>6.35</v>
      </c>
      <c r="F270" s="30">
        <v>13.99</v>
      </c>
      <c r="G270" s="29">
        <v>13.99</v>
      </c>
      <c r="H270" s="28" t="s">
        <v>1924</v>
      </c>
      <c r="I270" s="27" t="s">
        <v>343</v>
      </c>
      <c r="J270" s="31" t="s">
        <v>52</v>
      </c>
      <c r="K270" s="27" t="s">
        <v>282</v>
      </c>
      <c r="L270" s="27" t="s">
        <v>312</v>
      </c>
      <c r="M270" s="32" t="str">
        <f>HYPERLINK("http://slimages.macys.com/is/image/MCY/3845015 ")</f>
        <v xml:space="preserve">http://slimages.macys.com/is/image/MCY/3845015 </v>
      </c>
    </row>
    <row r="271" spans="1:13" ht="15.2" customHeight="1" x14ac:dyDescent="0.2">
      <c r="A271" s="26" t="s">
        <v>9700</v>
      </c>
      <c r="B271" s="27" t="s">
        <v>9701</v>
      </c>
      <c r="C271" s="28">
        <v>1</v>
      </c>
      <c r="D271" s="29">
        <v>6.35</v>
      </c>
      <c r="E271" s="29">
        <v>6.35</v>
      </c>
      <c r="F271" s="30">
        <v>13.99</v>
      </c>
      <c r="G271" s="29">
        <v>13.99</v>
      </c>
      <c r="H271" s="28" t="s">
        <v>1924</v>
      </c>
      <c r="I271" s="27" t="s">
        <v>343</v>
      </c>
      <c r="J271" s="31" t="s">
        <v>21</v>
      </c>
      <c r="K271" s="27" t="s">
        <v>282</v>
      </c>
      <c r="L271" s="27" t="s">
        <v>312</v>
      </c>
      <c r="M271" s="32" t="str">
        <f>HYPERLINK("http://slimages.macys.com/is/image/MCY/3845015 ")</f>
        <v xml:space="preserve">http://slimages.macys.com/is/image/MCY/3845015 </v>
      </c>
    </row>
    <row r="272" spans="1:13" ht="15.2" customHeight="1" x14ac:dyDescent="0.2">
      <c r="A272" s="26" t="s">
        <v>7794</v>
      </c>
      <c r="B272" s="27" t="s">
        <v>7795</v>
      </c>
      <c r="C272" s="28">
        <v>2</v>
      </c>
      <c r="D272" s="29">
        <v>6.35</v>
      </c>
      <c r="E272" s="29">
        <v>12.7</v>
      </c>
      <c r="F272" s="30">
        <v>13.99</v>
      </c>
      <c r="G272" s="29">
        <v>27.98</v>
      </c>
      <c r="H272" s="28" t="s">
        <v>1924</v>
      </c>
      <c r="I272" s="27" t="s">
        <v>343</v>
      </c>
      <c r="J272" s="31" t="s">
        <v>5</v>
      </c>
      <c r="K272" s="27" t="s">
        <v>282</v>
      </c>
      <c r="L272" s="27" t="s">
        <v>312</v>
      </c>
      <c r="M272" s="32" t="str">
        <f>HYPERLINK("http://slimages.macys.com/is/image/MCY/3845015 ")</f>
        <v xml:space="preserve">http://slimages.macys.com/is/image/MCY/3845015 </v>
      </c>
    </row>
    <row r="273" spans="1:13" ht="15.2" customHeight="1" x14ac:dyDescent="0.2">
      <c r="A273" s="26" t="s">
        <v>9454</v>
      </c>
      <c r="B273" s="27" t="s">
        <v>9455</v>
      </c>
      <c r="C273" s="28">
        <v>1</v>
      </c>
      <c r="D273" s="29">
        <v>6.3</v>
      </c>
      <c r="E273" s="29">
        <v>6.3</v>
      </c>
      <c r="F273" s="30">
        <v>16.989999999999998</v>
      </c>
      <c r="G273" s="29">
        <v>16.989999999999998</v>
      </c>
      <c r="H273" s="28" t="s">
        <v>7579</v>
      </c>
      <c r="I273" s="27" t="s">
        <v>4</v>
      </c>
      <c r="J273" s="31" t="s">
        <v>21</v>
      </c>
      <c r="K273" s="27" t="s">
        <v>159</v>
      </c>
      <c r="L273" s="27" t="s">
        <v>160</v>
      </c>
      <c r="M273" s="32" t="str">
        <f>HYPERLINK("http://slimages.macys.com/is/image/MCY/3623500 ")</f>
        <v xml:space="preserve">http://slimages.macys.com/is/image/MCY/3623500 </v>
      </c>
    </row>
    <row r="274" spans="1:13" ht="15.2" customHeight="1" x14ac:dyDescent="0.2">
      <c r="A274" s="26" t="s">
        <v>7577</v>
      </c>
      <c r="B274" s="27" t="s">
        <v>7578</v>
      </c>
      <c r="C274" s="28">
        <v>1</v>
      </c>
      <c r="D274" s="29">
        <v>6.3</v>
      </c>
      <c r="E274" s="29">
        <v>6.3</v>
      </c>
      <c r="F274" s="30">
        <v>16.989999999999998</v>
      </c>
      <c r="G274" s="29">
        <v>16.989999999999998</v>
      </c>
      <c r="H274" s="28" t="s">
        <v>7579</v>
      </c>
      <c r="I274" s="27" t="s">
        <v>4</v>
      </c>
      <c r="J274" s="31" t="s">
        <v>40</v>
      </c>
      <c r="K274" s="27" t="s">
        <v>159</v>
      </c>
      <c r="L274" s="27" t="s">
        <v>160</v>
      </c>
      <c r="M274" s="32" t="str">
        <f>HYPERLINK("http://slimages.macys.com/is/image/MCY/3623500 ")</f>
        <v xml:space="preserve">http://slimages.macys.com/is/image/MCY/3623500 </v>
      </c>
    </row>
    <row r="275" spans="1:13" ht="15.2" customHeight="1" x14ac:dyDescent="0.2">
      <c r="A275" s="26" t="s">
        <v>9702</v>
      </c>
      <c r="B275" s="27" t="s">
        <v>9703</v>
      </c>
      <c r="C275" s="28">
        <v>1</v>
      </c>
      <c r="D275" s="29">
        <v>6.25</v>
      </c>
      <c r="E275" s="29">
        <v>6.25</v>
      </c>
      <c r="F275" s="30">
        <v>16.989999999999998</v>
      </c>
      <c r="G275" s="29">
        <v>16.989999999999998</v>
      </c>
      <c r="H275" s="28" t="s">
        <v>4767</v>
      </c>
      <c r="I275" s="27" t="s">
        <v>94</v>
      </c>
      <c r="J275" s="31" t="s">
        <v>5</v>
      </c>
      <c r="K275" s="27" t="s">
        <v>196</v>
      </c>
      <c r="L275" s="27" t="s">
        <v>225</v>
      </c>
      <c r="M275" s="32" t="str">
        <f>HYPERLINK("http://slimages.macys.com/is/image/MCY/3721365 ")</f>
        <v xml:space="preserve">http://slimages.macys.com/is/image/MCY/3721365 </v>
      </c>
    </row>
    <row r="276" spans="1:13" ht="15.2" customHeight="1" x14ac:dyDescent="0.2">
      <c r="A276" s="26" t="s">
        <v>9704</v>
      </c>
      <c r="B276" s="27" t="s">
        <v>9705</v>
      </c>
      <c r="C276" s="28">
        <v>1</v>
      </c>
      <c r="D276" s="29">
        <v>6.25</v>
      </c>
      <c r="E276" s="29">
        <v>6.25</v>
      </c>
      <c r="F276" s="30">
        <v>12.99</v>
      </c>
      <c r="G276" s="29">
        <v>12.99</v>
      </c>
      <c r="H276" s="28" t="s">
        <v>8849</v>
      </c>
      <c r="I276" s="27" t="s">
        <v>4</v>
      </c>
      <c r="J276" s="31" t="s">
        <v>71</v>
      </c>
      <c r="K276" s="27" t="s">
        <v>282</v>
      </c>
      <c r="L276" s="27" t="s">
        <v>4494</v>
      </c>
      <c r="M276" s="32" t="str">
        <f>HYPERLINK("http://slimages.macys.com/is/image/MCY/3662944 ")</f>
        <v xml:space="preserve">http://slimages.macys.com/is/image/MCY/3662944 </v>
      </c>
    </row>
    <row r="277" spans="1:13" ht="15.2" customHeight="1" x14ac:dyDescent="0.2">
      <c r="A277" s="26" t="s">
        <v>8708</v>
      </c>
      <c r="B277" s="27" t="s">
        <v>8709</v>
      </c>
      <c r="C277" s="28">
        <v>1</v>
      </c>
      <c r="D277" s="29">
        <v>6.25</v>
      </c>
      <c r="E277" s="29">
        <v>6.25</v>
      </c>
      <c r="F277" s="30">
        <v>12.99</v>
      </c>
      <c r="G277" s="29">
        <v>12.99</v>
      </c>
      <c r="H277" s="28" t="s">
        <v>1470</v>
      </c>
      <c r="I277" s="27" t="s">
        <v>215</v>
      </c>
      <c r="J277" s="31" t="s">
        <v>21</v>
      </c>
      <c r="K277" s="27" t="s">
        <v>282</v>
      </c>
      <c r="L277" s="27" t="s">
        <v>283</v>
      </c>
      <c r="M277" s="32" t="str">
        <f>HYPERLINK("http://slimages.macys.com/is/image/MCY/3773406 ")</f>
        <v xml:space="preserve">http://slimages.macys.com/is/image/MCY/3773406 </v>
      </c>
    </row>
    <row r="278" spans="1:13" ht="15.2" customHeight="1" x14ac:dyDescent="0.2">
      <c r="A278" s="26" t="s">
        <v>8072</v>
      </c>
      <c r="B278" s="27" t="s">
        <v>8073</v>
      </c>
      <c r="C278" s="28">
        <v>1</v>
      </c>
      <c r="D278" s="29">
        <v>6.25</v>
      </c>
      <c r="E278" s="29">
        <v>6.25</v>
      </c>
      <c r="F278" s="30">
        <v>19.989999999999998</v>
      </c>
      <c r="G278" s="29">
        <v>19.989999999999998</v>
      </c>
      <c r="H278" s="28" t="s">
        <v>1471</v>
      </c>
      <c r="I278" s="27" t="s">
        <v>94</v>
      </c>
      <c r="J278" s="31" t="s">
        <v>21</v>
      </c>
      <c r="K278" s="27" t="s">
        <v>196</v>
      </c>
      <c r="L278" s="27" t="s">
        <v>239</v>
      </c>
      <c r="M278" s="32" t="str">
        <f>HYPERLINK("http://slimages.macys.com/is/image/MCY/3671543 ")</f>
        <v xml:space="preserve">http://slimages.macys.com/is/image/MCY/3671543 </v>
      </c>
    </row>
    <row r="279" spans="1:13" ht="15.2" customHeight="1" x14ac:dyDescent="0.2">
      <c r="A279" s="26" t="s">
        <v>9706</v>
      </c>
      <c r="B279" s="27" t="s">
        <v>9707</v>
      </c>
      <c r="C279" s="28">
        <v>1</v>
      </c>
      <c r="D279" s="29">
        <v>6.25</v>
      </c>
      <c r="E279" s="29">
        <v>6.25</v>
      </c>
      <c r="F279" s="30">
        <v>19.989999999999998</v>
      </c>
      <c r="G279" s="29">
        <v>19.989999999999998</v>
      </c>
      <c r="H279" s="28" t="s">
        <v>1471</v>
      </c>
      <c r="I279" s="27" t="s">
        <v>94</v>
      </c>
      <c r="J279" s="31" t="s">
        <v>40</v>
      </c>
      <c r="K279" s="27" t="s">
        <v>196</v>
      </c>
      <c r="L279" s="27" t="s">
        <v>239</v>
      </c>
      <c r="M279" s="32" t="str">
        <f>HYPERLINK("http://slimages.macys.com/is/image/MCY/3671543 ")</f>
        <v xml:space="preserve">http://slimages.macys.com/is/image/MCY/3671543 </v>
      </c>
    </row>
    <row r="280" spans="1:13" ht="15.2" customHeight="1" x14ac:dyDescent="0.2">
      <c r="A280" s="26" t="s">
        <v>8328</v>
      </c>
      <c r="B280" s="27" t="s">
        <v>8329</v>
      </c>
      <c r="C280" s="28">
        <v>1</v>
      </c>
      <c r="D280" s="29">
        <v>6.21</v>
      </c>
      <c r="E280" s="29">
        <v>6.21</v>
      </c>
      <c r="F280" s="30">
        <v>16.989999999999998</v>
      </c>
      <c r="G280" s="29">
        <v>16.989999999999998</v>
      </c>
      <c r="H280" s="28">
        <v>60450152</v>
      </c>
      <c r="I280" s="27" t="s">
        <v>4</v>
      </c>
      <c r="J280" s="31" t="s">
        <v>52</v>
      </c>
      <c r="K280" s="27" t="s">
        <v>208</v>
      </c>
      <c r="L280" s="27" t="s">
        <v>255</v>
      </c>
      <c r="M280" s="32" t="str">
        <f>HYPERLINK("http://slimages.macys.com/is/image/MCY/3940690 ")</f>
        <v xml:space="preserve">http://slimages.macys.com/is/image/MCY/3940690 </v>
      </c>
    </row>
    <row r="281" spans="1:13" ht="15.2" customHeight="1" x14ac:dyDescent="0.2">
      <c r="A281" s="26" t="s">
        <v>9708</v>
      </c>
      <c r="B281" s="27" t="s">
        <v>9709</v>
      </c>
      <c r="C281" s="28">
        <v>1</v>
      </c>
      <c r="D281" s="29">
        <v>6</v>
      </c>
      <c r="E281" s="29">
        <v>6</v>
      </c>
      <c r="F281" s="30">
        <v>12.99</v>
      </c>
      <c r="G281" s="29">
        <v>12.99</v>
      </c>
      <c r="H281" s="28" t="s">
        <v>9710</v>
      </c>
      <c r="I281" s="27" t="s">
        <v>82</v>
      </c>
      <c r="J281" s="31" t="s">
        <v>40</v>
      </c>
      <c r="K281" s="27" t="s">
        <v>282</v>
      </c>
      <c r="L281" s="27" t="s">
        <v>327</v>
      </c>
      <c r="M281" s="32" t="str">
        <f>HYPERLINK("http://slimages.macys.com/is/image/MCY/3794607 ")</f>
        <v xml:space="preserve">http://slimages.macys.com/is/image/MCY/3794607 </v>
      </c>
    </row>
    <row r="282" spans="1:13" ht="15.2" customHeight="1" x14ac:dyDescent="0.2">
      <c r="A282" s="26" t="s">
        <v>9711</v>
      </c>
      <c r="B282" s="27" t="s">
        <v>9712</v>
      </c>
      <c r="C282" s="28">
        <v>1</v>
      </c>
      <c r="D282" s="29">
        <v>6</v>
      </c>
      <c r="E282" s="29">
        <v>6</v>
      </c>
      <c r="F282" s="30">
        <v>12.99</v>
      </c>
      <c r="G282" s="29">
        <v>12.99</v>
      </c>
      <c r="H282" s="28" t="s">
        <v>8330</v>
      </c>
      <c r="I282" s="27"/>
      <c r="J282" s="31" t="s">
        <v>5</v>
      </c>
      <c r="K282" s="27" t="s">
        <v>282</v>
      </c>
      <c r="L282" s="27" t="s">
        <v>327</v>
      </c>
      <c r="M282" s="32" t="str">
        <f>HYPERLINK("http://slimages.macys.com/is/image/MCY/3687795 ")</f>
        <v xml:space="preserve">http://slimages.macys.com/is/image/MCY/3687795 </v>
      </c>
    </row>
    <row r="283" spans="1:13" ht="15.2" customHeight="1" x14ac:dyDescent="0.2">
      <c r="A283" s="26" t="s">
        <v>7804</v>
      </c>
      <c r="B283" s="27" t="s">
        <v>7805</v>
      </c>
      <c r="C283" s="28">
        <v>1</v>
      </c>
      <c r="D283" s="29">
        <v>6</v>
      </c>
      <c r="E283" s="29">
        <v>6</v>
      </c>
      <c r="F283" s="30">
        <v>12.99</v>
      </c>
      <c r="G283" s="29">
        <v>12.99</v>
      </c>
      <c r="H283" s="28" t="s">
        <v>1932</v>
      </c>
      <c r="I283" s="27" t="s">
        <v>144</v>
      </c>
      <c r="J283" s="31" t="s">
        <v>40</v>
      </c>
      <c r="K283" s="27" t="s">
        <v>282</v>
      </c>
      <c r="L283" s="27" t="s">
        <v>283</v>
      </c>
      <c r="M283" s="32" t="str">
        <f>HYPERLINK("http://slimages.macys.com/is/image/MCY/3924259 ")</f>
        <v xml:space="preserve">http://slimages.macys.com/is/image/MCY/3924259 </v>
      </c>
    </row>
    <row r="284" spans="1:13" ht="15.2" customHeight="1" x14ac:dyDescent="0.2">
      <c r="A284" s="26" t="s">
        <v>8420</v>
      </c>
      <c r="B284" s="27" t="s">
        <v>8421</v>
      </c>
      <c r="C284" s="28">
        <v>1</v>
      </c>
      <c r="D284" s="29">
        <v>6</v>
      </c>
      <c r="E284" s="29">
        <v>6</v>
      </c>
      <c r="F284" s="30">
        <v>12.99</v>
      </c>
      <c r="G284" s="29">
        <v>12.99</v>
      </c>
      <c r="H284" s="28" t="s">
        <v>3008</v>
      </c>
      <c r="I284" s="27"/>
      <c r="J284" s="31" t="s">
        <v>5</v>
      </c>
      <c r="K284" s="27" t="s">
        <v>282</v>
      </c>
      <c r="L284" s="27" t="s">
        <v>327</v>
      </c>
      <c r="M284" s="32" t="str">
        <f>HYPERLINK("http://slimages.macys.com/is/image/MCY/3773727 ")</f>
        <v xml:space="preserve">http://slimages.macys.com/is/image/MCY/3773727 </v>
      </c>
    </row>
    <row r="285" spans="1:13" ht="15.2" customHeight="1" x14ac:dyDescent="0.2">
      <c r="A285" s="26" t="s">
        <v>9713</v>
      </c>
      <c r="B285" s="27" t="s">
        <v>9714</v>
      </c>
      <c r="C285" s="28">
        <v>1</v>
      </c>
      <c r="D285" s="29">
        <v>6</v>
      </c>
      <c r="E285" s="29">
        <v>6</v>
      </c>
      <c r="F285" s="30">
        <v>12.99</v>
      </c>
      <c r="G285" s="29">
        <v>12.99</v>
      </c>
      <c r="H285" s="28" t="s">
        <v>9715</v>
      </c>
      <c r="I285" s="27"/>
      <c r="J285" s="31" t="s">
        <v>71</v>
      </c>
      <c r="K285" s="27" t="s">
        <v>282</v>
      </c>
      <c r="L285" s="27" t="s">
        <v>327</v>
      </c>
      <c r="M285" s="32" t="str">
        <f>HYPERLINK("http://slimages.macys.com/is/image/MCY/3468871 ")</f>
        <v xml:space="preserve">http://slimages.macys.com/is/image/MCY/3468871 </v>
      </c>
    </row>
    <row r="286" spans="1:13" ht="15.2" customHeight="1" x14ac:dyDescent="0.2">
      <c r="A286" s="26" t="s">
        <v>9716</v>
      </c>
      <c r="B286" s="27" t="s">
        <v>9717</v>
      </c>
      <c r="C286" s="28">
        <v>3</v>
      </c>
      <c r="D286" s="29">
        <v>6</v>
      </c>
      <c r="E286" s="29">
        <v>18</v>
      </c>
      <c r="F286" s="30">
        <v>12.99</v>
      </c>
      <c r="G286" s="29">
        <v>38.97</v>
      </c>
      <c r="H286" s="28" t="s">
        <v>8330</v>
      </c>
      <c r="I286" s="27"/>
      <c r="J286" s="31" t="s">
        <v>21</v>
      </c>
      <c r="K286" s="27" t="s">
        <v>282</v>
      </c>
      <c r="L286" s="27" t="s">
        <v>327</v>
      </c>
      <c r="M286" s="32" t="str">
        <f>HYPERLINK("http://slimages.macys.com/is/image/MCY/3687795 ")</f>
        <v xml:space="preserve">http://slimages.macys.com/is/image/MCY/3687795 </v>
      </c>
    </row>
    <row r="287" spans="1:13" ht="15.2" customHeight="1" x14ac:dyDescent="0.2">
      <c r="A287" s="26" t="s">
        <v>9718</v>
      </c>
      <c r="B287" s="27" t="s">
        <v>9719</v>
      </c>
      <c r="C287" s="28">
        <v>1</v>
      </c>
      <c r="D287" s="29">
        <v>6</v>
      </c>
      <c r="E287" s="29">
        <v>6</v>
      </c>
      <c r="F287" s="30">
        <v>12.99</v>
      </c>
      <c r="G287" s="29">
        <v>12.99</v>
      </c>
      <c r="H287" s="28" t="s">
        <v>8330</v>
      </c>
      <c r="I287" s="27"/>
      <c r="J287" s="31" t="s">
        <v>40</v>
      </c>
      <c r="K287" s="27" t="s">
        <v>282</v>
      </c>
      <c r="L287" s="27" t="s">
        <v>327</v>
      </c>
      <c r="M287" s="32" t="str">
        <f>HYPERLINK("http://slimages.macys.com/is/image/MCY/3687795 ")</f>
        <v xml:space="preserve">http://slimages.macys.com/is/image/MCY/3687795 </v>
      </c>
    </row>
    <row r="288" spans="1:13" ht="15.2" customHeight="1" x14ac:dyDescent="0.2">
      <c r="A288" s="26" t="s">
        <v>9720</v>
      </c>
      <c r="B288" s="27" t="s">
        <v>9721</v>
      </c>
      <c r="C288" s="28">
        <v>1</v>
      </c>
      <c r="D288" s="29">
        <v>5.95</v>
      </c>
      <c r="E288" s="29">
        <v>5.95</v>
      </c>
      <c r="F288" s="30">
        <v>12.99</v>
      </c>
      <c r="G288" s="29">
        <v>12.99</v>
      </c>
      <c r="H288" s="28" t="s">
        <v>9722</v>
      </c>
      <c r="I288" s="27" t="s">
        <v>1</v>
      </c>
      <c r="J288" s="31" t="s">
        <v>21</v>
      </c>
      <c r="K288" s="27" t="s">
        <v>282</v>
      </c>
      <c r="L288" s="27" t="s">
        <v>358</v>
      </c>
      <c r="M288" s="32" t="str">
        <f>HYPERLINK("http://slimages.macys.com/is/image/MCY/3671508 ")</f>
        <v xml:space="preserve">http://slimages.macys.com/is/image/MCY/3671508 </v>
      </c>
    </row>
    <row r="289" spans="1:13" ht="15.2" customHeight="1" x14ac:dyDescent="0.2">
      <c r="A289" s="26" t="s">
        <v>9723</v>
      </c>
      <c r="B289" s="27" t="s">
        <v>9724</v>
      </c>
      <c r="C289" s="28">
        <v>1</v>
      </c>
      <c r="D289" s="29">
        <v>5.95</v>
      </c>
      <c r="E289" s="29">
        <v>5.95</v>
      </c>
      <c r="F289" s="30">
        <v>12.99</v>
      </c>
      <c r="G289" s="29">
        <v>12.99</v>
      </c>
      <c r="H289" s="28" t="s">
        <v>9725</v>
      </c>
      <c r="I289" s="27" t="s">
        <v>59</v>
      </c>
      <c r="J289" s="31" t="s">
        <v>21</v>
      </c>
      <c r="K289" s="27" t="s">
        <v>282</v>
      </c>
      <c r="L289" s="27" t="s">
        <v>328</v>
      </c>
      <c r="M289" s="32" t="str">
        <f>HYPERLINK("http://slimages.macys.com/is/image/MCY/3583330 ")</f>
        <v xml:space="preserve">http://slimages.macys.com/is/image/MCY/3583330 </v>
      </c>
    </row>
    <row r="290" spans="1:13" ht="15.2" customHeight="1" x14ac:dyDescent="0.2">
      <c r="A290" s="26" t="s">
        <v>9456</v>
      </c>
      <c r="B290" s="27" t="s">
        <v>9457</v>
      </c>
      <c r="C290" s="28">
        <v>1</v>
      </c>
      <c r="D290" s="29">
        <v>5.95</v>
      </c>
      <c r="E290" s="29">
        <v>5.95</v>
      </c>
      <c r="F290" s="30">
        <v>12.99</v>
      </c>
      <c r="G290" s="29">
        <v>12.99</v>
      </c>
      <c r="H290" s="28" t="s">
        <v>6054</v>
      </c>
      <c r="I290" s="27" t="s">
        <v>82</v>
      </c>
      <c r="J290" s="31" t="s">
        <v>40</v>
      </c>
      <c r="K290" s="27" t="s">
        <v>282</v>
      </c>
      <c r="L290" s="27" t="s">
        <v>358</v>
      </c>
      <c r="M290" s="32" t="str">
        <f>HYPERLINK("http://slimages.macys.com/is/image/MCY/3773694 ")</f>
        <v xml:space="preserve">http://slimages.macys.com/is/image/MCY/3773694 </v>
      </c>
    </row>
    <row r="291" spans="1:13" ht="15.2" customHeight="1" x14ac:dyDescent="0.2">
      <c r="A291" s="26" t="s">
        <v>2391</v>
      </c>
      <c r="B291" s="27" t="s">
        <v>2392</v>
      </c>
      <c r="C291" s="28">
        <v>1</v>
      </c>
      <c r="D291" s="29">
        <v>5.95</v>
      </c>
      <c r="E291" s="29">
        <v>5.95</v>
      </c>
      <c r="F291" s="30">
        <v>12.99</v>
      </c>
      <c r="G291" s="29">
        <v>12.99</v>
      </c>
      <c r="H291" s="28" t="s">
        <v>2393</v>
      </c>
      <c r="I291" s="27" t="s">
        <v>333</v>
      </c>
      <c r="J291" s="31" t="s">
        <v>40</v>
      </c>
      <c r="K291" s="27" t="s">
        <v>282</v>
      </c>
      <c r="L291" s="27" t="s">
        <v>358</v>
      </c>
      <c r="M291" s="32" t="str">
        <f>HYPERLINK("http://slimages.macys.com/is/image/MCY/3704437 ")</f>
        <v xml:space="preserve">http://slimages.macys.com/is/image/MCY/3704437 </v>
      </c>
    </row>
    <row r="292" spans="1:13" ht="15.2" customHeight="1" x14ac:dyDescent="0.2">
      <c r="A292" s="26" t="s">
        <v>9726</v>
      </c>
      <c r="B292" s="27" t="s">
        <v>9727</v>
      </c>
      <c r="C292" s="28">
        <v>1</v>
      </c>
      <c r="D292" s="29">
        <v>5.95</v>
      </c>
      <c r="E292" s="29">
        <v>5.95</v>
      </c>
      <c r="F292" s="30">
        <v>12.99</v>
      </c>
      <c r="G292" s="29">
        <v>12.99</v>
      </c>
      <c r="H292" s="28" t="s">
        <v>8719</v>
      </c>
      <c r="I292" s="27" t="s">
        <v>36</v>
      </c>
      <c r="J292" s="31" t="s">
        <v>40</v>
      </c>
      <c r="K292" s="27" t="s">
        <v>282</v>
      </c>
      <c r="L292" s="27" t="s">
        <v>328</v>
      </c>
      <c r="M292" s="32" t="str">
        <f>HYPERLINK("http://slimages.macys.com/is/image/MCY/3593632 ")</f>
        <v xml:space="preserve">http://slimages.macys.com/is/image/MCY/3593632 </v>
      </c>
    </row>
    <row r="293" spans="1:13" ht="15.2" customHeight="1" x14ac:dyDescent="0.2">
      <c r="A293" s="26" t="s">
        <v>1517</v>
      </c>
      <c r="B293" s="27" t="s">
        <v>1518</v>
      </c>
      <c r="C293" s="28">
        <v>1</v>
      </c>
      <c r="D293" s="29">
        <v>5.95</v>
      </c>
      <c r="E293" s="29">
        <v>5.95</v>
      </c>
      <c r="F293" s="30">
        <v>12.99</v>
      </c>
      <c r="G293" s="29">
        <v>12.99</v>
      </c>
      <c r="H293" s="28" t="s">
        <v>1519</v>
      </c>
      <c r="I293" s="27" t="s">
        <v>82</v>
      </c>
      <c r="J293" s="31" t="s">
        <v>52</v>
      </c>
      <c r="K293" s="27" t="s">
        <v>282</v>
      </c>
      <c r="L293" s="27" t="s">
        <v>358</v>
      </c>
      <c r="M293" s="32" t="str">
        <f>HYPERLINK("http://slimages.macys.com/is/image/MCY/3773921 ")</f>
        <v xml:space="preserve">http://slimages.macys.com/is/image/MCY/3773921 </v>
      </c>
    </row>
    <row r="294" spans="1:13" ht="15.2" customHeight="1" x14ac:dyDescent="0.2">
      <c r="A294" s="26" t="s">
        <v>7438</v>
      </c>
      <c r="B294" s="27" t="s">
        <v>7439</v>
      </c>
      <c r="C294" s="28">
        <v>1</v>
      </c>
      <c r="D294" s="29">
        <v>5.95</v>
      </c>
      <c r="E294" s="29">
        <v>5.95</v>
      </c>
      <c r="F294" s="30">
        <v>12.99</v>
      </c>
      <c r="G294" s="29">
        <v>12.99</v>
      </c>
      <c r="H294" s="28" t="s">
        <v>6055</v>
      </c>
      <c r="I294" s="27" t="s">
        <v>94</v>
      </c>
      <c r="J294" s="31" t="s">
        <v>40</v>
      </c>
      <c r="K294" s="27" t="s">
        <v>282</v>
      </c>
      <c r="L294" s="27" t="s">
        <v>358</v>
      </c>
      <c r="M294" s="32" t="str">
        <f>HYPERLINK("http://slimages.macys.com/is/image/MCY/3773690 ")</f>
        <v xml:space="preserve">http://slimages.macys.com/is/image/MCY/3773690 </v>
      </c>
    </row>
    <row r="295" spans="1:13" ht="15.2" customHeight="1" x14ac:dyDescent="0.2">
      <c r="A295" s="26" t="s">
        <v>8717</v>
      </c>
      <c r="B295" s="27" t="s">
        <v>8718</v>
      </c>
      <c r="C295" s="28">
        <v>1</v>
      </c>
      <c r="D295" s="29">
        <v>5.95</v>
      </c>
      <c r="E295" s="29">
        <v>5.95</v>
      </c>
      <c r="F295" s="30">
        <v>12.99</v>
      </c>
      <c r="G295" s="29">
        <v>12.99</v>
      </c>
      <c r="H295" s="28" t="s">
        <v>8719</v>
      </c>
      <c r="I295" s="27" t="s">
        <v>36</v>
      </c>
      <c r="J295" s="31" t="s">
        <v>21</v>
      </c>
      <c r="K295" s="27" t="s">
        <v>282</v>
      </c>
      <c r="L295" s="27" t="s">
        <v>328</v>
      </c>
      <c r="M295" s="32" t="str">
        <f>HYPERLINK("http://slimages.macys.com/is/image/MCY/3593632 ")</f>
        <v xml:space="preserve">http://slimages.macys.com/is/image/MCY/3593632 </v>
      </c>
    </row>
    <row r="296" spans="1:13" ht="15.2" customHeight="1" x14ac:dyDescent="0.2">
      <c r="A296" s="26" t="s">
        <v>9728</v>
      </c>
      <c r="B296" s="27" t="s">
        <v>9729</v>
      </c>
      <c r="C296" s="28">
        <v>1</v>
      </c>
      <c r="D296" s="29">
        <v>5.85</v>
      </c>
      <c r="E296" s="29">
        <v>5.85</v>
      </c>
      <c r="F296" s="30">
        <v>13.99</v>
      </c>
      <c r="G296" s="29">
        <v>13.99</v>
      </c>
      <c r="H296" s="28" t="s">
        <v>1520</v>
      </c>
      <c r="I296" s="27" t="s">
        <v>144</v>
      </c>
      <c r="J296" s="31" t="s">
        <v>5</v>
      </c>
      <c r="K296" s="27" t="s">
        <v>282</v>
      </c>
      <c r="L296" s="27" t="s">
        <v>312</v>
      </c>
      <c r="M296" s="32" t="str">
        <f>HYPERLINK("http://slimages.macys.com/is/image/MCY/3787423 ")</f>
        <v xml:space="preserve">http://slimages.macys.com/is/image/MCY/3787423 </v>
      </c>
    </row>
    <row r="297" spans="1:13" ht="15.2" customHeight="1" x14ac:dyDescent="0.2">
      <c r="A297" s="26" t="s">
        <v>4234</v>
      </c>
      <c r="B297" s="27" t="s">
        <v>4235</v>
      </c>
      <c r="C297" s="28">
        <v>1</v>
      </c>
      <c r="D297" s="29">
        <v>5.75</v>
      </c>
      <c r="E297" s="29">
        <v>5.75</v>
      </c>
      <c r="F297" s="30">
        <v>12.99</v>
      </c>
      <c r="G297" s="29">
        <v>12.99</v>
      </c>
      <c r="H297" s="28" t="s">
        <v>1525</v>
      </c>
      <c r="I297" s="27" t="s">
        <v>59</v>
      </c>
      <c r="J297" s="31" t="s">
        <v>5</v>
      </c>
      <c r="K297" s="27" t="s">
        <v>282</v>
      </c>
      <c r="L297" s="27" t="s">
        <v>349</v>
      </c>
      <c r="M297" s="32" t="str">
        <f>HYPERLINK("http://slimages.macys.com/is/image/MCY/3787595 ")</f>
        <v xml:space="preserve">http://slimages.macys.com/is/image/MCY/3787595 </v>
      </c>
    </row>
    <row r="298" spans="1:13" ht="15.2" customHeight="1" x14ac:dyDescent="0.2">
      <c r="A298" s="26" t="s">
        <v>1523</v>
      </c>
      <c r="B298" s="27" t="s">
        <v>1524</v>
      </c>
      <c r="C298" s="28">
        <v>1</v>
      </c>
      <c r="D298" s="29">
        <v>5.75</v>
      </c>
      <c r="E298" s="29">
        <v>5.75</v>
      </c>
      <c r="F298" s="30">
        <v>12.99</v>
      </c>
      <c r="G298" s="29">
        <v>12.99</v>
      </c>
      <c r="H298" s="28" t="s">
        <v>1525</v>
      </c>
      <c r="I298" s="27" t="s">
        <v>59</v>
      </c>
      <c r="J298" s="31" t="s">
        <v>21</v>
      </c>
      <c r="K298" s="27" t="s">
        <v>282</v>
      </c>
      <c r="L298" s="27" t="s">
        <v>349</v>
      </c>
      <c r="M298" s="32" t="str">
        <f>HYPERLINK("http://slimages.macys.com/is/image/MCY/3787595 ")</f>
        <v xml:space="preserve">http://slimages.macys.com/is/image/MCY/3787595 </v>
      </c>
    </row>
    <row r="299" spans="1:13" ht="15.2" customHeight="1" x14ac:dyDescent="0.2">
      <c r="A299" s="26" t="s">
        <v>7808</v>
      </c>
      <c r="B299" s="27" t="s">
        <v>7809</v>
      </c>
      <c r="C299" s="28">
        <v>1</v>
      </c>
      <c r="D299" s="29">
        <v>5.75</v>
      </c>
      <c r="E299" s="29">
        <v>5.75</v>
      </c>
      <c r="F299" s="30">
        <v>12.99</v>
      </c>
      <c r="G299" s="29">
        <v>12.99</v>
      </c>
      <c r="H299" s="28" t="s">
        <v>913</v>
      </c>
      <c r="I299" s="27" t="s">
        <v>82</v>
      </c>
      <c r="J299" s="31" t="s">
        <v>52</v>
      </c>
      <c r="K299" s="27" t="s">
        <v>282</v>
      </c>
      <c r="L299" s="27" t="s">
        <v>349</v>
      </c>
      <c r="M299" s="32" t="str">
        <f>HYPERLINK("http://slimages.macys.com/is/image/MCY/3820333 ")</f>
        <v xml:space="preserve">http://slimages.macys.com/is/image/MCY/3820333 </v>
      </c>
    </row>
    <row r="300" spans="1:13" ht="15.2" customHeight="1" x14ac:dyDescent="0.2">
      <c r="A300" s="26" t="s">
        <v>9730</v>
      </c>
      <c r="B300" s="27" t="s">
        <v>9731</v>
      </c>
      <c r="C300" s="28">
        <v>1</v>
      </c>
      <c r="D300" s="29">
        <v>5.75</v>
      </c>
      <c r="E300" s="29">
        <v>5.75</v>
      </c>
      <c r="F300" s="30">
        <v>12.99</v>
      </c>
      <c r="G300" s="29">
        <v>12.99</v>
      </c>
      <c r="H300" s="28" t="s">
        <v>9732</v>
      </c>
      <c r="I300" s="27" t="s">
        <v>215</v>
      </c>
      <c r="J300" s="31" t="s">
        <v>40</v>
      </c>
      <c r="K300" s="27" t="s">
        <v>282</v>
      </c>
      <c r="L300" s="27" t="s">
        <v>312</v>
      </c>
      <c r="M300" s="32" t="str">
        <f>HYPERLINK("http://slimages.macys.com/is/image/MCY/3662938 ")</f>
        <v xml:space="preserve">http://slimages.macys.com/is/image/MCY/3662938 </v>
      </c>
    </row>
    <row r="301" spans="1:13" ht="15.2" customHeight="1" x14ac:dyDescent="0.2">
      <c r="A301" s="26" t="s">
        <v>9733</v>
      </c>
      <c r="B301" s="27" t="s">
        <v>9734</v>
      </c>
      <c r="C301" s="28">
        <v>1</v>
      </c>
      <c r="D301" s="29">
        <v>5.65</v>
      </c>
      <c r="E301" s="29">
        <v>5.65</v>
      </c>
      <c r="F301" s="30">
        <v>12.99</v>
      </c>
      <c r="G301" s="29">
        <v>12.99</v>
      </c>
      <c r="H301" s="28" t="s">
        <v>7452</v>
      </c>
      <c r="I301" s="27" t="s">
        <v>33</v>
      </c>
      <c r="J301" s="31" t="s">
        <v>40</v>
      </c>
      <c r="K301" s="27" t="s">
        <v>282</v>
      </c>
      <c r="L301" s="27" t="s">
        <v>393</v>
      </c>
      <c r="M301" s="32" t="str">
        <f>HYPERLINK("http://slimages.macys.com/is/image/MCY/3754951 ")</f>
        <v xml:space="preserve">http://slimages.macys.com/is/image/MCY/3754951 </v>
      </c>
    </row>
    <row r="302" spans="1:13" ht="15.2" customHeight="1" x14ac:dyDescent="0.2">
      <c r="A302" s="26" t="s">
        <v>8860</v>
      </c>
      <c r="B302" s="27" t="s">
        <v>8861</v>
      </c>
      <c r="C302" s="28">
        <v>1</v>
      </c>
      <c r="D302" s="29">
        <v>5.6</v>
      </c>
      <c r="E302" s="29">
        <v>5.6</v>
      </c>
      <c r="F302" s="30">
        <v>13.99</v>
      </c>
      <c r="G302" s="29">
        <v>13.99</v>
      </c>
      <c r="H302" s="28" t="s">
        <v>1542</v>
      </c>
      <c r="I302" s="27" t="s">
        <v>82</v>
      </c>
      <c r="J302" s="31" t="s">
        <v>40</v>
      </c>
      <c r="K302" s="27" t="s">
        <v>282</v>
      </c>
      <c r="L302" s="27" t="s">
        <v>260</v>
      </c>
      <c r="M302" s="32" t="str">
        <f>HYPERLINK("http://slimages.macys.com/is/image/MCY/3755619 ")</f>
        <v xml:space="preserve">http://slimages.macys.com/is/image/MCY/3755619 </v>
      </c>
    </row>
    <row r="303" spans="1:13" ht="15.2" customHeight="1" x14ac:dyDescent="0.2">
      <c r="A303" s="26" t="s">
        <v>9735</v>
      </c>
      <c r="B303" s="27" t="s">
        <v>9736</v>
      </c>
      <c r="C303" s="28">
        <v>1</v>
      </c>
      <c r="D303" s="29">
        <v>5.5</v>
      </c>
      <c r="E303" s="29">
        <v>5.5</v>
      </c>
      <c r="F303" s="30">
        <v>12.99</v>
      </c>
      <c r="G303" s="29">
        <v>12.99</v>
      </c>
      <c r="H303" s="28" t="s">
        <v>9737</v>
      </c>
      <c r="I303" s="27" t="s">
        <v>4</v>
      </c>
      <c r="J303" s="31" t="s">
        <v>40</v>
      </c>
      <c r="K303" s="27" t="s">
        <v>282</v>
      </c>
      <c r="L303" s="27" t="s">
        <v>349</v>
      </c>
      <c r="M303" s="32" t="str">
        <f>HYPERLINK("http://slimages.macys.com/is/image/MCY/3755118 ")</f>
        <v xml:space="preserve">http://slimages.macys.com/is/image/MCY/3755118 </v>
      </c>
    </row>
    <row r="304" spans="1:13" ht="15.2" customHeight="1" x14ac:dyDescent="0.2">
      <c r="A304" s="26" t="s">
        <v>9738</v>
      </c>
      <c r="B304" s="27" t="s">
        <v>9739</v>
      </c>
      <c r="C304" s="28">
        <v>1</v>
      </c>
      <c r="D304" s="29">
        <v>5.5</v>
      </c>
      <c r="E304" s="29">
        <v>5.5</v>
      </c>
      <c r="F304" s="30">
        <v>12.99</v>
      </c>
      <c r="G304" s="29">
        <v>12.99</v>
      </c>
      <c r="H304" s="28" t="s">
        <v>7812</v>
      </c>
      <c r="I304" s="27" t="s">
        <v>4</v>
      </c>
      <c r="J304" s="31" t="s">
        <v>52</v>
      </c>
      <c r="K304" s="27" t="s">
        <v>282</v>
      </c>
      <c r="L304" s="27" t="s">
        <v>349</v>
      </c>
      <c r="M304" s="32" t="str">
        <f>HYPERLINK("http://slimages.macys.com/is/image/MCY/3755097 ")</f>
        <v xml:space="preserve">http://slimages.macys.com/is/image/MCY/3755097 </v>
      </c>
    </row>
    <row r="305" spans="1:13" ht="15.2" customHeight="1" x14ac:dyDescent="0.2">
      <c r="A305" s="26" t="s">
        <v>9740</v>
      </c>
      <c r="B305" s="27" t="s">
        <v>9741</v>
      </c>
      <c r="C305" s="28">
        <v>1</v>
      </c>
      <c r="D305" s="29">
        <v>5.5</v>
      </c>
      <c r="E305" s="29">
        <v>5.5</v>
      </c>
      <c r="F305" s="30">
        <v>13.99</v>
      </c>
      <c r="G305" s="29">
        <v>13.99</v>
      </c>
      <c r="H305" s="28" t="s">
        <v>9742</v>
      </c>
      <c r="I305" s="27" t="s">
        <v>22</v>
      </c>
      <c r="J305" s="31" t="s">
        <v>760</v>
      </c>
      <c r="K305" s="27" t="s">
        <v>224</v>
      </c>
      <c r="L305" s="27" t="s">
        <v>325</v>
      </c>
      <c r="M305" s="32" t="str">
        <f>HYPERLINK("http://slimages.macys.com/is/image/MCY/3931116 ")</f>
        <v xml:space="preserve">http://slimages.macys.com/is/image/MCY/3931116 </v>
      </c>
    </row>
    <row r="306" spans="1:13" ht="15.2" customHeight="1" x14ac:dyDescent="0.2">
      <c r="A306" s="26" t="s">
        <v>9743</v>
      </c>
      <c r="B306" s="27" t="s">
        <v>9744</v>
      </c>
      <c r="C306" s="28">
        <v>1</v>
      </c>
      <c r="D306" s="29">
        <v>5.5</v>
      </c>
      <c r="E306" s="29">
        <v>5.5</v>
      </c>
      <c r="F306" s="30">
        <v>12.99</v>
      </c>
      <c r="G306" s="29">
        <v>12.99</v>
      </c>
      <c r="H306" s="28" t="s">
        <v>7812</v>
      </c>
      <c r="I306" s="27" t="s">
        <v>4</v>
      </c>
      <c r="J306" s="31" t="s">
        <v>40</v>
      </c>
      <c r="K306" s="27" t="s">
        <v>282</v>
      </c>
      <c r="L306" s="27" t="s">
        <v>349</v>
      </c>
      <c r="M306" s="32" t="str">
        <f>HYPERLINK("http://slimages.macys.com/is/image/MCY/3755097 ")</f>
        <v xml:space="preserve">http://slimages.macys.com/is/image/MCY/3755097 </v>
      </c>
    </row>
    <row r="307" spans="1:13" ht="15.2" customHeight="1" x14ac:dyDescent="0.2">
      <c r="A307" s="26" t="s">
        <v>9351</v>
      </c>
      <c r="B307" s="27" t="s">
        <v>9352</v>
      </c>
      <c r="C307" s="28">
        <v>1</v>
      </c>
      <c r="D307" s="29">
        <v>5.35</v>
      </c>
      <c r="E307" s="29">
        <v>5.35</v>
      </c>
      <c r="F307" s="30">
        <v>12.99</v>
      </c>
      <c r="G307" s="29">
        <v>12.99</v>
      </c>
      <c r="H307" s="28" t="s">
        <v>5175</v>
      </c>
      <c r="I307" s="27" t="s">
        <v>4</v>
      </c>
      <c r="J307" s="31" t="s">
        <v>21</v>
      </c>
      <c r="K307" s="27" t="s">
        <v>159</v>
      </c>
      <c r="L307" s="27" t="s">
        <v>160</v>
      </c>
      <c r="M307" s="32" t="str">
        <f>HYPERLINK("http://slimages.macys.com/is/image/MCY/3451733 ")</f>
        <v xml:space="preserve">http://slimages.macys.com/is/image/MCY/3451733 </v>
      </c>
    </row>
    <row r="308" spans="1:13" ht="15.2" customHeight="1" x14ac:dyDescent="0.2">
      <c r="A308" s="26" t="s">
        <v>9745</v>
      </c>
      <c r="B308" s="27" t="s">
        <v>9746</v>
      </c>
      <c r="C308" s="28">
        <v>1</v>
      </c>
      <c r="D308" s="29">
        <v>5.35</v>
      </c>
      <c r="E308" s="29">
        <v>5.35</v>
      </c>
      <c r="F308" s="30">
        <v>12.99</v>
      </c>
      <c r="G308" s="29">
        <v>12.99</v>
      </c>
      <c r="H308" s="28" t="s">
        <v>5172</v>
      </c>
      <c r="I308" s="27" t="s">
        <v>291</v>
      </c>
      <c r="J308" s="31" t="s">
        <v>172</v>
      </c>
      <c r="K308" s="27" t="s">
        <v>159</v>
      </c>
      <c r="L308" s="27" t="s">
        <v>160</v>
      </c>
      <c r="M308" s="32" t="str">
        <f>HYPERLINK("http://slimages.macys.com/is/image/MCY/3451733 ")</f>
        <v xml:space="preserve">http://slimages.macys.com/is/image/MCY/3451733 </v>
      </c>
    </row>
    <row r="309" spans="1:13" ht="15.2" customHeight="1" x14ac:dyDescent="0.2">
      <c r="A309" s="26" t="s">
        <v>8729</v>
      </c>
      <c r="B309" s="27" t="s">
        <v>8730</v>
      </c>
      <c r="C309" s="28">
        <v>1</v>
      </c>
      <c r="D309" s="29">
        <v>5.35</v>
      </c>
      <c r="E309" s="29">
        <v>5.35</v>
      </c>
      <c r="F309" s="30">
        <v>12.99</v>
      </c>
      <c r="G309" s="29">
        <v>12.99</v>
      </c>
      <c r="H309" s="28" t="s">
        <v>5172</v>
      </c>
      <c r="I309" s="27" t="s">
        <v>291</v>
      </c>
      <c r="J309" s="31" t="s">
        <v>40</v>
      </c>
      <c r="K309" s="27" t="s">
        <v>159</v>
      </c>
      <c r="L309" s="27" t="s">
        <v>160</v>
      </c>
      <c r="M309" s="32" t="str">
        <f>HYPERLINK("http://slimages.macys.com/is/image/MCY/3451733 ")</f>
        <v xml:space="preserve">http://slimages.macys.com/is/image/MCY/3451733 </v>
      </c>
    </row>
    <row r="310" spans="1:13" ht="15.2" customHeight="1" x14ac:dyDescent="0.2">
      <c r="A310" s="26" t="s">
        <v>8731</v>
      </c>
      <c r="B310" s="27" t="s">
        <v>8732</v>
      </c>
      <c r="C310" s="28">
        <v>2</v>
      </c>
      <c r="D310" s="29">
        <v>5.25</v>
      </c>
      <c r="E310" s="29">
        <v>10.5</v>
      </c>
      <c r="F310" s="30">
        <v>12.99</v>
      </c>
      <c r="G310" s="29">
        <v>25.98</v>
      </c>
      <c r="H310" s="28" t="s">
        <v>1581</v>
      </c>
      <c r="I310" s="27" t="s">
        <v>82</v>
      </c>
      <c r="J310" s="31" t="s">
        <v>52</v>
      </c>
      <c r="K310" s="27" t="s">
        <v>282</v>
      </c>
      <c r="L310" s="27" t="s">
        <v>358</v>
      </c>
      <c r="M310" s="32" t="str">
        <f>HYPERLINK("http://slimages.macys.com/is/image/MCY/3875976 ")</f>
        <v xml:space="preserve">http://slimages.macys.com/is/image/MCY/3875976 </v>
      </c>
    </row>
    <row r="311" spans="1:13" ht="15.2" customHeight="1" x14ac:dyDescent="0.2">
      <c r="A311" s="26" t="s">
        <v>2409</v>
      </c>
      <c r="B311" s="27" t="s">
        <v>2410</v>
      </c>
      <c r="C311" s="28">
        <v>1</v>
      </c>
      <c r="D311" s="29">
        <v>5.25</v>
      </c>
      <c r="E311" s="29">
        <v>5.25</v>
      </c>
      <c r="F311" s="30">
        <v>13.99</v>
      </c>
      <c r="G311" s="29">
        <v>13.99</v>
      </c>
      <c r="H311" s="28" t="s">
        <v>2408</v>
      </c>
      <c r="I311" s="27" t="s">
        <v>82</v>
      </c>
      <c r="J311" s="31" t="s">
        <v>40</v>
      </c>
      <c r="K311" s="27" t="s">
        <v>282</v>
      </c>
      <c r="L311" s="27" t="s">
        <v>325</v>
      </c>
      <c r="M311" s="32" t="str">
        <f>HYPERLINK("http://slimages.macys.com/is/image/MCY/3734901 ")</f>
        <v xml:space="preserve">http://slimages.macys.com/is/image/MCY/3734901 </v>
      </c>
    </row>
    <row r="312" spans="1:13" ht="15.2" customHeight="1" x14ac:dyDescent="0.2">
      <c r="A312" s="26" t="s">
        <v>1573</v>
      </c>
      <c r="B312" s="27" t="s">
        <v>1574</v>
      </c>
      <c r="C312" s="28">
        <v>1</v>
      </c>
      <c r="D312" s="29">
        <v>5.25</v>
      </c>
      <c r="E312" s="29">
        <v>5.25</v>
      </c>
      <c r="F312" s="30">
        <v>12.99</v>
      </c>
      <c r="G312" s="29">
        <v>12.99</v>
      </c>
      <c r="H312" s="28" t="s">
        <v>1575</v>
      </c>
      <c r="I312" s="27" t="s">
        <v>4</v>
      </c>
      <c r="J312" s="31" t="s">
        <v>21</v>
      </c>
      <c r="K312" s="27" t="s">
        <v>282</v>
      </c>
      <c r="L312" s="27" t="s">
        <v>358</v>
      </c>
      <c r="M312" s="32" t="str">
        <f>HYPERLINK("http://slimages.macys.com/is/image/MCY/3875978 ")</f>
        <v xml:space="preserve">http://slimages.macys.com/is/image/MCY/3875978 </v>
      </c>
    </row>
    <row r="313" spans="1:13" ht="15.2" customHeight="1" x14ac:dyDescent="0.2">
      <c r="A313" s="26" t="s">
        <v>451</v>
      </c>
      <c r="B313" s="27" t="s">
        <v>452</v>
      </c>
      <c r="C313" s="28">
        <v>1</v>
      </c>
      <c r="D313" s="29">
        <v>5.25</v>
      </c>
      <c r="E313" s="29">
        <v>5.25</v>
      </c>
      <c r="F313" s="30">
        <v>12.99</v>
      </c>
      <c r="G313" s="29">
        <v>12.99</v>
      </c>
      <c r="H313" s="28" t="s">
        <v>448</v>
      </c>
      <c r="I313" s="27" t="s">
        <v>82</v>
      </c>
      <c r="J313" s="31" t="s">
        <v>5</v>
      </c>
      <c r="K313" s="27" t="s">
        <v>282</v>
      </c>
      <c r="L313" s="27" t="s">
        <v>358</v>
      </c>
      <c r="M313" s="32" t="str">
        <f>HYPERLINK("http://slimages.macys.com/is/image/MCY/3875975 ")</f>
        <v xml:space="preserve">http://slimages.macys.com/is/image/MCY/3875975 </v>
      </c>
    </row>
    <row r="314" spans="1:13" ht="15.2" customHeight="1" x14ac:dyDescent="0.2">
      <c r="A314" s="26" t="s">
        <v>9464</v>
      </c>
      <c r="B314" s="27" t="s">
        <v>9465</v>
      </c>
      <c r="C314" s="28">
        <v>1</v>
      </c>
      <c r="D314" s="29">
        <v>5.25</v>
      </c>
      <c r="E314" s="29">
        <v>5.25</v>
      </c>
      <c r="F314" s="30">
        <v>12.99</v>
      </c>
      <c r="G314" s="29">
        <v>12.99</v>
      </c>
      <c r="H314" s="28" t="s">
        <v>8735</v>
      </c>
      <c r="I314" s="27" t="s">
        <v>75</v>
      </c>
      <c r="J314" s="31" t="s">
        <v>52</v>
      </c>
      <c r="K314" s="27" t="s">
        <v>282</v>
      </c>
      <c r="L314" s="27" t="s">
        <v>283</v>
      </c>
      <c r="M314" s="32" t="str">
        <f>HYPERLINK("http://slimages.macys.com/is/image/MCY/3623258 ")</f>
        <v xml:space="preserve">http://slimages.macys.com/is/image/MCY/3623258 </v>
      </c>
    </row>
    <row r="315" spans="1:13" ht="15.2" customHeight="1" x14ac:dyDescent="0.2">
      <c r="A315" s="26" t="s">
        <v>9747</v>
      </c>
      <c r="B315" s="27" t="s">
        <v>9748</v>
      </c>
      <c r="C315" s="28">
        <v>1</v>
      </c>
      <c r="D315" s="29">
        <v>5.25</v>
      </c>
      <c r="E315" s="29">
        <v>5.25</v>
      </c>
      <c r="F315" s="30">
        <v>12.99</v>
      </c>
      <c r="G315" s="29">
        <v>12.99</v>
      </c>
      <c r="H315" s="28" t="s">
        <v>8735</v>
      </c>
      <c r="I315" s="27" t="s">
        <v>75</v>
      </c>
      <c r="J315" s="31" t="s">
        <v>5</v>
      </c>
      <c r="K315" s="27" t="s">
        <v>282</v>
      </c>
      <c r="L315" s="27" t="s">
        <v>283</v>
      </c>
      <c r="M315" s="32" t="str">
        <f>HYPERLINK("http://slimages.macys.com/is/image/MCY/3623258 ")</f>
        <v xml:space="preserve">http://slimages.macys.com/is/image/MCY/3623258 </v>
      </c>
    </row>
    <row r="316" spans="1:13" ht="15.2" customHeight="1" x14ac:dyDescent="0.2">
      <c r="A316" s="26" t="s">
        <v>8332</v>
      </c>
      <c r="B316" s="27" t="s">
        <v>8333</v>
      </c>
      <c r="C316" s="28">
        <v>1</v>
      </c>
      <c r="D316" s="29">
        <v>5.25</v>
      </c>
      <c r="E316" s="29">
        <v>5.25</v>
      </c>
      <c r="F316" s="30">
        <v>12.99</v>
      </c>
      <c r="G316" s="29">
        <v>12.99</v>
      </c>
      <c r="H316" s="28" t="s">
        <v>1581</v>
      </c>
      <c r="I316" s="27" t="s">
        <v>82</v>
      </c>
      <c r="J316" s="31" t="s">
        <v>21</v>
      </c>
      <c r="K316" s="27" t="s">
        <v>282</v>
      </c>
      <c r="L316" s="27" t="s">
        <v>358</v>
      </c>
      <c r="M316" s="32" t="str">
        <f>HYPERLINK("http://slimages.macys.com/is/image/MCY/3875976 ")</f>
        <v xml:space="preserve">http://slimages.macys.com/is/image/MCY/3875976 </v>
      </c>
    </row>
    <row r="317" spans="1:13" ht="15.2" customHeight="1" x14ac:dyDescent="0.2">
      <c r="A317" s="26" t="s">
        <v>1950</v>
      </c>
      <c r="B317" s="27" t="s">
        <v>1951</v>
      </c>
      <c r="C317" s="28">
        <v>1</v>
      </c>
      <c r="D317" s="29">
        <v>5.25</v>
      </c>
      <c r="E317" s="29">
        <v>5.25</v>
      </c>
      <c r="F317" s="30">
        <v>12.99</v>
      </c>
      <c r="G317" s="29">
        <v>12.99</v>
      </c>
      <c r="H317" s="28" t="s">
        <v>1575</v>
      </c>
      <c r="I317" s="27" t="s">
        <v>4</v>
      </c>
      <c r="J317" s="31" t="s">
        <v>5</v>
      </c>
      <c r="K317" s="27" t="s">
        <v>282</v>
      </c>
      <c r="L317" s="27" t="s">
        <v>358</v>
      </c>
      <c r="M317" s="32" t="str">
        <f>HYPERLINK("http://slimages.macys.com/is/image/MCY/3875978 ")</f>
        <v xml:space="preserve">http://slimages.macys.com/is/image/MCY/3875978 </v>
      </c>
    </row>
    <row r="318" spans="1:13" ht="15.2" customHeight="1" x14ac:dyDescent="0.2">
      <c r="A318" s="26" t="s">
        <v>8862</v>
      </c>
      <c r="B318" s="27" t="s">
        <v>8863</v>
      </c>
      <c r="C318" s="28">
        <v>1</v>
      </c>
      <c r="D318" s="29">
        <v>5</v>
      </c>
      <c r="E318" s="29">
        <v>5</v>
      </c>
      <c r="F318" s="30">
        <v>13.99</v>
      </c>
      <c r="G318" s="29">
        <v>13.99</v>
      </c>
      <c r="H318" s="28" t="s">
        <v>2411</v>
      </c>
      <c r="I318" s="27" t="s">
        <v>82</v>
      </c>
      <c r="J318" s="31" t="s">
        <v>71</v>
      </c>
      <c r="K318" s="27" t="s">
        <v>282</v>
      </c>
      <c r="L318" s="27" t="s">
        <v>260</v>
      </c>
      <c r="M318" s="32" t="str">
        <f>HYPERLINK("http://slimages.macys.com/is/image/MCY/3363776 ")</f>
        <v xml:space="preserve">http://slimages.macys.com/is/image/MCY/3363776 </v>
      </c>
    </row>
    <row r="319" spans="1:13" ht="15.2" customHeight="1" x14ac:dyDescent="0.2">
      <c r="A319" s="26" t="s">
        <v>7591</v>
      </c>
      <c r="B319" s="27" t="s">
        <v>7592</v>
      </c>
      <c r="C319" s="28">
        <v>2</v>
      </c>
      <c r="D319" s="29">
        <v>4.5</v>
      </c>
      <c r="E319" s="29">
        <v>9</v>
      </c>
      <c r="F319" s="30">
        <v>12.99</v>
      </c>
      <c r="G319" s="29">
        <v>25.98</v>
      </c>
      <c r="H319" s="28" t="s">
        <v>5559</v>
      </c>
      <c r="I319" s="27" t="s">
        <v>59</v>
      </c>
      <c r="J319" s="31" t="s">
        <v>21</v>
      </c>
      <c r="K319" s="27" t="s">
        <v>282</v>
      </c>
      <c r="L319" s="27" t="s">
        <v>283</v>
      </c>
      <c r="M319" s="32" t="str">
        <f>HYPERLINK("http://slimages.macys.com/is/image/MCY/3875942 ")</f>
        <v xml:space="preserve">http://slimages.macys.com/is/image/MCY/3875942 </v>
      </c>
    </row>
    <row r="320" spans="1:13" ht="15.2" customHeight="1" x14ac:dyDescent="0.2">
      <c r="A320" s="26" t="s">
        <v>8738</v>
      </c>
      <c r="B320" s="27" t="s">
        <v>8739</v>
      </c>
      <c r="C320" s="28">
        <v>1</v>
      </c>
      <c r="D320" s="29">
        <v>4.5</v>
      </c>
      <c r="E320" s="29">
        <v>4.5</v>
      </c>
      <c r="F320" s="30">
        <v>12.99</v>
      </c>
      <c r="G320" s="29">
        <v>12.99</v>
      </c>
      <c r="H320" s="28" t="s">
        <v>1597</v>
      </c>
      <c r="I320" s="27" t="s">
        <v>244</v>
      </c>
      <c r="J320" s="31" t="s">
        <v>71</v>
      </c>
      <c r="K320" s="27" t="s">
        <v>282</v>
      </c>
      <c r="L320" s="27" t="s">
        <v>283</v>
      </c>
      <c r="M320" s="32" t="str">
        <f>HYPERLINK("http://slimages.macys.com/is/image/MCY/3875943 ")</f>
        <v xml:space="preserve">http://slimages.macys.com/is/image/MCY/3875943 </v>
      </c>
    </row>
    <row r="321" spans="1:13" ht="15.2" customHeight="1" x14ac:dyDescent="0.2">
      <c r="A321" s="26" t="s">
        <v>1595</v>
      </c>
      <c r="B321" s="27" t="s">
        <v>1596</v>
      </c>
      <c r="C321" s="28">
        <v>3</v>
      </c>
      <c r="D321" s="29">
        <v>4.5</v>
      </c>
      <c r="E321" s="29">
        <v>13.5</v>
      </c>
      <c r="F321" s="30">
        <v>12.99</v>
      </c>
      <c r="G321" s="29">
        <v>38.97</v>
      </c>
      <c r="H321" s="28" t="s">
        <v>1597</v>
      </c>
      <c r="I321" s="27" t="s">
        <v>244</v>
      </c>
      <c r="J321" s="31" t="s">
        <v>40</v>
      </c>
      <c r="K321" s="27" t="s">
        <v>282</v>
      </c>
      <c r="L321" s="27" t="s">
        <v>283</v>
      </c>
      <c r="M321" s="32" t="str">
        <f>HYPERLINK("http://slimages.macys.com/is/image/MCY/3875943 ")</f>
        <v xml:space="preserve">http://slimages.macys.com/is/image/MCY/3875943 </v>
      </c>
    </row>
    <row r="322" spans="1:13" ht="15.2" customHeight="1" x14ac:dyDescent="0.2">
      <c r="A322" s="26" t="s">
        <v>5493</v>
      </c>
      <c r="B322" s="27" t="s">
        <v>5494</v>
      </c>
      <c r="C322" s="28">
        <v>1</v>
      </c>
      <c r="D322" s="29">
        <v>4.5</v>
      </c>
      <c r="E322" s="29">
        <v>4.5</v>
      </c>
      <c r="F322" s="30">
        <v>12.99</v>
      </c>
      <c r="G322" s="29">
        <v>12.99</v>
      </c>
      <c r="H322" s="28" t="s">
        <v>5495</v>
      </c>
      <c r="I322" s="27" t="s">
        <v>8</v>
      </c>
      <c r="J322" s="31" t="s">
        <v>40</v>
      </c>
      <c r="K322" s="27" t="s">
        <v>282</v>
      </c>
      <c r="L322" s="27" t="s">
        <v>283</v>
      </c>
      <c r="M322" s="32" t="str">
        <f>HYPERLINK("http://slimages.macys.com/is/image/MCY/3875803 ")</f>
        <v xml:space="preserve">http://slimages.macys.com/is/image/MCY/3875803 </v>
      </c>
    </row>
    <row r="323" spans="1:13" ht="15.2" customHeight="1" x14ac:dyDescent="0.2">
      <c r="A323" s="26" t="s">
        <v>8865</v>
      </c>
      <c r="B323" s="27" t="s">
        <v>8866</v>
      </c>
      <c r="C323" s="28">
        <v>5</v>
      </c>
      <c r="D323" s="29">
        <v>4.5</v>
      </c>
      <c r="E323" s="29">
        <v>22.5</v>
      </c>
      <c r="F323" s="30">
        <v>12.99</v>
      </c>
      <c r="G323" s="29">
        <v>64.95</v>
      </c>
      <c r="H323" s="28" t="s">
        <v>1597</v>
      </c>
      <c r="I323" s="27" t="s">
        <v>244</v>
      </c>
      <c r="J323" s="31" t="s">
        <v>21</v>
      </c>
      <c r="K323" s="27" t="s">
        <v>282</v>
      </c>
      <c r="L323" s="27" t="s">
        <v>283</v>
      </c>
      <c r="M323" s="32" t="str">
        <f>HYPERLINK("http://slimages.macys.com/is/image/MCY/3875943 ")</f>
        <v xml:space="preserve">http://slimages.macys.com/is/image/MCY/3875943 </v>
      </c>
    </row>
    <row r="324" spans="1:13" ht="15.2" customHeight="1" x14ac:dyDescent="0.2">
      <c r="A324" s="26" t="s">
        <v>7461</v>
      </c>
      <c r="B324" s="27" t="s">
        <v>7462</v>
      </c>
      <c r="C324" s="28">
        <v>1</v>
      </c>
      <c r="D324" s="29">
        <v>4.5</v>
      </c>
      <c r="E324" s="29">
        <v>4.5</v>
      </c>
      <c r="F324" s="30">
        <v>12.99</v>
      </c>
      <c r="G324" s="29">
        <v>12.99</v>
      </c>
      <c r="H324" s="28" t="s">
        <v>5559</v>
      </c>
      <c r="I324" s="27" t="s">
        <v>59</v>
      </c>
      <c r="J324" s="31" t="s">
        <v>40</v>
      </c>
      <c r="K324" s="27" t="s">
        <v>282</v>
      </c>
      <c r="L324" s="27" t="s">
        <v>283</v>
      </c>
      <c r="M324" s="32" t="str">
        <f>HYPERLINK("http://slimages.macys.com/is/image/MCY/3875942 ")</f>
        <v xml:space="preserve">http://slimages.macys.com/is/image/MCY/3875942 </v>
      </c>
    </row>
    <row r="325" spans="1:13" ht="15.2" customHeight="1" x14ac:dyDescent="0.2">
      <c r="A325" s="26" t="s">
        <v>7459</v>
      </c>
      <c r="B325" s="27" t="s">
        <v>7460</v>
      </c>
      <c r="C325" s="28">
        <v>1</v>
      </c>
      <c r="D325" s="29">
        <v>4.5</v>
      </c>
      <c r="E325" s="29">
        <v>4.5</v>
      </c>
      <c r="F325" s="30">
        <v>12.99</v>
      </c>
      <c r="G325" s="29">
        <v>12.99</v>
      </c>
      <c r="H325" s="28" t="s">
        <v>1594</v>
      </c>
      <c r="I325" s="27" t="s">
        <v>4</v>
      </c>
      <c r="J325" s="31" t="s">
        <v>71</v>
      </c>
      <c r="K325" s="27" t="s">
        <v>282</v>
      </c>
      <c r="L325" s="27" t="s">
        <v>283</v>
      </c>
      <c r="M325" s="32" t="str">
        <f>HYPERLINK("http://slimages.macys.com/is/image/MCY/3927796 ")</f>
        <v xml:space="preserve">http://slimages.macys.com/is/image/MCY/3927796 </v>
      </c>
    </row>
    <row r="326" spans="1:13" ht="15.2" customHeight="1" x14ac:dyDescent="0.2">
      <c r="A326" s="26" t="s">
        <v>8488</v>
      </c>
      <c r="B326" s="27" t="s">
        <v>8489</v>
      </c>
      <c r="C326" s="28">
        <v>2</v>
      </c>
      <c r="D326" s="29">
        <v>4.5</v>
      </c>
      <c r="E326" s="29">
        <v>9</v>
      </c>
      <c r="F326" s="30">
        <v>12.99</v>
      </c>
      <c r="G326" s="29">
        <v>25.98</v>
      </c>
      <c r="H326" s="28" t="s">
        <v>1597</v>
      </c>
      <c r="I326" s="27" t="s">
        <v>244</v>
      </c>
      <c r="J326" s="31" t="s">
        <v>5</v>
      </c>
      <c r="K326" s="27" t="s">
        <v>282</v>
      </c>
      <c r="L326" s="27" t="s">
        <v>283</v>
      </c>
      <c r="M326" s="32" t="str">
        <f>HYPERLINK("http://slimages.macys.com/is/image/MCY/3875943 ")</f>
        <v xml:space="preserve">http://slimages.macys.com/is/image/MCY/3875943 </v>
      </c>
    </row>
    <row r="327" spans="1:13" ht="15.2" customHeight="1" x14ac:dyDescent="0.2">
      <c r="A327" s="26" t="s">
        <v>9749</v>
      </c>
      <c r="B327" s="27" t="s">
        <v>9750</v>
      </c>
      <c r="C327" s="28">
        <v>2</v>
      </c>
      <c r="D327" s="29">
        <v>4</v>
      </c>
      <c r="E327" s="29">
        <v>8</v>
      </c>
      <c r="F327" s="30">
        <v>12.99</v>
      </c>
      <c r="G327" s="29">
        <v>25.98</v>
      </c>
      <c r="H327" s="28" t="s">
        <v>1598</v>
      </c>
      <c r="I327" s="27" t="s">
        <v>10</v>
      </c>
      <c r="J327" s="31" t="s">
        <v>71</v>
      </c>
      <c r="K327" s="27" t="s">
        <v>200</v>
      </c>
      <c r="L327" s="27" t="s">
        <v>260</v>
      </c>
      <c r="M327" s="32" t="str">
        <f>HYPERLINK("http://slimages.macys.com/is/image/MCY/3625071 ")</f>
        <v xml:space="preserve">http://slimages.macys.com/is/image/MCY/3625071 </v>
      </c>
    </row>
    <row r="328" spans="1:13" ht="15.2" customHeight="1" x14ac:dyDescent="0.2">
      <c r="A328" s="26" t="s">
        <v>9751</v>
      </c>
      <c r="B328" s="27" t="s">
        <v>9752</v>
      </c>
      <c r="C328" s="28">
        <v>1</v>
      </c>
      <c r="D328" s="29">
        <v>4</v>
      </c>
      <c r="E328" s="29">
        <v>4</v>
      </c>
      <c r="F328" s="30">
        <v>12.99</v>
      </c>
      <c r="G328" s="29">
        <v>12.99</v>
      </c>
      <c r="H328" s="28" t="s">
        <v>1598</v>
      </c>
      <c r="I328" s="27" t="s">
        <v>10</v>
      </c>
      <c r="J328" s="31" t="s">
        <v>21</v>
      </c>
      <c r="K328" s="27" t="s">
        <v>200</v>
      </c>
      <c r="L328" s="27" t="s">
        <v>260</v>
      </c>
      <c r="M328" s="32" t="str">
        <f>HYPERLINK("http://slimages.macys.com/is/image/MCY/3625071 ")</f>
        <v xml:space="preserve">http://slimages.macys.com/is/image/MCY/3625071 </v>
      </c>
    </row>
    <row r="329" spans="1:13" ht="15.2" customHeight="1" x14ac:dyDescent="0.2">
      <c r="A329" s="26" t="s">
        <v>9753</v>
      </c>
      <c r="B329" s="27" t="s">
        <v>9754</v>
      </c>
      <c r="C329" s="28">
        <v>1</v>
      </c>
      <c r="D329" s="29">
        <v>4</v>
      </c>
      <c r="E329" s="29">
        <v>4</v>
      </c>
      <c r="F329" s="30">
        <v>12.99</v>
      </c>
      <c r="G329" s="29">
        <v>12.99</v>
      </c>
      <c r="H329" s="28" t="s">
        <v>1598</v>
      </c>
      <c r="I329" s="27" t="s">
        <v>36</v>
      </c>
      <c r="J329" s="31" t="s">
        <v>52</v>
      </c>
      <c r="K329" s="27" t="s">
        <v>200</v>
      </c>
      <c r="L329" s="27" t="s">
        <v>260</v>
      </c>
      <c r="M329" s="32" t="str">
        <f>HYPERLINK("http://slimages.macys.com/is/image/MCY/3625071 ")</f>
        <v xml:space="preserve">http://slimages.macys.com/is/image/MCY/3625071 </v>
      </c>
    </row>
    <row r="330" spans="1:13" ht="15.2" customHeight="1" x14ac:dyDescent="0.2">
      <c r="A330" s="26" t="s">
        <v>9755</v>
      </c>
      <c r="B330" s="27" t="s">
        <v>9756</v>
      </c>
      <c r="C330" s="28">
        <v>1</v>
      </c>
      <c r="D330" s="29">
        <v>4</v>
      </c>
      <c r="E330" s="29">
        <v>4</v>
      </c>
      <c r="F330" s="30">
        <v>12.99</v>
      </c>
      <c r="G330" s="29">
        <v>12.99</v>
      </c>
      <c r="H330" s="28" t="s">
        <v>1598</v>
      </c>
      <c r="I330" s="27" t="s">
        <v>10</v>
      </c>
      <c r="J330" s="31" t="s">
        <v>5</v>
      </c>
      <c r="K330" s="27" t="s">
        <v>200</v>
      </c>
      <c r="L330" s="27" t="s">
        <v>260</v>
      </c>
      <c r="M330" s="32" t="str">
        <f>HYPERLINK("http://slimages.macys.com/is/image/MCY/3625071 ")</f>
        <v xml:space="preserve">http://slimages.macys.com/is/image/MCY/3625071 </v>
      </c>
    </row>
    <row r="331" spans="1:13" ht="15.2" customHeight="1" x14ac:dyDescent="0.2">
      <c r="A331" s="26" t="s">
        <v>4377</v>
      </c>
      <c r="B331" s="27" t="s">
        <v>4378</v>
      </c>
      <c r="C331" s="28">
        <v>1</v>
      </c>
      <c r="D331" s="29">
        <v>4</v>
      </c>
      <c r="E331" s="29">
        <v>4</v>
      </c>
      <c r="F331" s="30">
        <v>12.99</v>
      </c>
      <c r="G331" s="29">
        <v>12.99</v>
      </c>
      <c r="H331" s="28" t="s">
        <v>1598</v>
      </c>
      <c r="I331" s="27" t="s">
        <v>189</v>
      </c>
      <c r="J331" s="31" t="s">
        <v>5</v>
      </c>
      <c r="K331" s="27" t="s">
        <v>200</v>
      </c>
      <c r="L331" s="27" t="s">
        <v>260</v>
      </c>
      <c r="M331" s="32" t="str">
        <f>HYPERLINK("http://slimages.macys.com/is/image/MCY/3625071 ")</f>
        <v xml:space="preserve">http://slimages.macys.com/is/image/MCY/3625071 </v>
      </c>
    </row>
    <row r="332" spans="1:13" ht="15.2" customHeight="1" x14ac:dyDescent="0.2">
      <c r="A332" s="26" t="s">
        <v>7817</v>
      </c>
      <c r="B332" s="27" t="s">
        <v>7818</v>
      </c>
      <c r="C332" s="28">
        <v>1</v>
      </c>
      <c r="D332" s="29">
        <v>3.72</v>
      </c>
      <c r="E332" s="29">
        <v>3.72</v>
      </c>
      <c r="F332" s="30">
        <v>7.99</v>
      </c>
      <c r="G332" s="29">
        <v>7.99</v>
      </c>
      <c r="H332" s="28" t="s">
        <v>459</v>
      </c>
      <c r="I332" s="27" t="s">
        <v>39</v>
      </c>
      <c r="J332" s="31" t="s">
        <v>52</v>
      </c>
      <c r="K332" s="27" t="s">
        <v>282</v>
      </c>
      <c r="L332" s="27" t="s">
        <v>325</v>
      </c>
      <c r="M332" s="32" t="str">
        <f>HYPERLINK("http://slimages.macys.com/is/image/MCY/3609979 ")</f>
        <v xml:space="preserve">http://slimages.macys.com/is/image/MCY/3609979 </v>
      </c>
    </row>
    <row r="333" spans="1:13" ht="15.2" customHeight="1" x14ac:dyDescent="0.2">
      <c r="A333" s="26" t="s">
        <v>6269</v>
      </c>
      <c r="B333" s="27" t="s">
        <v>6270</v>
      </c>
      <c r="C333" s="28">
        <v>1</v>
      </c>
      <c r="D333" s="29">
        <v>3.72</v>
      </c>
      <c r="E333" s="29">
        <v>3.72</v>
      </c>
      <c r="F333" s="30">
        <v>7.99</v>
      </c>
      <c r="G333" s="29">
        <v>7.99</v>
      </c>
      <c r="H333" s="28" t="s">
        <v>459</v>
      </c>
      <c r="I333" s="27" t="s">
        <v>39</v>
      </c>
      <c r="J333" s="31" t="s">
        <v>5</v>
      </c>
      <c r="K333" s="27" t="s">
        <v>282</v>
      </c>
      <c r="L333" s="27" t="s">
        <v>325</v>
      </c>
      <c r="M333" s="32" t="str">
        <f>HYPERLINK("http://slimages.macys.com/is/image/MCY/3609979 ")</f>
        <v xml:space="preserve">http://slimages.macys.com/is/image/MCY/3609979 </v>
      </c>
    </row>
    <row r="334" spans="1:13" ht="15.2" customHeight="1" x14ac:dyDescent="0.2">
      <c r="A334" s="26" t="s">
        <v>9757</v>
      </c>
      <c r="B334" s="27" t="s">
        <v>9758</v>
      </c>
      <c r="C334" s="28">
        <v>1</v>
      </c>
      <c r="D334" s="29">
        <v>3.45</v>
      </c>
      <c r="E334" s="29">
        <v>3.45</v>
      </c>
      <c r="F334" s="30">
        <v>7.99</v>
      </c>
      <c r="G334" s="29">
        <v>7.99</v>
      </c>
      <c r="H334" s="28">
        <v>60423445</v>
      </c>
      <c r="I334" s="27" t="s">
        <v>383</v>
      </c>
      <c r="J334" s="31" t="s">
        <v>21</v>
      </c>
      <c r="K334" s="27" t="s">
        <v>282</v>
      </c>
      <c r="L334" s="27" t="s">
        <v>255</v>
      </c>
      <c r="M334" s="32" t="str">
        <f>HYPERLINK("http://slimages.macys.com/is/image/MCY/3663800 ")</f>
        <v xml:space="preserve">http://slimages.macys.com/is/image/MCY/3663800 </v>
      </c>
    </row>
    <row r="335" spans="1:13" ht="15.2" customHeight="1" x14ac:dyDescent="0.2">
      <c r="A335" s="26" t="s">
        <v>9759</v>
      </c>
      <c r="B335" s="27" t="s">
        <v>9760</v>
      </c>
      <c r="C335" s="28">
        <v>1</v>
      </c>
      <c r="D335" s="29">
        <v>27.65</v>
      </c>
      <c r="E335" s="29">
        <v>27.65</v>
      </c>
      <c r="F335" s="30">
        <v>79</v>
      </c>
      <c r="G335" s="29">
        <v>79</v>
      </c>
      <c r="H335" s="28" t="s">
        <v>9761</v>
      </c>
      <c r="I335" s="27" t="s">
        <v>144</v>
      </c>
      <c r="J335" s="31" t="s">
        <v>5</v>
      </c>
      <c r="K335" s="27" t="s">
        <v>37</v>
      </c>
      <c r="L335" s="27" t="s">
        <v>38</v>
      </c>
      <c r="M335" s="32"/>
    </row>
    <row r="336" spans="1:13" ht="15.2" customHeight="1" x14ac:dyDescent="0.2">
      <c r="A336" s="26" t="s">
        <v>9762</v>
      </c>
      <c r="B336" s="27" t="s">
        <v>9760</v>
      </c>
      <c r="C336" s="28">
        <v>1</v>
      </c>
      <c r="D336" s="29">
        <v>27.65</v>
      </c>
      <c r="E336" s="29">
        <v>27.65</v>
      </c>
      <c r="F336" s="30">
        <v>79</v>
      </c>
      <c r="G336" s="29">
        <v>79</v>
      </c>
      <c r="H336" s="28" t="s">
        <v>9761</v>
      </c>
      <c r="I336" s="27" t="s">
        <v>144</v>
      </c>
      <c r="J336" s="31" t="s">
        <v>172</v>
      </c>
      <c r="K336" s="27" t="s">
        <v>37</v>
      </c>
      <c r="L336" s="27" t="s">
        <v>38</v>
      </c>
      <c r="M336" s="32"/>
    </row>
    <row r="337" spans="1:13" ht="15.2" customHeight="1" x14ac:dyDescent="0.2">
      <c r="A337" s="26" t="s">
        <v>7599</v>
      </c>
      <c r="B337" s="27" t="s">
        <v>7600</v>
      </c>
      <c r="C337" s="28">
        <v>1</v>
      </c>
      <c r="D337" s="29">
        <v>27</v>
      </c>
      <c r="E337" s="29">
        <v>27</v>
      </c>
      <c r="F337" s="30">
        <v>69.5</v>
      </c>
      <c r="G337" s="29">
        <v>69.5</v>
      </c>
      <c r="H337" s="28" t="s">
        <v>1984</v>
      </c>
      <c r="I337" s="27" t="s">
        <v>33</v>
      </c>
      <c r="J337" s="31" t="s">
        <v>71</v>
      </c>
      <c r="K337" s="27" t="s">
        <v>17</v>
      </c>
      <c r="L337" s="27" t="s">
        <v>18</v>
      </c>
      <c r="M337" s="32"/>
    </row>
    <row r="338" spans="1:13" ht="15.2" customHeight="1" x14ac:dyDescent="0.2">
      <c r="A338" s="26" t="s">
        <v>9763</v>
      </c>
      <c r="B338" s="27" t="s">
        <v>9764</v>
      </c>
      <c r="C338" s="28">
        <v>1</v>
      </c>
      <c r="D338" s="29">
        <v>26</v>
      </c>
      <c r="E338" s="29">
        <v>26</v>
      </c>
      <c r="F338" s="30">
        <v>79</v>
      </c>
      <c r="G338" s="29">
        <v>79</v>
      </c>
      <c r="H338" s="28" t="s">
        <v>467</v>
      </c>
      <c r="I338" s="27" t="s">
        <v>468</v>
      </c>
      <c r="J338" s="31" t="s">
        <v>234</v>
      </c>
      <c r="K338" s="27" t="s">
        <v>24</v>
      </c>
      <c r="L338" s="27" t="s">
        <v>25</v>
      </c>
      <c r="M338" s="32"/>
    </row>
    <row r="339" spans="1:13" ht="15.2" customHeight="1" x14ac:dyDescent="0.2">
      <c r="A339" s="26" t="s">
        <v>469</v>
      </c>
      <c r="B339" s="27" t="s">
        <v>470</v>
      </c>
      <c r="C339" s="28">
        <v>1</v>
      </c>
      <c r="D339" s="29">
        <v>26</v>
      </c>
      <c r="E339" s="29">
        <v>26</v>
      </c>
      <c r="F339" s="30">
        <v>79</v>
      </c>
      <c r="G339" s="29">
        <v>79</v>
      </c>
      <c r="H339" s="28" t="s">
        <v>467</v>
      </c>
      <c r="I339" s="27" t="s">
        <v>468</v>
      </c>
      <c r="J339" s="31" t="s">
        <v>216</v>
      </c>
      <c r="K339" s="27" t="s">
        <v>24</v>
      </c>
      <c r="L339" s="27" t="s">
        <v>25</v>
      </c>
      <c r="M339" s="32"/>
    </row>
    <row r="340" spans="1:13" ht="15.2" customHeight="1" x14ac:dyDescent="0.2">
      <c r="A340" s="26" t="s">
        <v>9765</v>
      </c>
      <c r="B340" s="27" t="s">
        <v>9766</v>
      </c>
      <c r="C340" s="28">
        <v>1</v>
      </c>
      <c r="D340" s="29">
        <v>17.5</v>
      </c>
      <c r="E340" s="29">
        <v>17.5</v>
      </c>
      <c r="F340" s="30">
        <v>44.99</v>
      </c>
      <c r="G340" s="29">
        <v>44.99</v>
      </c>
      <c r="H340" s="28" t="s">
        <v>5233</v>
      </c>
      <c r="I340" s="27" t="s">
        <v>59</v>
      </c>
      <c r="J340" s="31" t="s">
        <v>21</v>
      </c>
      <c r="K340" s="27" t="s">
        <v>70</v>
      </c>
      <c r="L340" s="27" t="s">
        <v>101</v>
      </c>
      <c r="M340" s="32"/>
    </row>
    <row r="341" spans="1:13" ht="15.2" customHeight="1" x14ac:dyDescent="0.2">
      <c r="A341" s="26" t="s">
        <v>3078</v>
      </c>
      <c r="B341" s="27" t="s">
        <v>2468</v>
      </c>
      <c r="C341" s="28">
        <v>1</v>
      </c>
      <c r="D341" s="29">
        <v>13.5</v>
      </c>
      <c r="E341" s="29">
        <v>13.5</v>
      </c>
      <c r="F341" s="30">
        <v>29.99</v>
      </c>
      <c r="G341" s="29">
        <v>29.99</v>
      </c>
      <c r="H341" s="28" t="s">
        <v>1190</v>
      </c>
      <c r="I341" s="27" t="s">
        <v>690</v>
      </c>
      <c r="J341" s="31" t="s">
        <v>234</v>
      </c>
      <c r="K341" s="27" t="s">
        <v>200</v>
      </c>
      <c r="L341" s="27" t="s">
        <v>287</v>
      </c>
      <c r="M341" s="32"/>
    </row>
    <row r="342" spans="1:13" ht="15.2" customHeight="1" x14ac:dyDescent="0.2">
      <c r="A342" s="26" t="s">
        <v>9767</v>
      </c>
      <c r="B342" s="27" t="s">
        <v>2468</v>
      </c>
      <c r="C342" s="28">
        <v>1</v>
      </c>
      <c r="D342" s="29">
        <v>13.5</v>
      </c>
      <c r="E342" s="29">
        <v>13.5</v>
      </c>
      <c r="F342" s="30">
        <v>29.99</v>
      </c>
      <c r="G342" s="29">
        <v>29.99</v>
      </c>
      <c r="H342" s="28" t="s">
        <v>1190</v>
      </c>
      <c r="I342" s="27" t="s">
        <v>690</v>
      </c>
      <c r="J342" s="31" t="s">
        <v>23</v>
      </c>
      <c r="K342" s="27" t="s">
        <v>200</v>
      </c>
      <c r="L342" s="27" t="s">
        <v>287</v>
      </c>
      <c r="M342" s="32"/>
    </row>
    <row r="343" spans="1:13" ht="15.2" customHeight="1" x14ac:dyDescent="0.2">
      <c r="A343" s="26" t="s">
        <v>9768</v>
      </c>
      <c r="B343" s="27" t="s">
        <v>2468</v>
      </c>
      <c r="C343" s="28">
        <v>1</v>
      </c>
      <c r="D343" s="29">
        <v>13.5</v>
      </c>
      <c r="E343" s="29">
        <v>13.5</v>
      </c>
      <c r="F343" s="30">
        <v>29.99</v>
      </c>
      <c r="G343" s="29">
        <v>29.99</v>
      </c>
      <c r="H343" s="28" t="s">
        <v>1190</v>
      </c>
      <c r="I343" s="27" t="s">
        <v>690</v>
      </c>
      <c r="J343" s="31" t="s">
        <v>69</v>
      </c>
      <c r="K343" s="27" t="s">
        <v>200</v>
      </c>
      <c r="L343" s="27" t="s">
        <v>287</v>
      </c>
      <c r="M343" s="32"/>
    </row>
    <row r="344" spans="1:13" ht="15.2" customHeight="1" x14ac:dyDescent="0.2">
      <c r="A344" s="26" t="s">
        <v>8491</v>
      </c>
      <c r="B344" s="27" t="s">
        <v>2468</v>
      </c>
      <c r="C344" s="28">
        <v>1</v>
      </c>
      <c r="D344" s="29">
        <v>13.5</v>
      </c>
      <c r="E344" s="29">
        <v>13.5</v>
      </c>
      <c r="F344" s="30">
        <v>29.99</v>
      </c>
      <c r="G344" s="29">
        <v>29.99</v>
      </c>
      <c r="H344" s="28" t="s">
        <v>1190</v>
      </c>
      <c r="I344" s="27" t="s">
        <v>690</v>
      </c>
      <c r="J344" s="31" t="s">
        <v>113</v>
      </c>
      <c r="K344" s="27" t="s">
        <v>200</v>
      </c>
      <c r="L344" s="27" t="s">
        <v>287</v>
      </c>
      <c r="M344" s="32"/>
    </row>
    <row r="345" spans="1:13" ht="15.2" customHeight="1" x14ac:dyDescent="0.2">
      <c r="A345" s="26" t="s">
        <v>9376</v>
      </c>
      <c r="B345" s="27" t="s">
        <v>9377</v>
      </c>
      <c r="C345" s="28">
        <v>1</v>
      </c>
      <c r="D345" s="29">
        <v>12.08</v>
      </c>
      <c r="E345" s="29">
        <v>12.08</v>
      </c>
      <c r="F345" s="30">
        <v>27.99</v>
      </c>
      <c r="G345" s="29">
        <v>27.99</v>
      </c>
      <c r="H345" s="28" t="s">
        <v>558</v>
      </c>
      <c r="I345" s="27" t="s">
        <v>280</v>
      </c>
      <c r="J345" s="31" t="s">
        <v>5</v>
      </c>
      <c r="K345" s="27" t="s">
        <v>224</v>
      </c>
      <c r="L345" s="27" t="s">
        <v>237</v>
      </c>
      <c r="M345" s="32"/>
    </row>
    <row r="346" spans="1:13" ht="15.2" customHeight="1" x14ac:dyDescent="0.2">
      <c r="A346" s="26" t="s">
        <v>9769</v>
      </c>
      <c r="B346" s="27" t="s">
        <v>9770</v>
      </c>
      <c r="C346" s="28">
        <v>1</v>
      </c>
      <c r="D346" s="29">
        <v>11.4</v>
      </c>
      <c r="E346" s="29">
        <v>11.4</v>
      </c>
      <c r="F346" s="30">
        <v>28.5</v>
      </c>
      <c r="G346" s="29">
        <v>28.5</v>
      </c>
      <c r="H346" s="28" t="s">
        <v>9771</v>
      </c>
      <c r="I346" s="27" t="s">
        <v>144</v>
      </c>
      <c r="J346" s="31" t="s">
        <v>40</v>
      </c>
      <c r="K346" s="27" t="s">
        <v>27</v>
      </c>
      <c r="L346" s="27" t="s">
        <v>28</v>
      </c>
      <c r="M346" s="32"/>
    </row>
    <row r="347" spans="1:13" ht="15.2" customHeight="1" x14ac:dyDescent="0.2">
      <c r="A347" s="26" t="s">
        <v>8429</v>
      </c>
      <c r="B347" s="27" t="s">
        <v>7609</v>
      </c>
      <c r="C347" s="28">
        <v>1</v>
      </c>
      <c r="D347" s="29">
        <v>11</v>
      </c>
      <c r="E347" s="29">
        <v>11</v>
      </c>
      <c r="F347" s="30">
        <v>25.99</v>
      </c>
      <c r="G347" s="29">
        <v>25.99</v>
      </c>
      <c r="H347" s="28" t="s">
        <v>7610</v>
      </c>
      <c r="I347" s="27" t="s">
        <v>343</v>
      </c>
      <c r="J347" s="31" t="s">
        <v>5</v>
      </c>
      <c r="K347" s="27" t="s">
        <v>200</v>
      </c>
      <c r="L347" s="27" t="s">
        <v>1201</v>
      </c>
      <c r="M347" s="32"/>
    </row>
    <row r="348" spans="1:13" ht="15.2" customHeight="1" x14ac:dyDescent="0.2">
      <c r="A348" s="26" t="s">
        <v>9772</v>
      </c>
      <c r="B348" s="27" t="s">
        <v>7612</v>
      </c>
      <c r="C348" s="28">
        <v>1</v>
      </c>
      <c r="D348" s="29">
        <v>11</v>
      </c>
      <c r="E348" s="29">
        <v>11</v>
      </c>
      <c r="F348" s="30">
        <v>25.99</v>
      </c>
      <c r="G348" s="29">
        <v>25.99</v>
      </c>
      <c r="H348" s="28" t="s">
        <v>7610</v>
      </c>
      <c r="I348" s="27" t="s">
        <v>4</v>
      </c>
      <c r="J348" s="31" t="s">
        <v>40</v>
      </c>
      <c r="K348" s="27" t="s">
        <v>200</v>
      </c>
      <c r="L348" s="27" t="s">
        <v>1201</v>
      </c>
      <c r="M348" s="32"/>
    </row>
    <row r="349" spans="1:13" ht="15.2" customHeight="1" x14ac:dyDescent="0.2">
      <c r="A349" s="26" t="s">
        <v>9387</v>
      </c>
      <c r="B349" s="27" t="s">
        <v>9388</v>
      </c>
      <c r="C349" s="28">
        <v>3</v>
      </c>
      <c r="D349" s="29">
        <v>10.5</v>
      </c>
      <c r="E349" s="29">
        <v>31.5</v>
      </c>
      <c r="F349" s="30">
        <v>24.99</v>
      </c>
      <c r="G349" s="29">
        <v>74.97</v>
      </c>
      <c r="H349" s="28" t="s">
        <v>1043</v>
      </c>
      <c r="I349" s="27" t="s">
        <v>4</v>
      </c>
      <c r="J349" s="31" t="s">
        <v>5</v>
      </c>
      <c r="K349" s="27" t="s">
        <v>224</v>
      </c>
      <c r="L349" s="27" t="s">
        <v>239</v>
      </c>
      <c r="M349" s="32"/>
    </row>
    <row r="350" spans="1:13" ht="15.2" customHeight="1" x14ac:dyDescent="0.2">
      <c r="A350" s="26" t="s">
        <v>9389</v>
      </c>
      <c r="B350" s="27" t="s">
        <v>9390</v>
      </c>
      <c r="C350" s="28">
        <v>2</v>
      </c>
      <c r="D350" s="29">
        <v>10.5</v>
      </c>
      <c r="E350" s="29">
        <v>21</v>
      </c>
      <c r="F350" s="30">
        <v>24.99</v>
      </c>
      <c r="G350" s="29">
        <v>49.98</v>
      </c>
      <c r="H350" s="28" t="s">
        <v>1043</v>
      </c>
      <c r="I350" s="27" t="s">
        <v>4</v>
      </c>
      <c r="J350" s="31" t="s">
        <v>40</v>
      </c>
      <c r="K350" s="27" t="s">
        <v>224</v>
      </c>
      <c r="L350" s="27" t="s">
        <v>239</v>
      </c>
      <c r="M350" s="32"/>
    </row>
    <row r="351" spans="1:13" ht="15.2" customHeight="1" x14ac:dyDescent="0.2">
      <c r="A351" s="26" t="s">
        <v>9773</v>
      </c>
      <c r="B351" s="27" t="s">
        <v>9774</v>
      </c>
      <c r="C351" s="28">
        <v>1</v>
      </c>
      <c r="D351" s="29">
        <v>10.5</v>
      </c>
      <c r="E351" s="29">
        <v>10.5</v>
      </c>
      <c r="F351" s="30">
        <v>24.99</v>
      </c>
      <c r="G351" s="29">
        <v>24.99</v>
      </c>
      <c r="H351" s="28" t="s">
        <v>8541</v>
      </c>
      <c r="I351" s="27" t="s">
        <v>4</v>
      </c>
      <c r="J351" s="31" t="s">
        <v>40</v>
      </c>
      <c r="K351" s="27" t="s">
        <v>196</v>
      </c>
      <c r="L351" s="27" t="s">
        <v>225</v>
      </c>
      <c r="M351" s="32"/>
    </row>
    <row r="352" spans="1:13" ht="15.2" customHeight="1" x14ac:dyDescent="0.2">
      <c r="A352" s="26" t="s">
        <v>9775</v>
      </c>
      <c r="B352" s="27" t="s">
        <v>8875</v>
      </c>
      <c r="C352" s="28">
        <v>1</v>
      </c>
      <c r="D352" s="29">
        <v>10.5</v>
      </c>
      <c r="E352" s="29">
        <v>10.5</v>
      </c>
      <c r="F352" s="30">
        <v>25.99</v>
      </c>
      <c r="G352" s="29">
        <v>25.99</v>
      </c>
      <c r="H352" s="28" t="s">
        <v>8876</v>
      </c>
      <c r="I352" s="27"/>
      <c r="J352" s="31" t="s">
        <v>69</v>
      </c>
      <c r="K352" s="27" t="s">
        <v>200</v>
      </c>
      <c r="L352" s="27" t="s">
        <v>243</v>
      </c>
      <c r="M352" s="32"/>
    </row>
    <row r="353" spans="1:13" ht="15.2" customHeight="1" x14ac:dyDescent="0.2">
      <c r="A353" s="26" t="s">
        <v>3079</v>
      </c>
      <c r="B353" s="27" t="s">
        <v>3080</v>
      </c>
      <c r="C353" s="28">
        <v>1</v>
      </c>
      <c r="D353" s="29">
        <v>10.5</v>
      </c>
      <c r="E353" s="29">
        <v>10.5</v>
      </c>
      <c r="F353" s="30">
        <v>24.99</v>
      </c>
      <c r="G353" s="29">
        <v>24.99</v>
      </c>
      <c r="H353" s="28" t="s">
        <v>1043</v>
      </c>
      <c r="I353" s="27" t="s">
        <v>4</v>
      </c>
      <c r="J353" s="31" t="s">
        <v>21</v>
      </c>
      <c r="K353" s="27" t="s">
        <v>224</v>
      </c>
      <c r="L353" s="27" t="s">
        <v>239</v>
      </c>
      <c r="M353" s="32"/>
    </row>
    <row r="354" spans="1:13" ht="15.2" customHeight="1" x14ac:dyDescent="0.2">
      <c r="A354" s="26" t="s">
        <v>9393</v>
      </c>
      <c r="B354" s="27" t="s">
        <v>9394</v>
      </c>
      <c r="C354" s="28">
        <v>1</v>
      </c>
      <c r="D354" s="29">
        <v>10.5</v>
      </c>
      <c r="E354" s="29">
        <v>10.5</v>
      </c>
      <c r="F354" s="30">
        <v>24.99</v>
      </c>
      <c r="G354" s="29">
        <v>24.99</v>
      </c>
      <c r="H354" s="28" t="s">
        <v>1043</v>
      </c>
      <c r="I354" s="27" t="s">
        <v>4</v>
      </c>
      <c r="J354" s="31" t="s">
        <v>52</v>
      </c>
      <c r="K354" s="27" t="s">
        <v>224</v>
      </c>
      <c r="L354" s="27" t="s">
        <v>239</v>
      </c>
      <c r="M354" s="32"/>
    </row>
    <row r="355" spans="1:13" ht="15.2" customHeight="1" x14ac:dyDescent="0.2">
      <c r="A355" s="26" t="s">
        <v>8744</v>
      </c>
      <c r="B355" s="27" t="s">
        <v>8745</v>
      </c>
      <c r="C355" s="28">
        <v>1</v>
      </c>
      <c r="D355" s="29">
        <v>9.66</v>
      </c>
      <c r="E355" s="29">
        <v>9.66</v>
      </c>
      <c r="F355" s="30">
        <v>27.99</v>
      </c>
      <c r="G355" s="29">
        <v>27.99</v>
      </c>
      <c r="H355" s="28">
        <v>60446217</v>
      </c>
      <c r="I355" s="27" t="s">
        <v>22</v>
      </c>
      <c r="J355" s="31" t="s">
        <v>52</v>
      </c>
      <c r="K355" s="27" t="s">
        <v>224</v>
      </c>
      <c r="L355" s="27" t="s">
        <v>255</v>
      </c>
      <c r="M355" s="32"/>
    </row>
    <row r="356" spans="1:13" ht="15.2" customHeight="1" x14ac:dyDescent="0.2">
      <c r="A356" s="26" t="s">
        <v>9776</v>
      </c>
      <c r="B356" s="27" t="s">
        <v>9777</v>
      </c>
      <c r="C356" s="28">
        <v>1</v>
      </c>
      <c r="D356" s="29">
        <v>8</v>
      </c>
      <c r="E356" s="29">
        <v>8</v>
      </c>
      <c r="F356" s="30">
        <v>24.99</v>
      </c>
      <c r="G356" s="29">
        <v>24.99</v>
      </c>
      <c r="H356" s="28" t="s">
        <v>2789</v>
      </c>
      <c r="I356" s="27" t="s">
        <v>94</v>
      </c>
      <c r="J356" s="31" t="s">
        <v>40</v>
      </c>
      <c r="K356" s="27" t="s">
        <v>224</v>
      </c>
      <c r="L356" s="27" t="s">
        <v>239</v>
      </c>
      <c r="M356" s="32"/>
    </row>
    <row r="357" spans="1:13" ht="15.2" customHeight="1" x14ac:dyDescent="0.2">
      <c r="A357" s="26" t="s">
        <v>1706</v>
      </c>
      <c r="B357" s="27" t="s">
        <v>1702</v>
      </c>
      <c r="C357" s="28">
        <v>2</v>
      </c>
      <c r="D357" s="29">
        <v>5.75</v>
      </c>
      <c r="E357" s="29">
        <v>11.5</v>
      </c>
      <c r="F357" s="30">
        <v>12.99</v>
      </c>
      <c r="G357" s="29">
        <v>25.98</v>
      </c>
      <c r="H357" s="28" t="s">
        <v>1703</v>
      </c>
      <c r="I357" s="27" t="s">
        <v>248</v>
      </c>
      <c r="J357" s="31" t="s">
        <v>52</v>
      </c>
      <c r="K357" s="27" t="s">
        <v>282</v>
      </c>
      <c r="L357" s="27" t="s">
        <v>386</v>
      </c>
      <c r="M357" s="32"/>
    </row>
    <row r="358" spans="1:13" ht="15.2" customHeight="1" x14ac:dyDescent="0.2">
      <c r="A358" s="26" t="s">
        <v>1701</v>
      </c>
      <c r="B358" s="27" t="s">
        <v>1702</v>
      </c>
      <c r="C358" s="28">
        <v>5</v>
      </c>
      <c r="D358" s="29">
        <v>5.75</v>
      </c>
      <c r="E358" s="29">
        <v>28.75</v>
      </c>
      <c r="F358" s="30">
        <v>12.99</v>
      </c>
      <c r="G358" s="29">
        <v>64.95</v>
      </c>
      <c r="H358" s="28" t="s">
        <v>1703</v>
      </c>
      <c r="I358" s="27" t="s">
        <v>248</v>
      </c>
      <c r="J358" s="31" t="s">
        <v>5</v>
      </c>
      <c r="K358" s="27" t="s">
        <v>282</v>
      </c>
      <c r="L358" s="27" t="s">
        <v>386</v>
      </c>
      <c r="M358" s="32"/>
    </row>
    <row r="359" spans="1:13" ht="15.2" customHeight="1" x14ac:dyDescent="0.2">
      <c r="A359" s="26" t="s">
        <v>1709</v>
      </c>
      <c r="B359" s="27" t="s">
        <v>1699</v>
      </c>
      <c r="C359" s="28">
        <v>2</v>
      </c>
      <c r="D359" s="29">
        <v>5.75</v>
      </c>
      <c r="E359" s="29">
        <v>11.5</v>
      </c>
      <c r="F359" s="30">
        <v>12.99</v>
      </c>
      <c r="G359" s="29">
        <v>25.98</v>
      </c>
      <c r="H359" s="28" t="s">
        <v>1700</v>
      </c>
      <c r="I359" s="27" t="s">
        <v>82</v>
      </c>
      <c r="J359" s="31" t="s">
        <v>52</v>
      </c>
      <c r="K359" s="27" t="s">
        <v>282</v>
      </c>
      <c r="L359" s="27" t="s">
        <v>386</v>
      </c>
      <c r="M359" s="32"/>
    </row>
    <row r="360" spans="1:13" ht="15.2" customHeight="1" x14ac:dyDescent="0.2">
      <c r="A360" s="26" t="s">
        <v>1705</v>
      </c>
      <c r="B360" s="27" t="s">
        <v>1699</v>
      </c>
      <c r="C360" s="28">
        <v>4</v>
      </c>
      <c r="D360" s="29">
        <v>5.75</v>
      </c>
      <c r="E360" s="29">
        <v>23</v>
      </c>
      <c r="F360" s="30">
        <v>12.99</v>
      </c>
      <c r="G360" s="29">
        <v>51.96</v>
      </c>
      <c r="H360" s="28" t="s">
        <v>1700</v>
      </c>
      <c r="I360" s="27" t="s">
        <v>82</v>
      </c>
      <c r="J360" s="31" t="s">
        <v>21</v>
      </c>
      <c r="K360" s="27" t="s">
        <v>282</v>
      </c>
      <c r="L360" s="27" t="s">
        <v>386</v>
      </c>
      <c r="M360" s="32"/>
    </row>
    <row r="361" spans="1:13" ht="15.2" customHeight="1" x14ac:dyDescent="0.2">
      <c r="A361" s="26" t="s">
        <v>1710</v>
      </c>
      <c r="B361" s="27" t="s">
        <v>1699</v>
      </c>
      <c r="C361" s="28">
        <v>1</v>
      </c>
      <c r="D361" s="29">
        <v>5.75</v>
      </c>
      <c r="E361" s="29">
        <v>5.75</v>
      </c>
      <c r="F361" s="30">
        <v>12.99</v>
      </c>
      <c r="G361" s="29">
        <v>12.99</v>
      </c>
      <c r="H361" s="28" t="s">
        <v>1700</v>
      </c>
      <c r="I361" s="27" t="s">
        <v>82</v>
      </c>
      <c r="J361" s="31" t="s">
        <v>40</v>
      </c>
      <c r="K361" s="27" t="s">
        <v>282</v>
      </c>
      <c r="L361" s="27" t="s">
        <v>386</v>
      </c>
      <c r="M361" s="3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406"/>
  <sheetViews>
    <sheetView workbookViewId="0">
      <selection activeCell="B7" sqref="B7"/>
    </sheetView>
  </sheetViews>
  <sheetFormatPr defaultRowHeight="15.2" customHeight="1" x14ac:dyDescent="0.2"/>
  <cols>
    <col min="1" max="1" width="14.85546875" style="1" bestFit="1" customWidth="1"/>
    <col min="2" max="2" width="74.140625" style="1" bestFit="1" customWidth="1"/>
    <col min="3" max="3" width="6.42578125" style="1" bestFit="1" customWidth="1"/>
    <col min="4" max="4" width="7.5703125" style="1" bestFit="1" customWidth="1"/>
    <col min="5" max="5" width="9.5703125" style="1" bestFit="1" customWidth="1"/>
    <col min="6" max="6" width="8.7109375" style="1" bestFit="1" customWidth="1"/>
    <col min="7" max="7" width="11.140625" style="1" bestFit="1" customWidth="1"/>
    <col min="8" max="8" width="22.7109375" style="1" bestFit="1" customWidth="1"/>
    <col min="9" max="9" width="14.7109375" style="1" bestFit="1" customWidth="1"/>
    <col min="10" max="10" width="7.28515625" style="1" bestFit="1" customWidth="1"/>
    <col min="11" max="11" width="16" style="1" bestFit="1" customWidth="1"/>
    <col min="12" max="12" width="43.42578125" style="1" bestFit="1" customWidth="1"/>
    <col min="13" max="13" width="49.42578125" style="1" bestFit="1" customWidth="1"/>
    <col min="14" max="16384" width="9.140625" style="1"/>
  </cols>
  <sheetData>
    <row r="1" spans="1:13" ht="15.2" customHeight="1" x14ac:dyDescent="0.2">
      <c r="A1" s="25" t="s">
        <v>0</v>
      </c>
      <c r="B1" s="25" t="s">
        <v>11929</v>
      </c>
      <c r="C1" s="25" t="s">
        <v>11915</v>
      </c>
      <c r="D1" s="25" t="s">
        <v>11927</v>
      </c>
      <c r="E1" s="25" t="s">
        <v>11928</v>
      </c>
      <c r="F1" s="25" t="s">
        <v>11919</v>
      </c>
      <c r="G1" s="25" t="s">
        <v>11920</v>
      </c>
      <c r="H1" s="25" t="s">
        <v>11921</v>
      </c>
      <c r="I1" s="25" t="s">
        <v>11922</v>
      </c>
      <c r="J1" s="25" t="s">
        <v>11923</v>
      </c>
      <c r="K1" s="25" t="s">
        <v>11924</v>
      </c>
      <c r="L1" s="25" t="s">
        <v>11925</v>
      </c>
      <c r="M1" s="25" t="s">
        <v>11926</v>
      </c>
    </row>
    <row r="2" spans="1:13" ht="15.2" customHeight="1" x14ac:dyDescent="0.2">
      <c r="A2" s="26" t="s">
        <v>7621</v>
      </c>
      <c r="B2" s="27" t="s">
        <v>7622</v>
      </c>
      <c r="C2" s="28">
        <v>1</v>
      </c>
      <c r="D2" s="29">
        <v>39.75</v>
      </c>
      <c r="E2" s="29">
        <v>39.75</v>
      </c>
      <c r="F2" s="30">
        <v>119</v>
      </c>
      <c r="G2" s="29">
        <v>119</v>
      </c>
      <c r="H2" s="28" t="s">
        <v>7623</v>
      </c>
      <c r="I2" s="27" t="s">
        <v>189</v>
      </c>
      <c r="J2" s="31" t="s">
        <v>216</v>
      </c>
      <c r="K2" s="27" t="s">
        <v>24</v>
      </c>
      <c r="L2" s="27" t="s">
        <v>25</v>
      </c>
      <c r="M2" s="32" t="str">
        <f>HYPERLINK("http://slimages.macys.com/is/image/MCY/3776991 ")</f>
        <v xml:space="preserve">http://slimages.macys.com/is/image/MCY/3776991 </v>
      </c>
    </row>
    <row r="3" spans="1:13" ht="15.2" customHeight="1" x14ac:dyDescent="0.2">
      <c r="A3" s="26" t="s">
        <v>9949</v>
      </c>
      <c r="B3" s="27" t="s">
        <v>9950</v>
      </c>
      <c r="C3" s="28">
        <v>1</v>
      </c>
      <c r="D3" s="29">
        <v>30.42</v>
      </c>
      <c r="E3" s="29">
        <v>30.42</v>
      </c>
      <c r="F3" s="30">
        <v>49.99</v>
      </c>
      <c r="G3" s="29">
        <v>49.99</v>
      </c>
      <c r="H3" s="28">
        <v>228660002</v>
      </c>
      <c r="I3" s="27" t="s">
        <v>59</v>
      </c>
      <c r="J3" s="31" t="s">
        <v>5</v>
      </c>
      <c r="K3" s="27" t="s">
        <v>2</v>
      </c>
      <c r="L3" s="27" t="s">
        <v>3</v>
      </c>
      <c r="M3" s="32" t="str">
        <f>HYPERLINK("http://slimages.macys.com/is/image/MCY/3369346 ")</f>
        <v xml:space="preserve">http://slimages.macys.com/is/image/MCY/3369346 </v>
      </c>
    </row>
    <row r="4" spans="1:13" ht="15.2" customHeight="1" x14ac:dyDescent="0.2">
      <c r="A4" s="26" t="s">
        <v>9951</v>
      </c>
      <c r="B4" s="27" t="s">
        <v>9952</v>
      </c>
      <c r="C4" s="28">
        <v>1</v>
      </c>
      <c r="D4" s="29">
        <v>29.85</v>
      </c>
      <c r="E4" s="29">
        <v>29.85</v>
      </c>
      <c r="F4" s="30">
        <v>99.5</v>
      </c>
      <c r="G4" s="29">
        <v>99.5</v>
      </c>
      <c r="H4" s="28">
        <v>49022889</v>
      </c>
      <c r="I4" s="27" t="s">
        <v>4</v>
      </c>
      <c r="J4" s="31" t="s">
        <v>21</v>
      </c>
      <c r="K4" s="27" t="s">
        <v>6</v>
      </c>
      <c r="L4" s="27" t="s">
        <v>7</v>
      </c>
      <c r="M4" s="32" t="str">
        <f>HYPERLINK("http://slimages.macys.com/is/image/MCY/3900384 ")</f>
        <v xml:space="preserve">http://slimages.macys.com/is/image/MCY/3900384 </v>
      </c>
    </row>
    <row r="5" spans="1:13" ht="15.2" customHeight="1" x14ac:dyDescent="0.2">
      <c r="A5" s="26" t="s">
        <v>5990</v>
      </c>
      <c r="B5" s="27" t="s">
        <v>5991</v>
      </c>
      <c r="C5" s="28">
        <v>1</v>
      </c>
      <c r="D5" s="29">
        <v>27.2</v>
      </c>
      <c r="E5" s="29">
        <v>27.2</v>
      </c>
      <c r="F5" s="30">
        <v>79</v>
      </c>
      <c r="G5" s="29">
        <v>79</v>
      </c>
      <c r="H5" s="28" t="s">
        <v>5985</v>
      </c>
      <c r="I5" s="27" t="s">
        <v>22</v>
      </c>
      <c r="J5" s="31" t="s">
        <v>40</v>
      </c>
      <c r="K5" s="27" t="s">
        <v>42</v>
      </c>
      <c r="L5" s="27" t="s">
        <v>43</v>
      </c>
      <c r="M5" s="32" t="str">
        <f>HYPERLINK("http://slimages.macys.com/is/image/MCY/3611182 ")</f>
        <v xml:space="preserve">http://slimages.macys.com/is/image/MCY/3611182 </v>
      </c>
    </row>
    <row r="6" spans="1:13" ht="15.2" customHeight="1" x14ac:dyDescent="0.2">
      <c r="A6" s="26" t="s">
        <v>9953</v>
      </c>
      <c r="B6" s="27" t="s">
        <v>9954</v>
      </c>
      <c r="C6" s="28">
        <v>1</v>
      </c>
      <c r="D6" s="29">
        <v>27</v>
      </c>
      <c r="E6" s="29">
        <v>27</v>
      </c>
      <c r="F6" s="30">
        <v>69.5</v>
      </c>
      <c r="G6" s="29">
        <v>69.5</v>
      </c>
      <c r="H6" s="28" t="s">
        <v>7482</v>
      </c>
      <c r="I6" s="27" t="s">
        <v>36</v>
      </c>
      <c r="J6" s="31" t="s">
        <v>71</v>
      </c>
      <c r="K6" s="27" t="s">
        <v>17</v>
      </c>
      <c r="L6" s="27" t="s">
        <v>18</v>
      </c>
      <c r="M6" s="32" t="str">
        <f>HYPERLINK("http://slimages.macys.com/is/image/MCY/3773021 ")</f>
        <v xml:space="preserve">http://slimages.macys.com/is/image/MCY/3773021 </v>
      </c>
    </row>
    <row r="7" spans="1:13" ht="15.2" customHeight="1" x14ac:dyDescent="0.2">
      <c r="A7" s="26" t="s">
        <v>9955</v>
      </c>
      <c r="B7" s="27" t="s">
        <v>9956</v>
      </c>
      <c r="C7" s="28">
        <v>1</v>
      </c>
      <c r="D7" s="29">
        <v>26</v>
      </c>
      <c r="E7" s="29">
        <v>26</v>
      </c>
      <c r="F7" s="30">
        <v>79</v>
      </c>
      <c r="G7" s="29">
        <v>79</v>
      </c>
      <c r="H7" s="28" t="s">
        <v>9957</v>
      </c>
      <c r="I7" s="27" t="s">
        <v>4</v>
      </c>
      <c r="J7" s="31" t="s">
        <v>205</v>
      </c>
      <c r="K7" s="27" t="s">
        <v>24</v>
      </c>
      <c r="L7" s="27" t="s">
        <v>650</v>
      </c>
      <c r="M7" s="32" t="str">
        <f>HYPERLINK("http://slimages.macys.com/is/image/MCY/2692339 ")</f>
        <v xml:space="preserve">http://slimages.macys.com/is/image/MCY/2692339 </v>
      </c>
    </row>
    <row r="8" spans="1:13" ht="15.2" customHeight="1" x14ac:dyDescent="0.2">
      <c r="A8" s="26" t="s">
        <v>9958</v>
      </c>
      <c r="B8" s="27" t="s">
        <v>9959</v>
      </c>
      <c r="C8" s="28">
        <v>1</v>
      </c>
      <c r="D8" s="29">
        <v>25.36</v>
      </c>
      <c r="E8" s="29">
        <v>25.36</v>
      </c>
      <c r="F8" s="30">
        <v>69.5</v>
      </c>
      <c r="G8" s="29">
        <v>69.5</v>
      </c>
      <c r="H8" s="28" t="s">
        <v>669</v>
      </c>
      <c r="I8" s="27" t="s">
        <v>10</v>
      </c>
      <c r="J8" s="31" t="s">
        <v>21</v>
      </c>
      <c r="K8" s="27" t="s">
        <v>41</v>
      </c>
      <c r="L8" s="27" t="s">
        <v>45</v>
      </c>
      <c r="M8" s="32" t="str">
        <f>HYPERLINK("http://slimages.macys.com/is/image/MCY/3736744 ")</f>
        <v xml:space="preserve">http://slimages.macys.com/is/image/MCY/3736744 </v>
      </c>
    </row>
    <row r="9" spans="1:13" ht="15.2" customHeight="1" x14ac:dyDescent="0.2">
      <c r="A9" s="26" t="s">
        <v>9960</v>
      </c>
      <c r="B9" s="27" t="s">
        <v>9961</v>
      </c>
      <c r="C9" s="28">
        <v>1</v>
      </c>
      <c r="D9" s="29">
        <v>25.36</v>
      </c>
      <c r="E9" s="29">
        <v>25.36</v>
      </c>
      <c r="F9" s="30">
        <v>69.5</v>
      </c>
      <c r="G9" s="29">
        <v>69.5</v>
      </c>
      <c r="H9" s="28" t="s">
        <v>669</v>
      </c>
      <c r="I9" s="27" t="s">
        <v>10</v>
      </c>
      <c r="J9" s="31" t="s">
        <v>71</v>
      </c>
      <c r="K9" s="27" t="s">
        <v>41</v>
      </c>
      <c r="L9" s="27" t="s">
        <v>45</v>
      </c>
      <c r="M9" s="32" t="str">
        <f>HYPERLINK("http://slimages.macys.com/is/image/MCY/3736744 ")</f>
        <v xml:space="preserve">http://slimages.macys.com/is/image/MCY/3736744 </v>
      </c>
    </row>
    <row r="10" spans="1:13" ht="15.2" customHeight="1" x14ac:dyDescent="0.2">
      <c r="A10" s="26" t="s">
        <v>7349</v>
      </c>
      <c r="B10" s="27" t="s">
        <v>7350</v>
      </c>
      <c r="C10" s="28">
        <v>1</v>
      </c>
      <c r="D10" s="29">
        <v>25.34</v>
      </c>
      <c r="E10" s="29">
        <v>25.34</v>
      </c>
      <c r="F10" s="30">
        <v>69.5</v>
      </c>
      <c r="G10" s="29">
        <v>69.5</v>
      </c>
      <c r="H10" s="28" t="s">
        <v>4926</v>
      </c>
      <c r="I10" s="27" t="s">
        <v>10</v>
      </c>
      <c r="J10" s="31" t="s">
        <v>65</v>
      </c>
      <c r="K10" s="27" t="s">
        <v>41</v>
      </c>
      <c r="L10" s="27" t="s">
        <v>45</v>
      </c>
      <c r="M10" s="32" t="str">
        <f>HYPERLINK("http://slimages.macys.com/is/image/MCY/3802135 ")</f>
        <v xml:space="preserve">http://slimages.macys.com/is/image/MCY/3802135 </v>
      </c>
    </row>
    <row r="11" spans="1:13" ht="15.2" customHeight="1" x14ac:dyDescent="0.2">
      <c r="A11" s="26" t="s">
        <v>9962</v>
      </c>
      <c r="B11" s="27" t="s">
        <v>9963</v>
      </c>
      <c r="C11" s="28">
        <v>1</v>
      </c>
      <c r="D11" s="29">
        <v>25.34</v>
      </c>
      <c r="E11" s="29">
        <v>25.34</v>
      </c>
      <c r="F11" s="30">
        <v>69.5</v>
      </c>
      <c r="G11" s="29">
        <v>69.5</v>
      </c>
      <c r="H11" s="28" t="s">
        <v>4926</v>
      </c>
      <c r="I11" s="27" t="s">
        <v>10</v>
      </c>
      <c r="J11" s="31" t="s">
        <v>52</v>
      </c>
      <c r="K11" s="27" t="s">
        <v>41</v>
      </c>
      <c r="L11" s="27" t="s">
        <v>45</v>
      </c>
      <c r="M11" s="32" t="str">
        <f>HYPERLINK("http://slimages.macys.com/is/image/MCY/3802135 ")</f>
        <v xml:space="preserve">http://slimages.macys.com/is/image/MCY/3802135 </v>
      </c>
    </row>
    <row r="12" spans="1:13" ht="15.2" customHeight="1" x14ac:dyDescent="0.2">
      <c r="A12" s="26" t="s">
        <v>6789</v>
      </c>
      <c r="B12" s="27" t="s">
        <v>6790</v>
      </c>
      <c r="C12" s="28">
        <v>3</v>
      </c>
      <c r="D12" s="29">
        <v>25.34</v>
      </c>
      <c r="E12" s="29">
        <v>76.02</v>
      </c>
      <c r="F12" s="30">
        <v>69.5</v>
      </c>
      <c r="G12" s="29">
        <v>208.5</v>
      </c>
      <c r="H12" s="28" t="s">
        <v>4926</v>
      </c>
      <c r="I12" s="27" t="s">
        <v>10</v>
      </c>
      <c r="J12" s="31" t="s">
        <v>5</v>
      </c>
      <c r="K12" s="27" t="s">
        <v>41</v>
      </c>
      <c r="L12" s="27" t="s">
        <v>45</v>
      </c>
      <c r="M12" s="32" t="str">
        <f>HYPERLINK("http://slimages.macys.com/is/image/MCY/3802135 ")</f>
        <v xml:space="preserve">http://slimages.macys.com/is/image/MCY/3802135 </v>
      </c>
    </row>
    <row r="13" spans="1:13" ht="15.2" customHeight="1" x14ac:dyDescent="0.2">
      <c r="A13" s="26" t="s">
        <v>9964</v>
      </c>
      <c r="B13" s="27" t="s">
        <v>9965</v>
      </c>
      <c r="C13" s="28">
        <v>1</v>
      </c>
      <c r="D13" s="29">
        <v>25.34</v>
      </c>
      <c r="E13" s="29">
        <v>25.34</v>
      </c>
      <c r="F13" s="30">
        <v>69.5</v>
      </c>
      <c r="G13" s="29">
        <v>69.5</v>
      </c>
      <c r="H13" s="28" t="s">
        <v>4926</v>
      </c>
      <c r="I13" s="27" t="s">
        <v>10</v>
      </c>
      <c r="J13" s="31" t="s">
        <v>71</v>
      </c>
      <c r="K13" s="27" t="s">
        <v>41</v>
      </c>
      <c r="L13" s="27" t="s">
        <v>45</v>
      </c>
      <c r="M13" s="32" t="str">
        <f>HYPERLINK("http://slimages.macys.com/is/image/MCY/3802135 ")</f>
        <v xml:space="preserve">http://slimages.macys.com/is/image/MCY/3802135 </v>
      </c>
    </row>
    <row r="14" spans="1:13" ht="15.2" customHeight="1" x14ac:dyDescent="0.2">
      <c r="A14" s="26" t="s">
        <v>4924</v>
      </c>
      <c r="B14" s="27" t="s">
        <v>4925</v>
      </c>
      <c r="C14" s="28">
        <v>1</v>
      </c>
      <c r="D14" s="29">
        <v>25.34</v>
      </c>
      <c r="E14" s="29">
        <v>25.34</v>
      </c>
      <c r="F14" s="30">
        <v>69.5</v>
      </c>
      <c r="G14" s="29">
        <v>69.5</v>
      </c>
      <c r="H14" s="28" t="s">
        <v>4926</v>
      </c>
      <c r="I14" s="27" t="s">
        <v>10</v>
      </c>
      <c r="J14" s="31" t="s">
        <v>21</v>
      </c>
      <c r="K14" s="27" t="s">
        <v>41</v>
      </c>
      <c r="L14" s="27" t="s">
        <v>45</v>
      </c>
      <c r="M14" s="32" t="str">
        <f>HYPERLINK("http://slimages.macys.com/is/image/MCY/3802135 ")</f>
        <v xml:space="preserve">http://slimages.macys.com/is/image/MCY/3802135 </v>
      </c>
    </row>
    <row r="15" spans="1:13" ht="15.2" customHeight="1" x14ac:dyDescent="0.2">
      <c r="A15" s="26" t="s">
        <v>9966</v>
      </c>
      <c r="B15" s="27" t="s">
        <v>9967</v>
      </c>
      <c r="C15" s="28">
        <v>2</v>
      </c>
      <c r="D15" s="29">
        <v>23</v>
      </c>
      <c r="E15" s="29">
        <v>46</v>
      </c>
      <c r="F15" s="30">
        <v>59.5</v>
      </c>
      <c r="G15" s="29">
        <v>119</v>
      </c>
      <c r="H15" s="28" t="s">
        <v>672</v>
      </c>
      <c r="I15" s="27" t="s">
        <v>189</v>
      </c>
      <c r="J15" s="31" t="s">
        <v>40</v>
      </c>
      <c r="K15" s="27" t="s">
        <v>17</v>
      </c>
      <c r="L15" s="27" t="s">
        <v>18</v>
      </c>
      <c r="M15" s="32" t="str">
        <f>HYPERLINK("http://slimages.macys.com/is/image/MCY/3895026 ")</f>
        <v xml:space="preserve">http://slimages.macys.com/is/image/MCY/3895026 </v>
      </c>
    </row>
    <row r="16" spans="1:13" ht="15.2" customHeight="1" x14ac:dyDescent="0.2">
      <c r="A16" s="26" t="s">
        <v>4931</v>
      </c>
      <c r="B16" s="27" t="s">
        <v>4932</v>
      </c>
      <c r="C16" s="28">
        <v>1</v>
      </c>
      <c r="D16" s="29">
        <v>23</v>
      </c>
      <c r="E16" s="29">
        <v>23</v>
      </c>
      <c r="F16" s="30">
        <v>59.5</v>
      </c>
      <c r="G16" s="29">
        <v>59.5</v>
      </c>
      <c r="H16" s="28" t="s">
        <v>672</v>
      </c>
      <c r="I16" s="27" t="s">
        <v>4</v>
      </c>
      <c r="J16" s="31" t="s">
        <v>71</v>
      </c>
      <c r="K16" s="27" t="s">
        <v>17</v>
      </c>
      <c r="L16" s="27" t="s">
        <v>18</v>
      </c>
      <c r="M16" s="32" t="str">
        <f>HYPERLINK("http://slimages.macys.com/is/image/MCY/3895026 ")</f>
        <v xml:space="preserve">http://slimages.macys.com/is/image/MCY/3895026 </v>
      </c>
    </row>
    <row r="17" spans="1:13" ht="15.2" customHeight="1" x14ac:dyDescent="0.2">
      <c r="A17" s="26" t="s">
        <v>9782</v>
      </c>
      <c r="B17" s="27" t="s">
        <v>9783</v>
      </c>
      <c r="C17" s="28">
        <v>1</v>
      </c>
      <c r="D17" s="29">
        <v>23</v>
      </c>
      <c r="E17" s="29">
        <v>23</v>
      </c>
      <c r="F17" s="30">
        <v>59.5</v>
      </c>
      <c r="G17" s="29">
        <v>59.5</v>
      </c>
      <c r="H17" s="28" t="s">
        <v>672</v>
      </c>
      <c r="I17" s="27" t="s">
        <v>189</v>
      </c>
      <c r="J17" s="31" t="s">
        <v>71</v>
      </c>
      <c r="K17" s="27" t="s">
        <v>17</v>
      </c>
      <c r="L17" s="27" t="s">
        <v>18</v>
      </c>
      <c r="M17" s="32" t="str">
        <f>HYPERLINK("http://slimages.macys.com/is/image/MCY/3895026 ")</f>
        <v xml:space="preserve">http://slimages.macys.com/is/image/MCY/3895026 </v>
      </c>
    </row>
    <row r="18" spans="1:13" ht="15.2" customHeight="1" x14ac:dyDescent="0.2">
      <c r="A18" s="26" t="s">
        <v>3114</v>
      </c>
      <c r="B18" s="27" t="s">
        <v>3115</v>
      </c>
      <c r="C18" s="28">
        <v>3</v>
      </c>
      <c r="D18" s="29">
        <v>23</v>
      </c>
      <c r="E18" s="29">
        <v>69</v>
      </c>
      <c r="F18" s="30">
        <v>59.5</v>
      </c>
      <c r="G18" s="29">
        <v>178.5</v>
      </c>
      <c r="H18" s="28" t="s">
        <v>672</v>
      </c>
      <c r="I18" s="27" t="s">
        <v>4</v>
      </c>
      <c r="J18" s="31" t="s">
        <v>40</v>
      </c>
      <c r="K18" s="27" t="s">
        <v>17</v>
      </c>
      <c r="L18" s="27" t="s">
        <v>18</v>
      </c>
      <c r="M18" s="32" t="str">
        <f>HYPERLINK("http://slimages.macys.com/is/image/MCY/3895026 ")</f>
        <v xml:space="preserve">http://slimages.macys.com/is/image/MCY/3895026 </v>
      </c>
    </row>
    <row r="19" spans="1:13" ht="15.2" customHeight="1" x14ac:dyDescent="0.2">
      <c r="A19" s="26" t="s">
        <v>9968</v>
      </c>
      <c r="B19" s="27" t="s">
        <v>9969</v>
      </c>
      <c r="C19" s="28">
        <v>1</v>
      </c>
      <c r="D19" s="29">
        <v>22.95</v>
      </c>
      <c r="E19" s="29">
        <v>22.95</v>
      </c>
      <c r="F19" s="30">
        <v>49.99</v>
      </c>
      <c r="G19" s="29">
        <v>49.99</v>
      </c>
      <c r="H19" s="28" t="s">
        <v>1099</v>
      </c>
      <c r="I19" s="27" t="s">
        <v>22</v>
      </c>
      <c r="J19" s="31" t="s">
        <v>71</v>
      </c>
      <c r="K19" s="27" t="s">
        <v>41</v>
      </c>
      <c r="L19" s="27" t="s">
        <v>90</v>
      </c>
      <c r="M19" s="32" t="str">
        <f>HYPERLINK("http://slimages.macys.com/is/image/MCY/3828718 ")</f>
        <v xml:space="preserve">http://slimages.macys.com/is/image/MCY/3828718 </v>
      </c>
    </row>
    <row r="20" spans="1:13" ht="15.2" customHeight="1" x14ac:dyDescent="0.2">
      <c r="A20" s="26" t="s">
        <v>9898</v>
      </c>
      <c r="B20" s="27" t="s">
        <v>9899</v>
      </c>
      <c r="C20" s="28">
        <v>1</v>
      </c>
      <c r="D20" s="29">
        <v>22.56</v>
      </c>
      <c r="E20" s="29">
        <v>22.56</v>
      </c>
      <c r="F20" s="30">
        <v>59.5</v>
      </c>
      <c r="G20" s="29">
        <v>59.5</v>
      </c>
      <c r="H20" s="28" t="s">
        <v>9900</v>
      </c>
      <c r="I20" s="27" t="s">
        <v>4</v>
      </c>
      <c r="J20" s="31" t="s">
        <v>5</v>
      </c>
      <c r="K20" s="27" t="s">
        <v>53</v>
      </c>
      <c r="L20" s="27" t="s">
        <v>54</v>
      </c>
      <c r="M20" s="32" t="str">
        <f>HYPERLINK("http://slimages.macys.com/is/image/MCY/3773773 ")</f>
        <v xml:space="preserve">http://slimages.macys.com/is/image/MCY/3773773 </v>
      </c>
    </row>
    <row r="21" spans="1:13" ht="15.2" customHeight="1" x14ac:dyDescent="0.2">
      <c r="A21" s="26" t="s">
        <v>9970</v>
      </c>
      <c r="B21" s="27" t="s">
        <v>9971</v>
      </c>
      <c r="C21" s="28">
        <v>1</v>
      </c>
      <c r="D21" s="29">
        <v>22.46</v>
      </c>
      <c r="E21" s="29">
        <v>22.46</v>
      </c>
      <c r="F21" s="30">
        <v>50.99</v>
      </c>
      <c r="G21" s="29">
        <v>50.99</v>
      </c>
      <c r="H21" s="28" t="s">
        <v>9972</v>
      </c>
      <c r="I21" s="27" t="s">
        <v>1</v>
      </c>
      <c r="J21" s="31" t="s">
        <v>65</v>
      </c>
      <c r="K21" s="27" t="s">
        <v>41</v>
      </c>
      <c r="L21" s="27" t="s">
        <v>45</v>
      </c>
      <c r="M21" s="32" t="str">
        <f>HYPERLINK("http://slimages.macys.com/is/image/MCY/3623550 ")</f>
        <v xml:space="preserve">http://slimages.macys.com/is/image/MCY/3623550 </v>
      </c>
    </row>
    <row r="22" spans="1:13" ht="15.2" customHeight="1" x14ac:dyDescent="0.2">
      <c r="A22" s="26" t="s">
        <v>9973</v>
      </c>
      <c r="B22" s="27" t="s">
        <v>9974</v>
      </c>
      <c r="C22" s="28">
        <v>1</v>
      </c>
      <c r="D22" s="29">
        <v>22.24</v>
      </c>
      <c r="E22" s="29">
        <v>22.24</v>
      </c>
      <c r="F22" s="30">
        <v>69.5</v>
      </c>
      <c r="G22" s="29">
        <v>69.5</v>
      </c>
      <c r="H22" s="28">
        <v>49008200</v>
      </c>
      <c r="I22" s="27" t="s">
        <v>4</v>
      </c>
      <c r="J22" s="31"/>
      <c r="K22" s="27" t="s">
        <v>6</v>
      </c>
      <c r="L22" s="27" t="s">
        <v>7</v>
      </c>
      <c r="M22" s="32" t="str">
        <f>HYPERLINK("http://slimages.macys.com/is/image/MCY/3824937 ")</f>
        <v xml:space="preserve">http://slimages.macys.com/is/image/MCY/3824937 </v>
      </c>
    </row>
    <row r="23" spans="1:13" ht="15.2" customHeight="1" x14ac:dyDescent="0.2">
      <c r="A23" s="26" t="s">
        <v>673</v>
      </c>
      <c r="B23" s="27" t="s">
        <v>674</v>
      </c>
      <c r="C23" s="28">
        <v>1</v>
      </c>
      <c r="D23" s="29">
        <v>22.24</v>
      </c>
      <c r="E23" s="29">
        <v>22.24</v>
      </c>
      <c r="F23" s="30">
        <v>69.5</v>
      </c>
      <c r="G23" s="29">
        <v>69.5</v>
      </c>
      <c r="H23" s="28">
        <v>49008192</v>
      </c>
      <c r="I23" s="27" t="s">
        <v>10</v>
      </c>
      <c r="J23" s="31"/>
      <c r="K23" s="27" t="s">
        <v>6</v>
      </c>
      <c r="L23" s="27" t="s">
        <v>7</v>
      </c>
      <c r="M23" s="32" t="str">
        <f>HYPERLINK("http://slimages.macys.com/is/image/MCY/3923812 ")</f>
        <v xml:space="preserve">http://slimages.macys.com/is/image/MCY/3923812 </v>
      </c>
    </row>
    <row r="24" spans="1:13" ht="15.2" customHeight="1" x14ac:dyDescent="0.2">
      <c r="A24" s="26" t="s">
        <v>9975</v>
      </c>
      <c r="B24" s="27" t="s">
        <v>9976</v>
      </c>
      <c r="C24" s="28">
        <v>1</v>
      </c>
      <c r="D24" s="29">
        <v>22</v>
      </c>
      <c r="E24" s="29">
        <v>22</v>
      </c>
      <c r="F24" s="30">
        <v>69</v>
      </c>
      <c r="G24" s="29">
        <v>69</v>
      </c>
      <c r="H24" s="28" t="s">
        <v>6806</v>
      </c>
      <c r="I24" s="27" t="s">
        <v>29</v>
      </c>
      <c r="J24" s="31" t="s">
        <v>5</v>
      </c>
      <c r="K24" s="27" t="s">
        <v>37</v>
      </c>
      <c r="L24" s="27" t="s">
        <v>38</v>
      </c>
      <c r="M24" s="32" t="str">
        <f>HYPERLINK("http://slimages.macys.com/is/image/MCY/3667684 ")</f>
        <v xml:space="preserve">http://slimages.macys.com/is/image/MCY/3667684 </v>
      </c>
    </row>
    <row r="25" spans="1:13" ht="15.2" customHeight="1" x14ac:dyDescent="0.2">
      <c r="A25" s="26" t="s">
        <v>9977</v>
      </c>
      <c r="B25" s="27" t="s">
        <v>9978</v>
      </c>
      <c r="C25" s="28">
        <v>1</v>
      </c>
      <c r="D25" s="29">
        <v>22</v>
      </c>
      <c r="E25" s="29">
        <v>22</v>
      </c>
      <c r="F25" s="30">
        <v>69</v>
      </c>
      <c r="G25" s="29">
        <v>69</v>
      </c>
      <c r="H25" s="28" t="s">
        <v>7873</v>
      </c>
      <c r="I25" s="27" t="s">
        <v>4</v>
      </c>
      <c r="J25" s="31" t="s">
        <v>210</v>
      </c>
      <c r="K25" s="27" t="s">
        <v>24</v>
      </c>
      <c r="L25" s="27" t="s">
        <v>25</v>
      </c>
      <c r="M25" s="32" t="str">
        <f>HYPERLINK("http://slimages.macys.com/is/image/MCY/3706010 ")</f>
        <v xml:space="preserve">http://slimages.macys.com/is/image/MCY/3706010 </v>
      </c>
    </row>
    <row r="26" spans="1:13" ht="15.2" customHeight="1" x14ac:dyDescent="0.2">
      <c r="A26" s="26" t="s">
        <v>9979</v>
      </c>
      <c r="B26" s="27" t="s">
        <v>9980</v>
      </c>
      <c r="C26" s="28">
        <v>1</v>
      </c>
      <c r="D26" s="29">
        <v>21.9</v>
      </c>
      <c r="E26" s="29">
        <v>21.9</v>
      </c>
      <c r="F26" s="30">
        <v>59.99</v>
      </c>
      <c r="G26" s="29">
        <v>59.99</v>
      </c>
      <c r="H26" s="28" t="s">
        <v>5526</v>
      </c>
      <c r="I26" s="27" t="s">
        <v>4</v>
      </c>
      <c r="J26" s="31" t="s">
        <v>21</v>
      </c>
      <c r="K26" s="27" t="s">
        <v>41</v>
      </c>
      <c r="L26" s="27" t="s">
        <v>45</v>
      </c>
      <c r="M26" s="32" t="str">
        <f>HYPERLINK("http://slimages.macys.com/is/image/MCY/3828708 ")</f>
        <v xml:space="preserve">http://slimages.macys.com/is/image/MCY/3828708 </v>
      </c>
    </row>
    <row r="27" spans="1:13" ht="15.2" customHeight="1" x14ac:dyDescent="0.2">
      <c r="A27" s="26" t="s">
        <v>9981</v>
      </c>
      <c r="B27" s="27" t="s">
        <v>9982</v>
      </c>
      <c r="C27" s="28">
        <v>1</v>
      </c>
      <c r="D27" s="29">
        <v>21.87</v>
      </c>
      <c r="E27" s="29">
        <v>21.87</v>
      </c>
      <c r="F27" s="30">
        <v>59.99</v>
      </c>
      <c r="G27" s="29">
        <v>59.99</v>
      </c>
      <c r="H27" s="28" t="s">
        <v>675</v>
      </c>
      <c r="I27" s="27" t="s">
        <v>22</v>
      </c>
      <c r="J27" s="31" t="s">
        <v>5</v>
      </c>
      <c r="K27" s="27" t="s">
        <v>41</v>
      </c>
      <c r="L27" s="27" t="s">
        <v>83</v>
      </c>
      <c r="M27" s="32" t="str">
        <f>HYPERLINK("http://slimages.macys.com/is/image/MCY/3736747 ")</f>
        <v xml:space="preserve">http://slimages.macys.com/is/image/MCY/3736747 </v>
      </c>
    </row>
    <row r="28" spans="1:13" ht="15.2" customHeight="1" x14ac:dyDescent="0.2">
      <c r="A28" s="26" t="s">
        <v>9904</v>
      </c>
      <c r="B28" s="27" t="s">
        <v>9905</v>
      </c>
      <c r="C28" s="28">
        <v>3</v>
      </c>
      <c r="D28" s="29">
        <v>21.74</v>
      </c>
      <c r="E28" s="29">
        <v>65.22</v>
      </c>
      <c r="F28" s="30">
        <v>59.5</v>
      </c>
      <c r="G28" s="29">
        <v>178.5</v>
      </c>
      <c r="H28" s="28" t="s">
        <v>9906</v>
      </c>
      <c r="I28" s="27" t="s">
        <v>4</v>
      </c>
      <c r="J28" s="31" t="s">
        <v>760</v>
      </c>
      <c r="K28" s="27" t="s">
        <v>41</v>
      </c>
      <c r="L28" s="27" t="s">
        <v>45</v>
      </c>
      <c r="M28" s="32" t="str">
        <f>HYPERLINK("http://slimages.macys.com/is/image/MCY/3444327 ")</f>
        <v xml:space="preserve">http://slimages.macys.com/is/image/MCY/3444327 </v>
      </c>
    </row>
    <row r="29" spans="1:13" ht="15.2" customHeight="1" x14ac:dyDescent="0.2">
      <c r="A29" s="26" t="s">
        <v>1110</v>
      </c>
      <c r="B29" s="27" t="s">
        <v>1111</v>
      </c>
      <c r="C29" s="28">
        <v>1</v>
      </c>
      <c r="D29" s="29">
        <v>20.86</v>
      </c>
      <c r="E29" s="29">
        <v>20.86</v>
      </c>
      <c r="F29" s="30">
        <v>50.99</v>
      </c>
      <c r="G29" s="29">
        <v>50.99</v>
      </c>
      <c r="H29" s="28" t="s">
        <v>1112</v>
      </c>
      <c r="I29" s="27" t="s">
        <v>4</v>
      </c>
      <c r="J29" s="31" t="s">
        <v>71</v>
      </c>
      <c r="K29" s="27" t="s">
        <v>41</v>
      </c>
      <c r="L29" s="27" t="s">
        <v>45</v>
      </c>
      <c r="M29" s="32" t="str">
        <f>HYPERLINK("http://slimages.macys.com/is/image/MCY/3598728 ")</f>
        <v xml:space="preserve">http://slimages.macys.com/is/image/MCY/3598728 </v>
      </c>
    </row>
    <row r="30" spans="1:13" ht="15.2" customHeight="1" x14ac:dyDescent="0.2">
      <c r="A30" s="26" t="s">
        <v>9983</v>
      </c>
      <c r="B30" s="27" t="s">
        <v>9984</v>
      </c>
      <c r="C30" s="28">
        <v>1</v>
      </c>
      <c r="D30" s="29">
        <v>20.85</v>
      </c>
      <c r="E30" s="29">
        <v>20.85</v>
      </c>
      <c r="F30" s="30">
        <v>69.5</v>
      </c>
      <c r="G30" s="29">
        <v>69.5</v>
      </c>
      <c r="H30" s="28">
        <v>60435383</v>
      </c>
      <c r="I30" s="27" t="s">
        <v>82</v>
      </c>
      <c r="J30" s="31" t="s">
        <v>52</v>
      </c>
      <c r="K30" s="27" t="s">
        <v>6</v>
      </c>
      <c r="L30" s="27" t="s">
        <v>7</v>
      </c>
      <c r="M30" s="32" t="str">
        <f>HYPERLINK("http://slimages.macys.com/is/image/MCY/3900381 ")</f>
        <v xml:space="preserve">http://slimages.macys.com/is/image/MCY/3900381 </v>
      </c>
    </row>
    <row r="31" spans="1:13" ht="15.2" customHeight="1" x14ac:dyDescent="0.2">
      <c r="A31" s="26" t="s">
        <v>7358</v>
      </c>
      <c r="B31" s="27" t="s">
        <v>7359</v>
      </c>
      <c r="C31" s="28">
        <v>1</v>
      </c>
      <c r="D31" s="29">
        <v>20.74</v>
      </c>
      <c r="E31" s="29">
        <v>20.74</v>
      </c>
      <c r="F31" s="30">
        <v>47.75</v>
      </c>
      <c r="G31" s="29">
        <v>47.75</v>
      </c>
      <c r="H31" s="28" t="s">
        <v>676</v>
      </c>
      <c r="I31" s="27" t="s">
        <v>10</v>
      </c>
      <c r="J31" s="31" t="s">
        <v>214</v>
      </c>
      <c r="K31" s="27" t="s">
        <v>41</v>
      </c>
      <c r="L31" s="27" t="s">
        <v>45</v>
      </c>
      <c r="M31" s="32" t="str">
        <f>HYPERLINK("http://slimages.macys.com/is/image/MCY/3678323 ")</f>
        <v xml:space="preserve">http://slimages.macys.com/is/image/MCY/3678323 </v>
      </c>
    </row>
    <row r="32" spans="1:13" ht="15.2" customHeight="1" x14ac:dyDescent="0.2">
      <c r="A32" s="26" t="s">
        <v>9985</v>
      </c>
      <c r="B32" s="27" t="s">
        <v>9986</v>
      </c>
      <c r="C32" s="28">
        <v>1</v>
      </c>
      <c r="D32" s="29">
        <v>20.74</v>
      </c>
      <c r="E32" s="29">
        <v>20.74</v>
      </c>
      <c r="F32" s="30">
        <v>47.75</v>
      </c>
      <c r="G32" s="29">
        <v>47.75</v>
      </c>
      <c r="H32" s="28" t="s">
        <v>676</v>
      </c>
      <c r="I32" s="27" t="s">
        <v>10</v>
      </c>
      <c r="J32" s="31"/>
      <c r="K32" s="27" t="s">
        <v>41</v>
      </c>
      <c r="L32" s="27" t="s">
        <v>45</v>
      </c>
      <c r="M32" s="32" t="str">
        <f>HYPERLINK("http://slimages.macys.com/is/image/MCY/3678323 ")</f>
        <v xml:space="preserve">http://slimages.macys.com/is/image/MCY/3678323 </v>
      </c>
    </row>
    <row r="33" spans="1:13" ht="15.2" customHeight="1" x14ac:dyDescent="0.2">
      <c r="A33" s="26" t="s">
        <v>9987</v>
      </c>
      <c r="B33" s="27" t="s">
        <v>9988</v>
      </c>
      <c r="C33" s="28">
        <v>1</v>
      </c>
      <c r="D33" s="29">
        <v>20.5</v>
      </c>
      <c r="E33" s="29">
        <v>20.5</v>
      </c>
      <c r="F33" s="30">
        <v>59</v>
      </c>
      <c r="G33" s="29">
        <v>59</v>
      </c>
      <c r="H33" s="28" t="s">
        <v>9989</v>
      </c>
      <c r="I33" s="27" t="s">
        <v>144</v>
      </c>
      <c r="J33" s="31" t="s">
        <v>40</v>
      </c>
      <c r="K33" s="27" t="s">
        <v>37</v>
      </c>
      <c r="L33" s="27" t="s">
        <v>38</v>
      </c>
      <c r="M33" s="32" t="str">
        <f>HYPERLINK("http://slimages.macys.com/is/image/MCY/3670403 ")</f>
        <v xml:space="preserve">http://slimages.macys.com/is/image/MCY/3670403 </v>
      </c>
    </row>
    <row r="34" spans="1:13" ht="15.2" customHeight="1" x14ac:dyDescent="0.2">
      <c r="A34" s="26" t="s">
        <v>9990</v>
      </c>
      <c r="B34" s="27" t="s">
        <v>9991</v>
      </c>
      <c r="C34" s="28">
        <v>1</v>
      </c>
      <c r="D34" s="29">
        <v>19.760000000000002</v>
      </c>
      <c r="E34" s="29">
        <v>19.760000000000002</v>
      </c>
      <c r="F34" s="30">
        <v>49.99</v>
      </c>
      <c r="G34" s="29">
        <v>49.99</v>
      </c>
      <c r="H34" s="28" t="s">
        <v>1122</v>
      </c>
      <c r="I34" s="27" t="s">
        <v>4</v>
      </c>
      <c r="J34" s="31" t="s">
        <v>21</v>
      </c>
      <c r="K34" s="27" t="s">
        <v>41</v>
      </c>
      <c r="L34" s="27" t="s">
        <v>45</v>
      </c>
      <c r="M34" s="32" t="str">
        <f>HYPERLINK("http://slimages.macys.com/is/image/MCY/3672029 ")</f>
        <v xml:space="preserve">http://slimages.macys.com/is/image/MCY/3672029 </v>
      </c>
    </row>
    <row r="35" spans="1:13" ht="15.2" customHeight="1" x14ac:dyDescent="0.2">
      <c r="A35" s="26" t="s">
        <v>6003</v>
      </c>
      <c r="B35" s="27" t="s">
        <v>6004</v>
      </c>
      <c r="C35" s="28">
        <v>1</v>
      </c>
      <c r="D35" s="29">
        <v>19</v>
      </c>
      <c r="E35" s="29">
        <v>19</v>
      </c>
      <c r="F35" s="30">
        <v>59</v>
      </c>
      <c r="G35" s="29">
        <v>59</v>
      </c>
      <c r="H35" s="28" t="s">
        <v>6002</v>
      </c>
      <c r="I35" s="27"/>
      <c r="J35" s="31" t="s">
        <v>40</v>
      </c>
      <c r="K35" s="27" t="s">
        <v>42</v>
      </c>
      <c r="L35" s="27" t="s">
        <v>43</v>
      </c>
      <c r="M35" s="32" t="str">
        <f>HYPERLINK("http://slimages.macys.com/is/image/MCY/3611454 ")</f>
        <v xml:space="preserve">http://slimages.macys.com/is/image/MCY/3611454 </v>
      </c>
    </row>
    <row r="36" spans="1:13" ht="15.2" customHeight="1" x14ac:dyDescent="0.2">
      <c r="A36" s="26" t="s">
        <v>9992</v>
      </c>
      <c r="B36" s="27" t="s">
        <v>9993</v>
      </c>
      <c r="C36" s="28">
        <v>1</v>
      </c>
      <c r="D36" s="29">
        <v>19</v>
      </c>
      <c r="E36" s="29">
        <v>19</v>
      </c>
      <c r="F36" s="30">
        <v>49.5</v>
      </c>
      <c r="G36" s="29">
        <v>49.5</v>
      </c>
      <c r="H36" s="28" t="s">
        <v>9994</v>
      </c>
      <c r="I36" s="27" t="s">
        <v>343</v>
      </c>
      <c r="J36" s="31" t="s">
        <v>40</v>
      </c>
      <c r="K36" s="27" t="s">
        <v>17</v>
      </c>
      <c r="L36" s="27" t="s">
        <v>18</v>
      </c>
      <c r="M36" s="32" t="str">
        <f>HYPERLINK("http://slimages.macys.com/is/image/MCY/3772966 ")</f>
        <v xml:space="preserve">http://slimages.macys.com/is/image/MCY/3772966 </v>
      </c>
    </row>
    <row r="37" spans="1:13" ht="15.2" customHeight="1" x14ac:dyDescent="0.2">
      <c r="A37" s="26" t="s">
        <v>9995</v>
      </c>
      <c r="B37" s="27" t="s">
        <v>9996</v>
      </c>
      <c r="C37" s="28">
        <v>1</v>
      </c>
      <c r="D37" s="29">
        <v>19</v>
      </c>
      <c r="E37" s="29">
        <v>19</v>
      </c>
      <c r="F37" s="30">
        <v>49.5</v>
      </c>
      <c r="G37" s="29">
        <v>49.5</v>
      </c>
      <c r="H37" s="28" t="s">
        <v>9994</v>
      </c>
      <c r="I37" s="27" t="s">
        <v>82</v>
      </c>
      <c r="J37" s="31" t="s">
        <v>71</v>
      </c>
      <c r="K37" s="27" t="s">
        <v>17</v>
      </c>
      <c r="L37" s="27" t="s">
        <v>18</v>
      </c>
      <c r="M37" s="32" t="str">
        <f>HYPERLINK("http://slimages.macys.com/is/image/MCY/3772966 ")</f>
        <v xml:space="preserve">http://slimages.macys.com/is/image/MCY/3772966 </v>
      </c>
    </row>
    <row r="38" spans="1:13" ht="15.2" customHeight="1" x14ac:dyDescent="0.2">
      <c r="A38" s="26" t="s">
        <v>9997</v>
      </c>
      <c r="B38" s="27" t="s">
        <v>9998</v>
      </c>
      <c r="C38" s="28">
        <v>1</v>
      </c>
      <c r="D38" s="29">
        <v>19</v>
      </c>
      <c r="E38" s="29">
        <v>19</v>
      </c>
      <c r="F38" s="30">
        <v>49.5</v>
      </c>
      <c r="G38" s="29">
        <v>49.5</v>
      </c>
      <c r="H38" s="28" t="s">
        <v>2824</v>
      </c>
      <c r="I38" s="27" t="s">
        <v>36</v>
      </c>
      <c r="J38" s="31" t="s">
        <v>40</v>
      </c>
      <c r="K38" s="27" t="s">
        <v>17</v>
      </c>
      <c r="L38" s="27" t="s">
        <v>18</v>
      </c>
      <c r="M38" s="32" t="str">
        <f>HYPERLINK("http://slimages.macys.com/is/image/MCY/3911324 ")</f>
        <v xml:space="preserve">http://slimages.macys.com/is/image/MCY/3911324 </v>
      </c>
    </row>
    <row r="39" spans="1:13" ht="15.2" customHeight="1" x14ac:dyDescent="0.2">
      <c r="A39" s="26" t="s">
        <v>9999</v>
      </c>
      <c r="B39" s="27" t="s">
        <v>10000</v>
      </c>
      <c r="C39" s="28">
        <v>1</v>
      </c>
      <c r="D39" s="29">
        <v>19</v>
      </c>
      <c r="E39" s="29">
        <v>19</v>
      </c>
      <c r="F39" s="30">
        <v>59</v>
      </c>
      <c r="G39" s="29">
        <v>59</v>
      </c>
      <c r="H39" s="28" t="s">
        <v>7495</v>
      </c>
      <c r="I39" s="27" t="s">
        <v>4</v>
      </c>
      <c r="J39" s="31" t="s">
        <v>214</v>
      </c>
      <c r="K39" s="27" t="s">
        <v>24</v>
      </c>
      <c r="L39" s="27" t="s">
        <v>101</v>
      </c>
      <c r="M39" s="32" t="str">
        <f>HYPERLINK("http://slimages.macys.com/is/image/MCY/3832800 ")</f>
        <v xml:space="preserve">http://slimages.macys.com/is/image/MCY/3832800 </v>
      </c>
    </row>
    <row r="40" spans="1:13" ht="15.2" customHeight="1" x14ac:dyDescent="0.2">
      <c r="A40" s="26" t="s">
        <v>5616</v>
      </c>
      <c r="B40" s="27" t="s">
        <v>5617</v>
      </c>
      <c r="C40" s="28">
        <v>1</v>
      </c>
      <c r="D40" s="29">
        <v>18.739999999999998</v>
      </c>
      <c r="E40" s="29">
        <v>18.739999999999998</v>
      </c>
      <c r="F40" s="30">
        <v>43.5</v>
      </c>
      <c r="G40" s="29">
        <v>43.5</v>
      </c>
      <c r="H40" s="28" t="s">
        <v>1133</v>
      </c>
      <c r="I40" s="27" t="s">
        <v>4</v>
      </c>
      <c r="J40" s="31" t="s">
        <v>113</v>
      </c>
      <c r="K40" s="27" t="s">
        <v>41</v>
      </c>
      <c r="L40" s="27" t="s">
        <v>45</v>
      </c>
      <c r="M40" s="32" t="str">
        <f>HYPERLINK("http://slimages.macys.com/is/image/MCY/3678345 ")</f>
        <v xml:space="preserve">http://slimages.macys.com/is/image/MCY/3678345 </v>
      </c>
    </row>
    <row r="41" spans="1:13" ht="15.2" customHeight="1" x14ac:dyDescent="0.2">
      <c r="A41" s="26" t="s">
        <v>10001</v>
      </c>
      <c r="B41" s="27" t="s">
        <v>10002</v>
      </c>
      <c r="C41" s="28">
        <v>1</v>
      </c>
      <c r="D41" s="29">
        <v>18.07</v>
      </c>
      <c r="E41" s="29">
        <v>18.07</v>
      </c>
      <c r="F41" s="30">
        <v>49.5</v>
      </c>
      <c r="G41" s="29">
        <v>49.5</v>
      </c>
      <c r="H41" s="28" t="s">
        <v>7897</v>
      </c>
      <c r="I41" s="27" t="s">
        <v>82</v>
      </c>
      <c r="J41" s="31" t="s">
        <v>5</v>
      </c>
      <c r="K41" s="27" t="s">
        <v>41</v>
      </c>
      <c r="L41" s="27" t="s">
        <v>68</v>
      </c>
      <c r="M41" s="32" t="str">
        <f>HYPERLINK("http://slimages.macys.com/is/image/MCY/3774496 ")</f>
        <v xml:space="preserve">http://slimages.macys.com/is/image/MCY/3774496 </v>
      </c>
    </row>
    <row r="42" spans="1:13" ht="15.2" customHeight="1" x14ac:dyDescent="0.2">
      <c r="A42" s="26" t="s">
        <v>10003</v>
      </c>
      <c r="B42" s="27" t="s">
        <v>10004</v>
      </c>
      <c r="C42" s="28">
        <v>1</v>
      </c>
      <c r="D42" s="29">
        <v>18.05</v>
      </c>
      <c r="E42" s="29">
        <v>18.05</v>
      </c>
      <c r="F42" s="30">
        <v>49.5</v>
      </c>
      <c r="G42" s="29">
        <v>49.5</v>
      </c>
      <c r="H42" s="28" t="s">
        <v>10005</v>
      </c>
      <c r="I42" s="27" t="s">
        <v>82</v>
      </c>
      <c r="J42" s="31" t="s">
        <v>52</v>
      </c>
      <c r="K42" s="27" t="s">
        <v>41</v>
      </c>
      <c r="L42" s="27" t="s">
        <v>83</v>
      </c>
      <c r="M42" s="32" t="str">
        <f>HYPERLINK("http://slimages.macys.com/is/image/MCY/3745612 ")</f>
        <v xml:space="preserve">http://slimages.macys.com/is/image/MCY/3745612 </v>
      </c>
    </row>
    <row r="43" spans="1:13" ht="15.2" customHeight="1" x14ac:dyDescent="0.2">
      <c r="A43" s="26" t="s">
        <v>8514</v>
      </c>
      <c r="B43" s="27" t="s">
        <v>8515</v>
      </c>
      <c r="C43" s="28">
        <v>1</v>
      </c>
      <c r="D43" s="29">
        <v>18.04</v>
      </c>
      <c r="E43" s="29">
        <v>18.04</v>
      </c>
      <c r="F43" s="30">
        <v>49.5</v>
      </c>
      <c r="G43" s="29">
        <v>49.5</v>
      </c>
      <c r="H43" s="28" t="s">
        <v>97</v>
      </c>
      <c r="I43" s="27" t="s">
        <v>22</v>
      </c>
      <c r="J43" s="31" t="s">
        <v>172</v>
      </c>
      <c r="K43" s="27" t="s">
        <v>41</v>
      </c>
      <c r="L43" s="27" t="s">
        <v>31</v>
      </c>
      <c r="M43" s="32" t="str">
        <f>HYPERLINK("http://slimages.macys.com/is/image/MCY/3810819 ")</f>
        <v xml:space="preserve">http://slimages.macys.com/is/image/MCY/3810819 </v>
      </c>
    </row>
    <row r="44" spans="1:13" ht="15.2" customHeight="1" x14ac:dyDescent="0.2">
      <c r="A44" s="26" t="s">
        <v>10006</v>
      </c>
      <c r="B44" s="27" t="s">
        <v>10007</v>
      </c>
      <c r="C44" s="28">
        <v>1</v>
      </c>
      <c r="D44" s="29">
        <v>18.04</v>
      </c>
      <c r="E44" s="29">
        <v>18.04</v>
      </c>
      <c r="F44" s="30">
        <v>49.5</v>
      </c>
      <c r="G44" s="29">
        <v>49.5</v>
      </c>
      <c r="H44" s="28" t="s">
        <v>10008</v>
      </c>
      <c r="I44" s="27" t="s">
        <v>82</v>
      </c>
      <c r="J44" s="31" t="s">
        <v>52</v>
      </c>
      <c r="K44" s="27" t="s">
        <v>41</v>
      </c>
      <c r="L44" s="27" t="s">
        <v>45</v>
      </c>
      <c r="M44" s="32" t="str">
        <f>HYPERLINK("http://slimages.macys.com/is/image/MCY/3625434 ")</f>
        <v xml:space="preserve">http://slimages.macys.com/is/image/MCY/3625434 </v>
      </c>
    </row>
    <row r="45" spans="1:13" ht="15.2" customHeight="1" x14ac:dyDescent="0.2">
      <c r="A45" s="26" t="s">
        <v>8259</v>
      </c>
      <c r="B45" s="27" t="s">
        <v>8260</v>
      </c>
      <c r="C45" s="28">
        <v>1</v>
      </c>
      <c r="D45" s="29">
        <v>18</v>
      </c>
      <c r="E45" s="29">
        <v>18</v>
      </c>
      <c r="F45" s="30">
        <v>59</v>
      </c>
      <c r="G45" s="29">
        <v>59</v>
      </c>
      <c r="H45" s="28" t="s">
        <v>100</v>
      </c>
      <c r="I45" s="27" t="s">
        <v>4</v>
      </c>
      <c r="J45" s="31" t="s">
        <v>65</v>
      </c>
      <c r="K45" s="27" t="s">
        <v>24</v>
      </c>
      <c r="L45" s="27" t="s">
        <v>101</v>
      </c>
      <c r="M45" s="32" t="str">
        <f>HYPERLINK("http://slimages.macys.com/is/image/MCY/3912998 ")</f>
        <v xml:space="preserve">http://slimages.macys.com/is/image/MCY/3912998 </v>
      </c>
    </row>
    <row r="46" spans="1:13" ht="15.2" customHeight="1" x14ac:dyDescent="0.2">
      <c r="A46" s="26" t="s">
        <v>98</v>
      </c>
      <c r="B46" s="27" t="s">
        <v>99</v>
      </c>
      <c r="C46" s="28">
        <v>1</v>
      </c>
      <c r="D46" s="29">
        <v>18</v>
      </c>
      <c r="E46" s="29">
        <v>18</v>
      </c>
      <c r="F46" s="30">
        <v>59</v>
      </c>
      <c r="G46" s="29">
        <v>59</v>
      </c>
      <c r="H46" s="28" t="s">
        <v>100</v>
      </c>
      <c r="I46" s="27" t="s">
        <v>4</v>
      </c>
      <c r="J46" s="31" t="s">
        <v>52</v>
      </c>
      <c r="K46" s="27" t="s">
        <v>24</v>
      </c>
      <c r="L46" s="27" t="s">
        <v>101</v>
      </c>
      <c r="M46" s="32" t="str">
        <f>HYPERLINK("http://slimages.macys.com/is/image/MCY/3912998 ")</f>
        <v xml:space="preserve">http://slimages.macys.com/is/image/MCY/3912998 </v>
      </c>
    </row>
    <row r="47" spans="1:13" ht="15.2" customHeight="1" x14ac:dyDescent="0.2">
      <c r="A47" s="26" t="s">
        <v>6867</v>
      </c>
      <c r="B47" s="27" t="s">
        <v>6868</v>
      </c>
      <c r="C47" s="28">
        <v>1</v>
      </c>
      <c r="D47" s="29">
        <v>18</v>
      </c>
      <c r="E47" s="29">
        <v>18</v>
      </c>
      <c r="F47" s="30">
        <v>59</v>
      </c>
      <c r="G47" s="29">
        <v>59</v>
      </c>
      <c r="H47" s="28" t="s">
        <v>100</v>
      </c>
      <c r="I47" s="27" t="s">
        <v>4</v>
      </c>
      <c r="J47" s="31" t="s">
        <v>40</v>
      </c>
      <c r="K47" s="27" t="s">
        <v>24</v>
      </c>
      <c r="L47" s="27" t="s">
        <v>101</v>
      </c>
      <c r="M47" s="32" t="str">
        <f>HYPERLINK("http://slimages.macys.com/is/image/MCY/3912998 ")</f>
        <v xml:space="preserve">http://slimages.macys.com/is/image/MCY/3912998 </v>
      </c>
    </row>
    <row r="48" spans="1:13" ht="15.2" customHeight="1" x14ac:dyDescent="0.2">
      <c r="A48" s="26" t="s">
        <v>696</v>
      </c>
      <c r="B48" s="27" t="s">
        <v>697</v>
      </c>
      <c r="C48" s="28">
        <v>1</v>
      </c>
      <c r="D48" s="29">
        <v>18</v>
      </c>
      <c r="E48" s="29">
        <v>18</v>
      </c>
      <c r="F48" s="30">
        <v>59</v>
      </c>
      <c r="G48" s="29">
        <v>59</v>
      </c>
      <c r="H48" s="28" t="s">
        <v>100</v>
      </c>
      <c r="I48" s="27" t="s">
        <v>4</v>
      </c>
      <c r="J48" s="31" t="s">
        <v>21</v>
      </c>
      <c r="K48" s="27" t="s">
        <v>24</v>
      </c>
      <c r="L48" s="27" t="s">
        <v>101</v>
      </c>
      <c r="M48" s="32" t="str">
        <f>HYPERLINK("http://slimages.macys.com/is/image/MCY/3912998 ")</f>
        <v xml:space="preserve">http://slimages.macys.com/is/image/MCY/3912998 </v>
      </c>
    </row>
    <row r="49" spans="1:13" ht="15.2" customHeight="1" x14ac:dyDescent="0.2">
      <c r="A49" s="26" t="s">
        <v>10009</v>
      </c>
      <c r="B49" s="27" t="s">
        <v>10010</v>
      </c>
      <c r="C49" s="28">
        <v>1</v>
      </c>
      <c r="D49" s="29">
        <v>16.48</v>
      </c>
      <c r="E49" s="29">
        <v>16.48</v>
      </c>
      <c r="F49" s="30">
        <v>44.5</v>
      </c>
      <c r="G49" s="29">
        <v>44.5</v>
      </c>
      <c r="H49" s="28" t="s">
        <v>10011</v>
      </c>
      <c r="I49" s="27" t="s">
        <v>4</v>
      </c>
      <c r="J49" s="31" t="s">
        <v>50</v>
      </c>
      <c r="K49" s="27" t="s">
        <v>12</v>
      </c>
      <c r="L49" s="27" t="s">
        <v>13</v>
      </c>
      <c r="M49" s="32" t="str">
        <f>HYPERLINK("http://slimages.macys.com/is/image/MCY/3441435 ")</f>
        <v xml:space="preserve">http://slimages.macys.com/is/image/MCY/3441435 </v>
      </c>
    </row>
    <row r="50" spans="1:13" ht="15.2" customHeight="1" x14ac:dyDescent="0.2">
      <c r="A50" s="26" t="s">
        <v>10012</v>
      </c>
      <c r="B50" s="27" t="s">
        <v>10013</v>
      </c>
      <c r="C50" s="28">
        <v>1</v>
      </c>
      <c r="D50" s="29">
        <v>16.25</v>
      </c>
      <c r="E50" s="29">
        <v>16.25</v>
      </c>
      <c r="F50" s="30">
        <v>40</v>
      </c>
      <c r="G50" s="29">
        <v>40</v>
      </c>
      <c r="H50" s="28" t="s">
        <v>8602</v>
      </c>
      <c r="I50" s="27" t="s">
        <v>59</v>
      </c>
      <c r="J50" s="31" t="s">
        <v>40</v>
      </c>
      <c r="K50" s="27" t="s">
        <v>70</v>
      </c>
      <c r="L50" s="27" t="s">
        <v>999</v>
      </c>
      <c r="M50" s="32" t="str">
        <f>HYPERLINK("http://slimages.macys.com/is/image/MCY/3723533 ")</f>
        <v xml:space="preserve">http://slimages.macys.com/is/image/MCY/3723533 </v>
      </c>
    </row>
    <row r="51" spans="1:13" ht="15.2" customHeight="1" x14ac:dyDescent="0.2">
      <c r="A51" s="26" t="s">
        <v>7502</v>
      </c>
      <c r="B51" s="27" t="s">
        <v>7503</v>
      </c>
      <c r="C51" s="28">
        <v>3</v>
      </c>
      <c r="D51" s="29">
        <v>16.239999999999998</v>
      </c>
      <c r="E51" s="29">
        <v>48.72</v>
      </c>
      <c r="F51" s="30">
        <v>44.5</v>
      </c>
      <c r="G51" s="29">
        <v>133.5</v>
      </c>
      <c r="H51" s="28" t="s">
        <v>711</v>
      </c>
      <c r="I51" s="27" t="s">
        <v>49</v>
      </c>
      <c r="J51" s="31" t="s">
        <v>5</v>
      </c>
      <c r="K51" s="27" t="s">
        <v>41</v>
      </c>
      <c r="L51" s="27" t="s">
        <v>90</v>
      </c>
      <c r="M51" s="32" t="str">
        <f>HYPERLINK("http://slimages.macys.com/is/image/MCY/3774436 ")</f>
        <v xml:space="preserve">http://slimages.macys.com/is/image/MCY/3774436 </v>
      </c>
    </row>
    <row r="52" spans="1:13" ht="15.2" customHeight="1" x14ac:dyDescent="0.2">
      <c r="A52" s="26" t="s">
        <v>2116</v>
      </c>
      <c r="B52" s="27" t="s">
        <v>2117</v>
      </c>
      <c r="C52" s="28">
        <v>1</v>
      </c>
      <c r="D52" s="29">
        <v>16.239999999999998</v>
      </c>
      <c r="E52" s="29">
        <v>16.239999999999998</v>
      </c>
      <c r="F52" s="30">
        <v>44.5</v>
      </c>
      <c r="G52" s="29">
        <v>44.5</v>
      </c>
      <c r="H52" s="28" t="s">
        <v>2118</v>
      </c>
      <c r="I52" s="27" t="s">
        <v>82</v>
      </c>
      <c r="J52" s="31" t="s">
        <v>21</v>
      </c>
      <c r="K52" s="27" t="s">
        <v>41</v>
      </c>
      <c r="L52" s="27" t="s">
        <v>45</v>
      </c>
      <c r="M52" s="32" t="str">
        <f>HYPERLINK("http://slimages.macys.com/is/image/MCY/3802077 ")</f>
        <v xml:space="preserve">http://slimages.macys.com/is/image/MCY/3802077 </v>
      </c>
    </row>
    <row r="53" spans="1:13" ht="15.2" customHeight="1" x14ac:dyDescent="0.2">
      <c r="A53" s="26" t="s">
        <v>1754</v>
      </c>
      <c r="B53" s="27" t="s">
        <v>1755</v>
      </c>
      <c r="C53" s="28">
        <v>1</v>
      </c>
      <c r="D53" s="29">
        <v>16.239999999999998</v>
      </c>
      <c r="E53" s="29">
        <v>16.239999999999998</v>
      </c>
      <c r="F53" s="30">
        <v>44.5</v>
      </c>
      <c r="G53" s="29">
        <v>44.5</v>
      </c>
      <c r="H53" s="28" t="s">
        <v>141</v>
      </c>
      <c r="I53" s="27" t="s">
        <v>22</v>
      </c>
      <c r="J53" s="31" t="s">
        <v>21</v>
      </c>
      <c r="K53" s="27" t="s">
        <v>41</v>
      </c>
      <c r="L53" s="27" t="s">
        <v>45</v>
      </c>
      <c r="M53" s="32" t="str">
        <f>HYPERLINK("http://slimages.macys.com/is/image/MCY/3802073 ")</f>
        <v xml:space="preserve">http://slimages.macys.com/is/image/MCY/3802073 </v>
      </c>
    </row>
    <row r="54" spans="1:13" ht="15.2" customHeight="1" x14ac:dyDescent="0.2">
      <c r="A54" s="26" t="s">
        <v>10014</v>
      </c>
      <c r="B54" s="27" t="s">
        <v>10015</v>
      </c>
      <c r="C54" s="28">
        <v>2</v>
      </c>
      <c r="D54" s="29">
        <v>16.239999999999998</v>
      </c>
      <c r="E54" s="29">
        <v>32.479999999999997</v>
      </c>
      <c r="F54" s="30">
        <v>44.5</v>
      </c>
      <c r="G54" s="29">
        <v>89</v>
      </c>
      <c r="H54" s="28" t="s">
        <v>2118</v>
      </c>
      <c r="I54" s="27" t="s">
        <v>82</v>
      </c>
      <c r="J54" s="31" t="s">
        <v>172</v>
      </c>
      <c r="K54" s="27" t="s">
        <v>41</v>
      </c>
      <c r="L54" s="27" t="s">
        <v>45</v>
      </c>
      <c r="M54" s="32" t="str">
        <f>HYPERLINK("http://slimages.macys.com/is/image/MCY/3802077 ")</f>
        <v xml:space="preserve">http://slimages.macys.com/is/image/MCY/3802077 </v>
      </c>
    </row>
    <row r="55" spans="1:13" ht="15.2" customHeight="1" x14ac:dyDescent="0.2">
      <c r="A55" s="26" t="s">
        <v>7370</v>
      </c>
      <c r="B55" s="27" t="s">
        <v>7371</v>
      </c>
      <c r="C55" s="28">
        <v>1</v>
      </c>
      <c r="D55" s="29">
        <v>16.239999999999998</v>
      </c>
      <c r="E55" s="29">
        <v>16.239999999999998</v>
      </c>
      <c r="F55" s="30">
        <v>44.5</v>
      </c>
      <c r="G55" s="29">
        <v>44.5</v>
      </c>
      <c r="H55" s="28" t="s">
        <v>141</v>
      </c>
      <c r="I55" s="27" t="s">
        <v>82</v>
      </c>
      <c r="J55" s="31" t="s">
        <v>21</v>
      </c>
      <c r="K55" s="27" t="s">
        <v>41</v>
      </c>
      <c r="L55" s="27" t="s">
        <v>45</v>
      </c>
      <c r="M55" s="32" t="str">
        <f>HYPERLINK("http://slimages.macys.com/is/image/MCY/3802073 ")</f>
        <v xml:space="preserve">http://slimages.macys.com/is/image/MCY/3802073 </v>
      </c>
    </row>
    <row r="56" spans="1:13" ht="15.2" customHeight="1" x14ac:dyDescent="0.2">
      <c r="A56" s="26" t="s">
        <v>2119</v>
      </c>
      <c r="B56" s="27" t="s">
        <v>2120</v>
      </c>
      <c r="C56" s="28">
        <v>1</v>
      </c>
      <c r="D56" s="29">
        <v>16.239999999999998</v>
      </c>
      <c r="E56" s="29">
        <v>16.239999999999998</v>
      </c>
      <c r="F56" s="30">
        <v>44.5</v>
      </c>
      <c r="G56" s="29">
        <v>44.5</v>
      </c>
      <c r="H56" s="28" t="s">
        <v>706</v>
      </c>
      <c r="I56" s="27" t="s">
        <v>22</v>
      </c>
      <c r="J56" s="31" t="s">
        <v>65</v>
      </c>
      <c r="K56" s="27" t="s">
        <v>41</v>
      </c>
      <c r="L56" s="27" t="s">
        <v>90</v>
      </c>
      <c r="M56" s="32" t="str">
        <f>HYPERLINK("http://slimages.macys.com/is/image/MCY/3774436 ")</f>
        <v xml:space="preserve">http://slimages.macys.com/is/image/MCY/3774436 </v>
      </c>
    </row>
    <row r="57" spans="1:13" ht="15.2" customHeight="1" x14ac:dyDescent="0.2">
      <c r="A57" s="26" t="s">
        <v>138</v>
      </c>
      <c r="B57" s="27" t="s">
        <v>139</v>
      </c>
      <c r="C57" s="28">
        <v>1</v>
      </c>
      <c r="D57" s="29">
        <v>16.239999999999998</v>
      </c>
      <c r="E57" s="29">
        <v>16.239999999999998</v>
      </c>
      <c r="F57" s="30">
        <v>44.5</v>
      </c>
      <c r="G57" s="29">
        <v>44.5</v>
      </c>
      <c r="H57" s="28" t="s">
        <v>140</v>
      </c>
      <c r="I57" s="27" t="s">
        <v>10</v>
      </c>
      <c r="J57" s="31" t="s">
        <v>71</v>
      </c>
      <c r="K57" s="27" t="s">
        <v>41</v>
      </c>
      <c r="L57" s="27" t="s">
        <v>90</v>
      </c>
      <c r="M57" s="32" t="str">
        <f>HYPERLINK("http://slimages.macys.com/is/image/MCY/3774436 ")</f>
        <v xml:space="preserve">http://slimages.macys.com/is/image/MCY/3774436 </v>
      </c>
    </row>
    <row r="58" spans="1:13" ht="15.2" customHeight="1" x14ac:dyDescent="0.2">
      <c r="A58" s="26" t="s">
        <v>704</v>
      </c>
      <c r="B58" s="27" t="s">
        <v>705</v>
      </c>
      <c r="C58" s="28">
        <v>1</v>
      </c>
      <c r="D58" s="29">
        <v>16.239999999999998</v>
      </c>
      <c r="E58" s="29">
        <v>16.239999999999998</v>
      </c>
      <c r="F58" s="30">
        <v>44.5</v>
      </c>
      <c r="G58" s="29">
        <v>44.5</v>
      </c>
      <c r="H58" s="28" t="s">
        <v>706</v>
      </c>
      <c r="I58" s="27" t="s">
        <v>22</v>
      </c>
      <c r="J58" s="31" t="s">
        <v>5</v>
      </c>
      <c r="K58" s="27" t="s">
        <v>41</v>
      </c>
      <c r="L58" s="27" t="s">
        <v>90</v>
      </c>
      <c r="M58" s="32" t="str">
        <f>HYPERLINK("http://slimages.macys.com/is/image/MCY/3774436 ")</f>
        <v xml:space="preserve">http://slimages.macys.com/is/image/MCY/3774436 </v>
      </c>
    </row>
    <row r="59" spans="1:13" ht="15.2" customHeight="1" x14ac:dyDescent="0.2">
      <c r="A59" s="26" t="s">
        <v>1756</v>
      </c>
      <c r="B59" s="27" t="s">
        <v>1757</v>
      </c>
      <c r="C59" s="28">
        <v>1</v>
      </c>
      <c r="D59" s="29">
        <v>16.239999999999998</v>
      </c>
      <c r="E59" s="29">
        <v>16.239999999999998</v>
      </c>
      <c r="F59" s="30">
        <v>44.5</v>
      </c>
      <c r="G59" s="29">
        <v>44.5</v>
      </c>
      <c r="H59" s="28" t="s">
        <v>141</v>
      </c>
      <c r="I59" s="27" t="s">
        <v>22</v>
      </c>
      <c r="J59" s="31" t="s">
        <v>5</v>
      </c>
      <c r="K59" s="27" t="s">
        <v>41</v>
      </c>
      <c r="L59" s="27" t="s">
        <v>45</v>
      </c>
      <c r="M59" s="32" t="str">
        <f>HYPERLINK("http://slimages.macys.com/is/image/MCY/3802073 ")</f>
        <v xml:space="preserve">http://slimages.macys.com/is/image/MCY/3802073 </v>
      </c>
    </row>
    <row r="60" spans="1:13" ht="15.2" customHeight="1" x14ac:dyDescent="0.2">
      <c r="A60" s="26" t="s">
        <v>10016</v>
      </c>
      <c r="B60" s="27" t="s">
        <v>10017</v>
      </c>
      <c r="C60" s="28">
        <v>1</v>
      </c>
      <c r="D60" s="29">
        <v>15.75</v>
      </c>
      <c r="E60" s="29">
        <v>15.75</v>
      </c>
      <c r="F60" s="30">
        <v>49</v>
      </c>
      <c r="G60" s="29">
        <v>49</v>
      </c>
      <c r="H60" s="28" t="s">
        <v>10018</v>
      </c>
      <c r="I60" s="27" t="s">
        <v>94</v>
      </c>
      <c r="J60" s="31" t="s">
        <v>172</v>
      </c>
      <c r="K60" s="27" t="s">
        <v>37</v>
      </c>
      <c r="L60" s="27" t="s">
        <v>38</v>
      </c>
      <c r="M60" s="32" t="str">
        <f>HYPERLINK("http://slimages.macys.com/is/image/MCY/3600591 ")</f>
        <v xml:space="preserve">http://slimages.macys.com/is/image/MCY/3600591 </v>
      </c>
    </row>
    <row r="61" spans="1:13" ht="15.2" customHeight="1" x14ac:dyDescent="0.2">
      <c r="A61" s="26" t="s">
        <v>1164</v>
      </c>
      <c r="B61" s="27" t="s">
        <v>1165</v>
      </c>
      <c r="C61" s="28">
        <v>1</v>
      </c>
      <c r="D61" s="29">
        <v>15.75</v>
      </c>
      <c r="E61" s="29">
        <v>15.75</v>
      </c>
      <c r="F61" s="30">
        <v>49</v>
      </c>
      <c r="G61" s="29">
        <v>49</v>
      </c>
      <c r="H61" s="28" t="s">
        <v>1166</v>
      </c>
      <c r="I61" s="27" t="s">
        <v>377</v>
      </c>
      <c r="J61" s="31" t="s">
        <v>71</v>
      </c>
      <c r="K61" s="27" t="s">
        <v>37</v>
      </c>
      <c r="L61" s="27" t="s">
        <v>38</v>
      </c>
      <c r="M61" s="32" t="str">
        <f>HYPERLINK("http://slimages.macys.com/is/image/MCY/3670401 ")</f>
        <v xml:space="preserve">http://slimages.macys.com/is/image/MCY/3670401 </v>
      </c>
    </row>
    <row r="62" spans="1:13" ht="15.2" customHeight="1" x14ac:dyDescent="0.2">
      <c r="A62" s="26" t="s">
        <v>10019</v>
      </c>
      <c r="B62" s="27" t="s">
        <v>10020</v>
      </c>
      <c r="C62" s="28">
        <v>1</v>
      </c>
      <c r="D62" s="29">
        <v>15.61</v>
      </c>
      <c r="E62" s="29">
        <v>15.61</v>
      </c>
      <c r="F62" s="30">
        <v>34.5</v>
      </c>
      <c r="G62" s="29">
        <v>34.5</v>
      </c>
      <c r="H62" s="28" t="s">
        <v>10021</v>
      </c>
      <c r="I62" s="27" t="s">
        <v>26</v>
      </c>
      <c r="J62" s="31" t="s">
        <v>760</v>
      </c>
      <c r="K62" s="27" t="s">
        <v>41</v>
      </c>
      <c r="L62" s="27" t="s">
        <v>45</v>
      </c>
      <c r="M62" s="32" t="str">
        <f>HYPERLINK("http://slimages.macys.com/is/image/MCY/3444355 ")</f>
        <v xml:space="preserve">http://slimages.macys.com/is/image/MCY/3444355 </v>
      </c>
    </row>
    <row r="63" spans="1:13" ht="15.2" customHeight="1" x14ac:dyDescent="0.2">
      <c r="A63" s="26" t="s">
        <v>10022</v>
      </c>
      <c r="B63" s="27" t="s">
        <v>10023</v>
      </c>
      <c r="C63" s="28">
        <v>1</v>
      </c>
      <c r="D63" s="29">
        <v>15</v>
      </c>
      <c r="E63" s="29">
        <v>15</v>
      </c>
      <c r="F63" s="30">
        <v>39.5</v>
      </c>
      <c r="G63" s="29">
        <v>39.5</v>
      </c>
      <c r="H63" s="28" t="s">
        <v>718</v>
      </c>
      <c r="I63" s="27" t="s">
        <v>285</v>
      </c>
      <c r="J63" s="31" t="s">
        <v>21</v>
      </c>
      <c r="K63" s="27" t="s">
        <v>17</v>
      </c>
      <c r="L63" s="27" t="s">
        <v>18</v>
      </c>
      <c r="M63" s="32" t="str">
        <f>HYPERLINK("http://slimages.macys.com/is/image/MCY/3895640 ")</f>
        <v xml:space="preserve">http://slimages.macys.com/is/image/MCY/3895640 </v>
      </c>
    </row>
    <row r="64" spans="1:13" ht="15.2" customHeight="1" x14ac:dyDescent="0.2">
      <c r="A64" s="26" t="s">
        <v>10024</v>
      </c>
      <c r="B64" s="27" t="s">
        <v>10025</v>
      </c>
      <c r="C64" s="28">
        <v>1</v>
      </c>
      <c r="D64" s="29">
        <v>15</v>
      </c>
      <c r="E64" s="29">
        <v>15</v>
      </c>
      <c r="F64" s="30">
        <v>39.5</v>
      </c>
      <c r="G64" s="29">
        <v>39.5</v>
      </c>
      <c r="H64" s="28" t="s">
        <v>718</v>
      </c>
      <c r="I64" s="27" t="s">
        <v>285</v>
      </c>
      <c r="J64" s="31" t="s">
        <v>40</v>
      </c>
      <c r="K64" s="27" t="s">
        <v>17</v>
      </c>
      <c r="L64" s="27" t="s">
        <v>18</v>
      </c>
      <c r="M64" s="32" t="str">
        <f>HYPERLINK("http://slimages.macys.com/is/image/MCY/3895640 ")</f>
        <v xml:space="preserve">http://slimages.macys.com/is/image/MCY/3895640 </v>
      </c>
    </row>
    <row r="65" spans="1:13" ht="15.2" customHeight="1" x14ac:dyDescent="0.2">
      <c r="A65" s="26" t="s">
        <v>3222</v>
      </c>
      <c r="B65" s="27" t="s">
        <v>3223</v>
      </c>
      <c r="C65" s="28">
        <v>1</v>
      </c>
      <c r="D65" s="29">
        <v>14.5</v>
      </c>
      <c r="E65" s="29">
        <v>14.5</v>
      </c>
      <c r="F65" s="30">
        <v>45</v>
      </c>
      <c r="G65" s="29">
        <v>45</v>
      </c>
      <c r="H65" s="28" t="s">
        <v>1768</v>
      </c>
      <c r="I65" s="27" t="s">
        <v>82</v>
      </c>
      <c r="J65" s="31" t="s">
        <v>65</v>
      </c>
      <c r="K65" s="27" t="s">
        <v>154</v>
      </c>
      <c r="L65" s="27" t="s">
        <v>155</v>
      </c>
      <c r="M65" s="32" t="str">
        <f>HYPERLINK("http://slimages.macys.com/is/image/MCY/3841161 ")</f>
        <v xml:space="preserve">http://slimages.macys.com/is/image/MCY/3841161 </v>
      </c>
    </row>
    <row r="66" spans="1:13" ht="15.2" customHeight="1" x14ac:dyDescent="0.2">
      <c r="A66" s="26" t="s">
        <v>10026</v>
      </c>
      <c r="B66" s="27" t="s">
        <v>10027</v>
      </c>
      <c r="C66" s="28">
        <v>1</v>
      </c>
      <c r="D66" s="29">
        <v>14.5</v>
      </c>
      <c r="E66" s="29">
        <v>14.5</v>
      </c>
      <c r="F66" s="30">
        <v>45</v>
      </c>
      <c r="G66" s="29">
        <v>45</v>
      </c>
      <c r="H66" s="28" t="s">
        <v>1768</v>
      </c>
      <c r="I66" s="27" t="s">
        <v>82</v>
      </c>
      <c r="J66" s="31" t="s">
        <v>21</v>
      </c>
      <c r="K66" s="27" t="s">
        <v>154</v>
      </c>
      <c r="L66" s="27" t="s">
        <v>155</v>
      </c>
      <c r="M66" s="32" t="str">
        <f>HYPERLINK("http://slimages.macys.com/is/image/MCY/3841161 ")</f>
        <v xml:space="preserve">http://slimages.macys.com/is/image/MCY/3841161 </v>
      </c>
    </row>
    <row r="67" spans="1:13" ht="15.2" customHeight="1" x14ac:dyDescent="0.2">
      <c r="A67" s="26" t="s">
        <v>1766</v>
      </c>
      <c r="B67" s="27" t="s">
        <v>1767</v>
      </c>
      <c r="C67" s="28">
        <v>1</v>
      </c>
      <c r="D67" s="29">
        <v>14.5</v>
      </c>
      <c r="E67" s="29">
        <v>14.5</v>
      </c>
      <c r="F67" s="30">
        <v>45</v>
      </c>
      <c r="G67" s="29">
        <v>45</v>
      </c>
      <c r="H67" s="28" t="s">
        <v>1768</v>
      </c>
      <c r="I67" s="27" t="s">
        <v>82</v>
      </c>
      <c r="J67" s="31" t="s">
        <v>52</v>
      </c>
      <c r="K67" s="27" t="s">
        <v>154</v>
      </c>
      <c r="L67" s="27" t="s">
        <v>155</v>
      </c>
      <c r="M67" s="32" t="str">
        <f>HYPERLINK("http://slimages.macys.com/is/image/MCY/3841161 ")</f>
        <v xml:space="preserve">http://slimages.macys.com/is/image/MCY/3841161 </v>
      </c>
    </row>
    <row r="68" spans="1:13" ht="15.2" customHeight="1" x14ac:dyDescent="0.2">
      <c r="A68" s="26" t="s">
        <v>8264</v>
      </c>
      <c r="B68" s="27" t="s">
        <v>8265</v>
      </c>
      <c r="C68" s="28">
        <v>1</v>
      </c>
      <c r="D68" s="29">
        <v>14.5</v>
      </c>
      <c r="E68" s="29">
        <v>14.5</v>
      </c>
      <c r="F68" s="30">
        <v>34.99</v>
      </c>
      <c r="G68" s="29">
        <v>34.99</v>
      </c>
      <c r="H68" s="28" t="s">
        <v>732</v>
      </c>
      <c r="I68" s="27" t="s">
        <v>82</v>
      </c>
      <c r="J68" s="31" t="s">
        <v>230</v>
      </c>
      <c r="K68" s="27" t="s">
        <v>200</v>
      </c>
      <c r="L68" s="27" t="s">
        <v>133</v>
      </c>
      <c r="M68" s="32" t="str">
        <f>HYPERLINK("http://slimages.macys.com/is/image/MCY/3206673 ")</f>
        <v xml:space="preserve">http://slimages.macys.com/is/image/MCY/3206673 </v>
      </c>
    </row>
    <row r="69" spans="1:13" ht="15.2" customHeight="1" x14ac:dyDescent="0.2">
      <c r="A69" s="26" t="s">
        <v>2133</v>
      </c>
      <c r="B69" s="27" t="s">
        <v>2134</v>
      </c>
      <c r="C69" s="28">
        <v>1</v>
      </c>
      <c r="D69" s="29">
        <v>14.5</v>
      </c>
      <c r="E69" s="29">
        <v>14.5</v>
      </c>
      <c r="F69" s="30">
        <v>49</v>
      </c>
      <c r="G69" s="29">
        <v>49</v>
      </c>
      <c r="H69" s="28" t="s">
        <v>2132</v>
      </c>
      <c r="I69" s="27" t="s">
        <v>4</v>
      </c>
      <c r="J69" s="31" t="s">
        <v>21</v>
      </c>
      <c r="K69" s="27" t="s">
        <v>154</v>
      </c>
      <c r="L69" s="27" t="s">
        <v>155</v>
      </c>
      <c r="M69" s="32" t="str">
        <f>HYPERLINK("http://slimages.macys.com/is/image/MCY/3877448 ")</f>
        <v xml:space="preserve">http://slimages.macys.com/is/image/MCY/3877448 </v>
      </c>
    </row>
    <row r="70" spans="1:13" ht="15.2" customHeight="1" x14ac:dyDescent="0.2">
      <c r="A70" s="26" t="s">
        <v>727</v>
      </c>
      <c r="B70" s="27" t="s">
        <v>728</v>
      </c>
      <c r="C70" s="28">
        <v>2</v>
      </c>
      <c r="D70" s="29">
        <v>14.5</v>
      </c>
      <c r="E70" s="29">
        <v>29</v>
      </c>
      <c r="F70" s="30">
        <v>45</v>
      </c>
      <c r="G70" s="29">
        <v>90</v>
      </c>
      <c r="H70" s="28" t="s">
        <v>729</v>
      </c>
      <c r="I70" s="27" t="s">
        <v>82</v>
      </c>
      <c r="J70" s="31" t="s">
        <v>5</v>
      </c>
      <c r="K70" s="27" t="s">
        <v>154</v>
      </c>
      <c r="L70" s="27" t="s">
        <v>155</v>
      </c>
      <c r="M70" s="32" t="str">
        <f>HYPERLINK("http://slimages.macys.com/is/image/MCY/3801889 ")</f>
        <v xml:space="preserve">http://slimages.macys.com/is/image/MCY/3801889 </v>
      </c>
    </row>
    <row r="71" spans="1:13" ht="15.2" customHeight="1" x14ac:dyDescent="0.2">
      <c r="A71" s="26" t="s">
        <v>10028</v>
      </c>
      <c r="B71" s="27" t="s">
        <v>10029</v>
      </c>
      <c r="C71" s="28">
        <v>1</v>
      </c>
      <c r="D71" s="29">
        <v>14.49</v>
      </c>
      <c r="E71" s="29">
        <v>14.49</v>
      </c>
      <c r="F71" s="30">
        <v>39.5</v>
      </c>
      <c r="G71" s="29">
        <v>39.5</v>
      </c>
      <c r="H71" s="28" t="s">
        <v>10030</v>
      </c>
      <c r="I71" s="27" t="s">
        <v>4</v>
      </c>
      <c r="J71" s="31" t="s">
        <v>40</v>
      </c>
      <c r="K71" s="27" t="s">
        <v>53</v>
      </c>
      <c r="L71" s="27" t="s">
        <v>54</v>
      </c>
      <c r="M71" s="32" t="str">
        <f>HYPERLINK("http://slimages.macys.com/is/image/MCY/3537838 ")</f>
        <v xml:space="preserve">http://slimages.macys.com/is/image/MCY/3537838 </v>
      </c>
    </row>
    <row r="72" spans="1:13" ht="15.2" customHeight="1" x14ac:dyDescent="0.2">
      <c r="A72" s="26" t="s">
        <v>6954</v>
      </c>
      <c r="B72" s="27" t="s">
        <v>6955</v>
      </c>
      <c r="C72" s="28">
        <v>1</v>
      </c>
      <c r="D72" s="29">
        <v>14.41</v>
      </c>
      <c r="E72" s="29">
        <v>14.41</v>
      </c>
      <c r="F72" s="30">
        <v>39.5</v>
      </c>
      <c r="G72" s="29">
        <v>39.5</v>
      </c>
      <c r="H72" s="28" t="s">
        <v>735</v>
      </c>
      <c r="I72" s="27" t="s">
        <v>22</v>
      </c>
      <c r="J72" s="31" t="s">
        <v>52</v>
      </c>
      <c r="K72" s="27" t="s">
        <v>41</v>
      </c>
      <c r="L72" s="27" t="s">
        <v>45</v>
      </c>
      <c r="M72" s="32" t="str">
        <f>HYPERLINK("http://slimages.macys.com/is/image/MCY/3810736 ")</f>
        <v xml:space="preserve">http://slimages.macys.com/is/image/MCY/3810736 </v>
      </c>
    </row>
    <row r="73" spans="1:13" ht="15.2" customHeight="1" x14ac:dyDescent="0.2">
      <c r="A73" s="26" t="s">
        <v>8205</v>
      </c>
      <c r="B73" s="27" t="s">
        <v>8206</v>
      </c>
      <c r="C73" s="28">
        <v>1</v>
      </c>
      <c r="D73" s="29">
        <v>14</v>
      </c>
      <c r="E73" s="29">
        <v>14</v>
      </c>
      <c r="F73" s="30">
        <v>44</v>
      </c>
      <c r="G73" s="29">
        <v>44</v>
      </c>
      <c r="H73" s="28" t="s">
        <v>8207</v>
      </c>
      <c r="I73" s="27" t="s">
        <v>295</v>
      </c>
      <c r="J73" s="31" t="s">
        <v>40</v>
      </c>
      <c r="K73" s="27" t="s">
        <v>37</v>
      </c>
      <c r="L73" s="27" t="s">
        <v>38</v>
      </c>
      <c r="M73" s="32" t="str">
        <f>HYPERLINK("http://slimages.macys.com/is/image/MCY/3801921 ")</f>
        <v xml:space="preserve">http://slimages.macys.com/is/image/MCY/3801921 </v>
      </c>
    </row>
    <row r="74" spans="1:13" ht="15.2" customHeight="1" x14ac:dyDescent="0.2">
      <c r="A74" s="26" t="s">
        <v>2858</v>
      </c>
      <c r="B74" s="27" t="s">
        <v>2859</v>
      </c>
      <c r="C74" s="28">
        <v>1</v>
      </c>
      <c r="D74" s="29">
        <v>13.5</v>
      </c>
      <c r="E74" s="29">
        <v>13.5</v>
      </c>
      <c r="F74" s="30">
        <v>29.99</v>
      </c>
      <c r="G74" s="29">
        <v>29.99</v>
      </c>
      <c r="H74" s="28" t="s">
        <v>2860</v>
      </c>
      <c r="I74" s="27" t="s">
        <v>4</v>
      </c>
      <c r="J74" s="31" t="s">
        <v>205</v>
      </c>
      <c r="K74" s="27" t="s">
        <v>200</v>
      </c>
      <c r="L74" s="27" t="s">
        <v>741</v>
      </c>
      <c r="M74" s="32" t="str">
        <f>HYPERLINK("http://slimages.macys.com/is/image/MCY/3732749 ")</f>
        <v xml:space="preserve">http://slimages.macys.com/is/image/MCY/3732749 </v>
      </c>
    </row>
    <row r="75" spans="1:13" ht="15.2" customHeight="1" x14ac:dyDescent="0.2">
      <c r="A75" s="26" t="s">
        <v>7375</v>
      </c>
      <c r="B75" s="27" t="s">
        <v>7376</v>
      </c>
      <c r="C75" s="28">
        <v>1</v>
      </c>
      <c r="D75" s="29">
        <v>13.5</v>
      </c>
      <c r="E75" s="29">
        <v>13.5</v>
      </c>
      <c r="F75" s="30">
        <v>29.99</v>
      </c>
      <c r="G75" s="29">
        <v>29.99</v>
      </c>
      <c r="H75" s="28" t="s">
        <v>739</v>
      </c>
      <c r="I75" s="27" t="s">
        <v>189</v>
      </c>
      <c r="J75" s="31" t="s">
        <v>230</v>
      </c>
      <c r="K75" s="27" t="s">
        <v>200</v>
      </c>
      <c r="L75" s="27" t="s">
        <v>133</v>
      </c>
      <c r="M75" s="32" t="str">
        <f>HYPERLINK("http://slimages.macys.com/is/image/MCY/3866347 ")</f>
        <v xml:space="preserve">http://slimages.macys.com/is/image/MCY/3866347 </v>
      </c>
    </row>
    <row r="76" spans="1:13" ht="15.2" customHeight="1" x14ac:dyDescent="0.2">
      <c r="A76" s="26" t="s">
        <v>1191</v>
      </c>
      <c r="B76" s="27" t="s">
        <v>1192</v>
      </c>
      <c r="C76" s="28">
        <v>1</v>
      </c>
      <c r="D76" s="29">
        <v>13.5</v>
      </c>
      <c r="E76" s="29">
        <v>13.5</v>
      </c>
      <c r="F76" s="30">
        <v>29.99</v>
      </c>
      <c r="G76" s="29">
        <v>29.99</v>
      </c>
      <c r="H76" s="28" t="s">
        <v>739</v>
      </c>
      <c r="I76" s="27" t="s">
        <v>207</v>
      </c>
      <c r="J76" s="31" t="s">
        <v>210</v>
      </c>
      <c r="K76" s="27" t="s">
        <v>200</v>
      </c>
      <c r="L76" s="27" t="s">
        <v>133</v>
      </c>
      <c r="M76" s="32" t="str">
        <f>HYPERLINK("http://slimages.macys.com/is/image/MCY/3866347 ")</f>
        <v xml:space="preserve">http://slimages.macys.com/is/image/MCY/3866347 </v>
      </c>
    </row>
    <row r="77" spans="1:13" ht="15.2" customHeight="1" x14ac:dyDescent="0.2">
      <c r="A77" s="26" t="s">
        <v>1781</v>
      </c>
      <c r="B77" s="27" t="s">
        <v>1782</v>
      </c>
      <c r="C77" s="28">
        <v>1</v>
      </c>
      <c r="D77" s="29">
        <v>13.5</v>
      </c>
      <c r="E77" s="29">
        <v>13.5</v>
      </c>
      <c r="F77" s="30">
        <v>29.99</v>
      </c>
      <c r="G77" s="29">
        <v>29.99</v>
      </c>
      <c r="H77" s="28" t="s">
        <v>739</v>
      </c>
      <c r="I77" s="27" t="s">
        <v>189</v>
      </c>
      <c r="J77" s="31" t="s">
        <v>205</v>
      </c>
      <c r="K77" s="27" t="s">
        <v>200</v>
      </c>
      <c r="L77" s="27" t="s">
        <v>133</v>
      </c>
      <c r="M77" s="32" t="str">
        <f>HYPERLINK("http://slimages.macys.com/is/image/MCY/3866347 ")</f>
        <v xml:space="preserve">http://slimages.macys.com/is/image/MCY/3866347 </v>
      </c>
    </row>
    <row r="78" spans="1:13" ht="15.2" customHeight="1" x14ac:dyDescent="0.2">
      <c r="A78" s="26" t="s">
        <v>7655</v>
      </c>
      <c r="B78" s="27" t="s">
        <v>7656</v>
      </c>
      <c r="C78" s="28">
        <v>1</v>
      </c>
      <c r="D78" s="29">
        <v>13.5</v>
      </c>
      <c r="E78" s="29">
        <v>13.5</v>
      </c>
      <c r="F78" s="30">
        <v>33.99</v>
      </c>
      <c r="G78" s="29">
        <v>33.99</v>
      </c>
      <c r="H78" s="28" t="s">
        <v>1778</v>
      </c>
      <c r="I78" s="27" t="s">
        <v>4</v>
      </c>
      <c r="J78" s="31" t="s">
        <v>21</v>
      </c>
      <c r="K78" s="27" t="s">
        <v>70</v>
      </c>
      <c r="L78" s="27" t="s">
        <v>101</v>
      </c>
      <c r="M78" s="32" t="str">
        <f>HYPERLINK("http://slimages.macys.com/is/image/MCY/3832798 ")</f>
        <v xml:space="preserve">http://slimages.macys.com/is/image/MCY/3832798 </v>
      </c>
    </row>
    <row r="79" spans="1:13" ht="15.2" customHeight="1" x14ac:dyDescent="0.2">
      <c r="A79" s="26" t="s">
        <v>10031</v>
      </c>
      <c r="B79" s="27" t="s">
        <v>10032</v>
      </c>
      <c r="C79" s="28">
        <v>1</v>
      </c>
      <c r="D79" s="29">
        <v>13.5</v>
      </c>
      <c r="E79" s="29">
        <v>13.5</v>
      </c>
      <c r="F79" s="30">
        <v>29.99</v>
      </c>
      <c r="G79" s="29">
        <v>29.99</v>
      </c>
      <c r="H79" s="28" t="s">
        <v>4823</v>
      </c>
      <c r="I79" s="27" t="s">
        <v>26</v>
      </c>
      <c r="J79" s="31" t="s">
        <v>230</v>
      </c>
      <c r="K79" s="27" t="s">
        <v>200</v>
      </c>
      <c r="L79" s="27" t="s">
        <v>287</v>
      </c>
      <c r="M79" s="32" t="str">
        <f>HYPERLINK("http://slimages.macys.com/is/image/MCY/3631723 ")</f>
        <v xml:space="preserve">http://slimages.macys.com/is/image/MCY/3631723 </v>
      </c>
    </row>
    <row r="80" spans="1:13" ht="15.2" customHeight="1" x14ac:dyDescent="0.2">
      <c r="A80" s="26" t="s">
        <v>10033</v>
      </c>
      <c r="B80" s="27" t="s">
        <v>10034</v>
      </c>
      <c r="C80" s="28">
        <v>1</v>
      </c>
      <c r="D80" s="29">
        <v>13.5</v>
      </c>
      <c r="E80" s="29">
        <v>13.5</v>
      </c>
      <c r="F80" s="30">
        <v>29</v>
      </c>
      <c r="G80" s="29">
        <v>29</v>
      </c>
      <c r="H80" s="28" t="s">
        <v>10035</v>
      </c>
      <c r="I80" s="27" t="s">
        <v>59</v>
      </c>
      <c r="J80" s="31" t="s">
        <v>216</v>
      </c>
      <c r="K80" s="27" t="s">
        <v>200</v>
      </c>
      <c r="L80" s="27" t="s">
        <v>133</v>
      </c>
      <c r="M80" s="32" t="str">
        <f>HYPERLINK("http://slimages.macys.com/is/image/MCY/3755490 ")</f>
        <v xml:space="preserve">http://slimages.macys.com/is/image/MCY/3755490 </v>
      </c>
    </row>
    <row r="81" spans="1:13" ht="15.2" customHeight="1" x14ac:dyDescent="0.2">
      <c r="A81" s="26" t="s">
        <v>7377</v>
      </c>
      <c r="B81" s="27" t="s">
        <v>7378</v>
      </c>
      <c r="C81" s="28">
        <v>1</v>
      </c>
      <c r="D81" s="29">
        <v>13.5</v>
      </c>
      <c r="E81" s="29">
        <v>13.5</v>
      </c>
      <c r="F81" s="30">
        <v>29.99</v>
      </c>
      <c r="G81" s="29">
        <v>29.99</v>
      </c>
      <c r="H81" s="28" t="s">
        <v>739</v>
      </c>
      <c r="I81" s="27" t="s">
        <v>207</v>
      </c>
      <c r="J81" s="31" t="s">
        <v>69</v>
      </c>
      <c r="K81" s="27" t="s">
        <v>200</v>
      </c>
      <c r="L81" s="27" t="s">
        <v>133</v>
      </c>
      <c r="M81" s="32" t="str">
        <f>HYPERLINK("http://slimages.macys.com/is/image/MCY/3866347 ")</f>
        <v xml:space="preserve">http://slimages.macys.com/is/image/MCY/3866347 </v>
      </c>
    </row>
    <row r="82" spans="1:13" ht="15.2" customHeight="1" x14ac:dyDescent="0.2">
      <c r="A82" s="26" t="s">
        <v>10036</v>
      </c>
      <c r="B82" s="27" t="s">
        <v>10037</v>
      </c>
      <c r="C82" s="28">
        <v>1</v>
      </c>
      <c r="D82" s="29">
        <v>13.5</v>
      </c>
      <c r="E82" s="29">
        <v>13.5</v>
      </c>
      <c r="F82" s="30">
        <v>39</v>
      </c>
      <c r="G82" s="29">
        <v>39</v>
      </c>
      <c r="H82" s="28" t="s">
        <v>8267</v>
      </c>
      <c r="I82" s="27" t="s">
        <v>4</v>
      </c>
      <c r="J82" s="31" t="s">
        <v>210</v>
      </c>
      <c r="K82" s="27" t="s">
        <v>154</v>
      </c>
      <c r="L82" s="27" t="s">
        <v>155</v>
      </c>
      <c r="M82" s="32" t="str">
        <f>HYPERLINK("http://slimages.macys.com/is/image/MCY/3651765 ")</f>
        <v xml:space="preserve">http://slimages.macys.com/is/image/MCY/3651765 </v>
      </c>
    </row>
    <row r="83" spans="1:13" ht="15.2" customHeight="1" x14ac:dyDescent="0.2">
      <c r="A83" s="26" t="s">
        <v>8494</v>
      </c>
      <c r="B83" s="27" t="s">
        <v>8495</v>
      </c>
      <c r="C83" s="28">
        <v>1</v>
      </c>
      <c r="D83" s="29">
        <v>13.5</v>
      </c>
      <c r="E83" s="29">
        <v>13.5</v>
      </c>
      <c r="F83" s="30">
        <v>39</v>
      </c>
      <c r="G83" s="29">
        <v>39</v>
      </c>
      <c r="H83" s="28" t="s">
        <v>1775</v>
      </c>
      <c r="I83" s="27"/>
      <c r="J83" s="31" t="s">
        <v>52</v>
      </c>
      <c r="K83" s="27" t="s">
        <v>154</v>
      </c>
      <c r="L83" s="27" t="s">
        <v>155</v>
      </c>
      <c r="M83" s="32" t="str">
        <f>HYPERLINK("http://slimages.macys.com/is/image/MCY/3748064 ")</f>
        <v xml:space="preserve">http://slimages.macys.com/is/image/MCY/3748064 </v>
      </c>
    </row>
    <row r="84" spans="1:13" ht="15.2" customHeight="1" x14ac:dyDescent="0.2">
      <c r="A84" s="26" t="s">
        <v>8496</v>
      </c>
      <c r="B84" s="27" t="s">
        <v>8497</v>
      </c>
      <c r="C84" s="28">
        <v>1</v>
      </c>
      <c r="D84" s="29">
        <v>13.25</v>
      </c>
      <c r="E84" s="29">
        <v>13.25</v>
      </c>
      <c r="F84" s="30">
        <v>24.99</v>
      </c>
      <c r="G84" s="29">
        <v>24.99</v>
      </c>
      <c r="H84" s="28" t="s">
        <v>744</v>
      </c>
      <c r="I84" s="27" t="s">
        <v>4</v>
      </c>
      <c r="J84" s="31" t="s">
        <v>71</v>
      </c>
      <c r="K84" s="27" t="s">
        <v>196</v>
      </c>
      <c r="L84" s="27" t="s">
        <v>197</v>
      </c>
      <c r="M84" s="32" t="str">
        <f>HYPERLINK("http://slimages.macys.com/is/image/MCY/3734929 ")</f>
        <v xml:space="preserve">http://slimages.macys.com/is/image/MCY/3734929 </v>
      </c>
    </row>
    <row r="85" spans="1:13" ht="15.2" customHeight="1" x14ac:dyDescent="0.2">
      <c r="A85" s="26" t="s">
        <v>10038</v>
      </c>
      <c r="B85" s="27" t="s">
        <v>10039</v>
      </c>
      <c r="C85" s="28">
        <v>1</v>
      </c>
      <c r="D85" s="29">
        <v>13.25</v>
      </c>
      <c r="E85" s="29">
        <v>13.25</v>
      </c>
      <c r="F85" s="30">
        <v>24.99</v>
      </c>
      <c r="G85" s="29">
        <v>24.99</v>
      </c>
      <c r="H85" s="28" t="s">
        <v>195</v>
      </c>
      <c r="I85" s="27" t="s">
        <v>8</v>
      </c>
      <c r="J85" s="31" t="s">
        <v>71</v>
      </c>
      <c r="K85" s="27" t="s">
        <v>196</v>
      </c>
      <c r="L85" s="27" t="s">
        <v>197</v>
      </c>
      <c r="M85" s="32" t="str">
        <f>HYPERLINK("http://slimages.macys.com/is/image/MCY/3734929 ")</f>
        <v xml:space="preserve">http://slimages.macys.com/is/image/MCY/3734929 </v>
      </c>
    </row>
    <row r="86" spans="1:13" ht="15.2" customHeight="1" x14ac:dyDescent="0.2">
      <c r="A86" s="26" t="s">
        <v>9850</v>
      </c>
      <c r="B86" s="27" t="s">
        <v>9851</v>
      </c>
      <c r="C86" s="28">
        <v>2</v>
      </c>
      <c r="D86" s="29">
        <v>13.25</v>
      </c>
      <c r="E86" s="29">
        <v>26.5</v>
      </c>
      <c r="F86" s="30">
        <v>24.99</v>
      </c>
      <c r="G86" s="29">
        <v>49.98</v>
      </c>
      <c r="H86" s="28" t="s">
        <v>195</v>
      </c>
      <c r="I86" s="27" t="s">
        <v>8</v>
      </c>
      <c r="J86" s="31" t="s">
        <v>40</v>
      </c>
      <c r="K86" s="27" t="s">
        <v>196</v>
      </c>
      <c r="L86" s="27" t="s">
        <v>197</v>
      </c>
      <c r="M86" s="32" t="str">
        <f>HYPERLINK("http://slimages.macys.com/is/image/MCY/3734929 ")</f>
        <v xml:space="preserve">http://slimages.macys.com/is/image/MCY/3734929 </v>
      </c>
    </row>
    <row r="87" spans="1:13" ht="15.2" customHeight="1" x14ac:dyDescent="0.2">
      <c r="A87" s="26" t="s">
        <v>7379</v>
      </c>
      <c r="B87" s="27" t="s">
        <v>7380</v>
      </c>
      <c r="C87" s="28">
        <v>3</v>
      </c>
      <c r="D87" s="29">
        <v>13.25</v>
      </c>
      <c r="E87" s="29">
        <v>39.75</v>
      </c>
      <c r="F87" s="30">
        <v>24.99</v>
      </c>
      <c r="G87" s="29">
        <v>74.97</v>
      </c>
      <c r="H87" s="28" t="s">
        <v>744</v>
      </c>
      <c r="I87" s="27" t="s">
        <v>4</v>
      </c>
      <c r="J87" s="31" t="s">
        <v>40</v>
      </c>
      <c r="K87" s="27" t="s">
        <v>196</v>
      </c>
      <c r="L87" s="27" t="s">
        <v>197</v>
      </c>
      <c r="M87" s="32" t="str">
        <f>HYPERLINK("http://slimages.macys.com/is/image/MCY/3734929 ")</f>
        <v xml:space="preserve">http://slimages.macys.com/is/image/MCY/3734929 </v>
      </c>
    </row>
    <row r="88" spans="1:13" ht="15.2" customHeight="1" x14ac:dyDescent="0.2">
      <c r="A88" s="26" t="s">
        <v>193</v>
      </c>
      <c r="B88" s="27" t="s">
        <v>194</v>
      </c>
      <c r="C88" s="28">
        <v>1</v>
      </c>
      <c r="D88" s="29">
        <v>13.25</v>
      </c>
      <c r="E88" s="29">
        <v>13.25</v>
      </c>
      <c r="F88" s="30">
        <v>24.99</v>
      </c>
      <c r="G88" s="29">
        <v>24.99</v>
      </c>
      <c r="H88" s="28" t="s">
        <v>195</v>
      </c>
      <c r="I88" s="27" t="s">
        <v>8</v>
      </c>
      <c r="J88" s="31" t="s">
        <v>21</v>
      </c>
      <c r="K88" s="27" t="s">
        <v>196</v>
      </c>
      <c r="L88" s="27" t="s">
        <v>197</v>
      </c>
      <c r="M88" s="32" t="str">
        <f>HYPERLINK("http://slimages.macys.com/is/image/MCY/3734929 ")</f>
        <v xml:space="preserve">http://slimages.macys.com/is/image/MCY/3734929 </v>
      </c>
    </row>
    <row r="89" spans="1:13" ht="15.2" customHeight="1" x14ac:dyDescent="0.2">
      <c r="A89" s="26" t="s">
        <v>7518</v>
      </c>
      <c r="B89" s="27" t="s">
        <v>7519</v>
      </c>
      <c r="C89" s="28">
        <v>2</v>
      </c>
      <c r="D89" s="29">
        <v>13</v>
      </c>
      <c r="E89" s="29">
        <v>26</v>
      </c>
      <c r="F89" s="30">
        <v>29.99</v>
      </c>
      <c r="G89" s="29">
        <v>59.98</v>
      </c>
      <c r="H89" s="28" t="s">
        <v>3244</v>
      </c>
      <c r="I89" s="27" t="s">
        <v>29</v>
      </c>
      <c r="J89" s="31" t="s">
        <v>113</v>
      </c>
      <c r="K89" s="27" t="s">
        <v>200</v>
      </c>
      <c r="L89" s="27" t="s">
        <v>747</v>
      </c>
      <c r="M89" s="32" t="str">
        <f>HYPERLINK("http://slimages.macys.com/is/image/MCY/3955897 ")</f>
        <v xml:space="preserve">http://slimages.macys.com/is/image/MCY/3955897 </v>
      </c>
    </row>
    <row r="90" spans="1:13" ht="15.2" customHeight="1" x14ac:dyDescent="0.2">
      <c r="A90" s="26" t="s">
        <v>4454</v>
      </c>
      <c r="B90" s="27" t="s">
        <v>4455</v>
      </c>
      <c r="C90" s="28">
        <v>1</v>
      </c>
      <c r="D90" s="29">
        <v>13</v>
      </c>
      <c r="E90" s="29">
        <v>13</v>
      </c>
      <c r="F90" s="30">
        <v>29.99</v>
      </c>
      <c r="G90" s="29">
        <v>29.99</v>
      </c>
      <c r="H90" s="28" t="s">
        <v>2146</v>
      </c>
      <c r="I90" s="27" t="s">
        <v>1</v>
      </c>
      <c r="J90" s="31" t="s">
        <v>234</v>
      </c>
      <c r="K90" s="27" t="s">
        <v>200</v>
      </c>
      <c r="L90" s="27" t="s">
        <v>1201</v>
      </c>
      <c r="M90" s="32" t="str">
        <f>HYPERLINK("http://slimages.macys.com/is/image/MCY/3853817 ")</f>
        <v xml:space="preserve">http://slimages.macys.com/is/image/MCY/3853817 </v>
      </c>
    </row>
    <row r="91" spans="1:13" ht="15.2" customHeight="1" x14ac:dyDescent="0.2">
      <c r="A91" s="26" t="s">
        <v>8443</v>
      </c>
      <c r="B91" s="27" t="s">
        <v>8444</v>
      </c>
      <c r="C91" s="28">
        <v>1</v>
      </c>
      <c r="D91" s="29">
        <v>13</v>
      </c>
      <c r="E91" s="29">
        <v>13</v>
      </c>
      <c r="F91" s="30">
        <v>29.99</v>
      </c>
      <c r="G91" s="29">
        <v>29.99</v>
      </c>
      <c r="H91" s="28" t="s">
        <v>7740</v>
      </c>
      <c r="I91" s="27" t="s">
        <v>189</v>
      </c>
      <c r="J91" s="31" t="s">
        <v>113</v>
      </c>
      <c r="K91" s="27" t="s">
        <v>200</v>
      </c>
      <c r="L91" s="27" t="s">
        <v>1201</v>
      </c>
      <c r="M91" s="32" t="str">
        <f>HYPERLINK("http://slimages.macys.com/is/image/MCY/3683256 ")</f>
        <v xml:space="preserve">http://slimages.macys.com/is/image/MCY/3683256 </v>
      </c>
    </row>
    <row r="92" spans="1:13" ht="15.2" customHeight="1" x14ac:dyDescent="0.2">
      <c r="A92" s="26" t="s">
        <v>1204</v>
      </c>
      <c r="B92" s="27" t="s">
        <v>1205</v>
      </c>
      <c r="C92" s="28">
        <v>1</v>
      </c>
      <c r="D92" s="29">
        <v>13</v>
      </c>
      <c r="E92" s="29">
        <v>13</v>
      </c>
      <c r="F92" s="30">
        <v>29.99</v>
      </c>
      <c r="G92" s="29">
        <v>29.99</v>
      </c>
      <c r="H92" s="28" t="s">
        <v>1206</v>
      </c>
      <c r="I92" s="27" t="s">
        <v>4</v>
      </c>
      <c r="J92" s="31" t="s">
        <v>216</v>
      </c>
      <c r="K92" s="27" t="s">
        <v>200</v>
      </c>
      <c r="L92" s="27" t="s">
        <v>133</v>
      </c>
      <c r="M92" s="32" t="str">
        <f>HYPERLINK("http://slimages.macys.com/is/image/MCY/3874256 ")</f>
        <v xml:space="preserve">http://slimages.macys.com/is/image/MCY/3874256 </v>
      </c>
    </row>
    <row r="93" spans="1:13" ht="15.2" customHeight="1" x14ac:dyDescent="0.2">
      <c r="A93" s="26" t="s">
        <v>3242</v>
      </c>
      <c r="B93" s="27" t="s">
        <v>3243</v>
      </c>
      <c r="C93" s="28">
        <v>1</v>
      </c>
      <c r="D93" s="29">
        <v>13</v>
      </c>
      <c r="E93" s="29">
        <v>13</v>
      </c>
      <c r="F93" s="30">
        <v>29.99</v>
      </c>
      <c r="G93" s="29">
        <v>29.99</v>
      </c>
      <c r="H93" s="28" t="s">
        <v>3244</v>
      </c>
      <c r="I93" s="27" t="s">
        <v>29</v>
      </c>
      <c r="J93" s="31" t="s">
        <v>69</v>
      </c>
      <c r="K93" s="27" t="s">
        <v>200</v>
      </c>
      <c r="L93" s="27" t="s">
        <v>747</v>
      </c>
      <c r="M93" s="32" t="str">
        <f>HYPERLINK("http://slimages.macys.com/is/image/MCY/3955897 ")</f>
        <v xml:space="preserve">http://slimages.macys.com/is/image/MCY/3955897 </v>
      </c>
    </row>
    <row r="94" spans="1:13" ht="15.2" customHeight="1" x14ac:dyDescent="0.2">
      <c r="A94" s="26" t="s">
        <v>10040</v>
      </c>
      <c r="B94" s="27" t="s">
        <v>10041</v>
      </c>
      <c r="C94" s="28">
        <v>1</v>
      </c>
      <c r="D94" s="29">
        <v>13</v>
      </c>
      <c r="E94" s="29">
        <v>13</v>
      </c>
      <c r="F94" s="30">
        <v>29.99</v>
      </c>
      <c r="G94" s="29">
        <v>29.99</v>
      </c>
      <c r="H94" s="28" t="s">
        <v>1207</v>
      </c>
      <c r="I94" s="27" t="s">
        <v>4</v>
      </c>
      <c r="J94" s="31" t="s">
        <v>113</v>
      </c>
      <c r="K94" s="27" t="s">
        <v>200</v>
      </c>
      <c r="L94" s="27" t="s">
        <v>133</v>
      </c>
      <c r="M94" s="32" t="str">
        <f>HYPERLINK("http://slimages.macys.com/is/image/MCY/3874062 ")</f>
        <v xml:space="preserve">http://slimages.macys.com/is/image/MCY/3874062 </v>
      </c>
    </row>
    <row r="95" spans="1:13" ht="15.2" customHeight="1" x14ac:dyDescent="0.2">
      <c r="A95" s="26" t="s">
        <v>2147</v>
      </c>
      <c r="B95" s="27" t="s">
        <v>2148</v>
      </c>
      <c r="C95" s="28">
        <v>1</v>
      </c>
      <c r="D95" s="29">
        <v>13</v>
      </c>
      <c r="E95" s="29">
        <v>13</v>
      </c>
      <c r="F95" s="30">
        <v>29.99</v>
      </c>
      <c r="G95" s="29">
        <v>29.99</v>
      </c>
      <c r="H95" s="28" t="s">
        <v>1206</v>
      </c>
      <c r="I95" s="27" t="s">
        <v>4</v>
      </c>
      <c r="J95" s="31" t="s">
        <v>210</v>
      </c>
      <c r="K95" s="27" t="s">
        <v>200</v>
      </c>
      <c r="L95" s="27" t="s">
        <v>133</v>
      </c>
      <c r="M95" s="32" t="str">
        <f>HYPERLINK("http://slimages.macys.com/is/image/MCY/3874256 ")</f>
        <v xml:space="preserve">http://slimages.macys.com/is/image/MCY/3874256 </v>
      </c>
    </row>
    <row r="96" spans="1:13" ht="15.2" customHeight="1" x14ac:dyDescent="0.2">
      <c r="A96" s="26" t="s">
        <v>10042</v>
      </c>
      <c r="B96" s="27" t="s">
        <v>10043</v>
      </c>
      <c r="C96" s="28">
        <v>1</v>
      </c>
      <c r="D96" s="29">
        <v>12.75</v>
      </c>
      <c r="E96" s="29">
        <v>12.75</v>
      </c>
      <c r="F96" s="30">
        <v>29.99</v>
      </c>
      <c r="G96" s="29">
        <v>29.99</v>
      </c>
      <c r="H96" s="28" t="s">
        <v>2880</v>
      </c>
      <c r="I96" s="27" t="s">
        <v>10</v>
      </c>
      <c r="J96" s="31" t="s">
        <v>205</v>
      </c>
      <c r="K96" s="27" t="s">
        <v>200</v>
      </c>
      <c r="L96" s="27" t="s">
        <v>552</v>
      </c>
      <c r="M96" s="32" t="str">
        <f>HYPERLINK("http://slimages.macys.com/is/image/MCY/3779565 ")</f>
        <v xml:space="preserve">http://slimages.macys.com/is/image/MCY/3779565 </v>
      </c>
    </row>
    <row r="97" spans="1:13" ht="15.2" customHeight="1" x14ac:dyDescent="0.2">
      <c r="A97" s="26" t="s">
        <v>1790</v>
      </c>
      <c r="B97" s="27" t="s">
        <v>1791</v>
      </c>
      <c r="C97" s="28">
        <v>1</v>
      </c>
      <c r="D97" s="29">
        <v>12.75</v>
      </c>
      <c r="E97" s="29">
        <v>12.75</v>
      </c>
      <c r="F97" s="30">
        <v>29.99</v>
      </c>
      <c r="G97" s="29">
        <v>29.99</v>
      </c>
      <c r="H97" s="28" t="s">
        <v>759</v>
      </c>
      <c r="I97" s="27" t="s">
        <v>4</v>
      </c>
      <c r="J97" s="31" t="s">
        <v>5</v>
      </c>
      <c r="K97" s="27" t="s">
        <v>200</v>
      </c>
      <c r="L97" s="27" t="s">
        <v>201</v>
      </c>
      <c r="M97" s="32" t="str">
        <f>HYPERLINK("http://slimages.macys.com/is/image/MCY/3798023 ")</f>
        <v xml:space="preserve">http://slimages.macys.com/is/image/MCY/3798023 </v>
      </c>
    </row>
    <row r="98" spans="1:13" ht="15.2" customHeight="1" x14ac:dyDescent="0.2">
      <c r="A98" s="26" t="s">
        <v>7381</v>
      </c>
      <c r="B98" s="27" t="s">
        <v>7382</v>
      </c>
      <c r="C98" s="28">
        <v>2</v>
      </c>
      <c r="D98" s="29">
        <v>12.75</v>
      </c>
      <c r="E98" s="29">
        <v>25.5</v>
      </c>
      <c r="F98" s="30">
        <v>29.99</v>
      </c>
      <c r="G98" s="29">
        <v>59.98</v>
      </c>
      <c r="H98" s="28" t="s">
        <v>1789</v>
      </c>
      <c r="I98" s="27" t="s">
        <v>29</v>
      </c>
      <c r="J98" s="31" t="s">
        <v>5</v>
      </c>
      <c r="K98" s="27" t="s">
        <v>200</v>
      </c>
      <c r="L98" s="27" t="s">
        <v>201</v>
      </c>
      <c r="M98" s="32" t="str">
        <f>HYPERLINK("http://slimages.macys.com/is/image/MCY/3826877 ")</f>
        <v xml:space="preserve">http://slimages.macys.com/is/image/MCY/3826877 </v>
      </c>
    </row>
    <row r="99" spans="1:13" ht="15.2" customHeight="1" x14ac:dyDescent="0.2">
      <c r="A99" s="26" t="s">
        <v>7383</v>
      </c>
      <c r="B99" s="27" t="s">
        <v>7384</v>
      </c>
      <c r="C99" s="28">
        <v>1</v>
      </c>
      <c r="D99" s="29">
        <v>12.75</v>
      </c>
      <c r="E99" s="29">
        <v>12.75</v>
      </c>
      <c r="F99" s="30">
        <v>29.99</v>
      </c>
      <c r="G99" s="29">
        <v>29.99</v>
      </c>
      <c r="H99" s="28" t="s">
        <v>1789</v>
      </c>
      <c r="I99" s="27" t="s">
        <v>29</v>
      </c>
      <c r="J99" s="31" t="s">
        <v>21</v>
      </c>
      <c r="K99" s="27" t="s">
        <v>200</v>
      </c>
      <c r="L99" s="27" t="s">
        <v>201</v>
      </c>
      <c r="M99" s="32" t="str">
        <f>HYPERLINK("http://slimages.macys.com/is/image/MCY/3826877 ")</f>
        <v xml:space="preserve">http://slimages.macys.com/is/image/MCY/3826877 </v>
      </c>
    </row>
    <row r="100" spans="1:13" ht="15.2" customHeight="1" x14ac:dyDescent="0.2">
      <c r="A100" s="26" t="s">
        <v>8208</v>
      </c>
      <c r="B100" s="27" t="s">
        <v>8209</v>
      </c>
      <c r="C100" s="28">
        <v>1</v>
      </c>
      <c r="D100" s="29">
        <v>12.75</v>
      </c>
      <c r="E100" s="29">
        <v>12.75</v>
      </c>
      <c r="F100" s="30">
        <v>29.99</v>
      </c>
      <c r="G100" s="29">
        <v>29.99</v>
      </c>
      <c r="H100" s="28" t="s">
        <v>759</v>
      </c>
      <c r="I100" s="27" t="s">
        <v>29</v>
      </c>
      <c r="J100" s="31" t="s">
        <v>5</v>
      </c>
      <c r="K100" s="27" t="s">
        <v>200</v>
      </c>
      <c r="L100" s="27" t="s">
        <v>201</v>
      </c>
      <c r="M100" s="32" t="str">
        <f>HYPERLINK("http://slimages.macys.com/is/image/MCY/3798023 ")</f>
        <v xml:space="preserve">http://slimages.macys.com/is/image/MCY/3798023 </v>
      </c>
    </row>
    <row r="101" spans="1:13" ht="15.2" customHeight="1" x14ac:dyDescent="0.2">
      <c r="A101" s="26" t="s">
        <v>10044</v>
      </c>
      <c r="B101" s="27" t="s">
        <v>10045</v>
      </c>
      <c r="C101" s="28">
        <v>1</v>
      </c>
      <c r="D101" s="29">
        <v>12.65</v>
      </c>
      <c r="E101" s="29">
        <v>12.65</v>
      </c>
      <c r="F101" s="30">
        <v>29.99</v>
      </c>
      <c r="G101" s="29">
        <v>29.99</v>
      </c>
      <c r="H101" s="28" t="s">
        <v>10046</v>
      </c>
      <c r="I101" s="27" t="s">
        <v>1</v>
      </c>
      <c r="J101" s="31" t="s">
        <v>214</v>
      </c>
      <c r="K101" s="27" t="s">
        <v>200</v>
      </c>
      <c r="L101" s="27" t="s">
        <v>765</v>
      </c>
      <c r="M101" s="32" t="str">
        <f>HYPERLINK("http://slimages.macys.com/is/image/MCY/3773762 ")</f>
        <v xml:space="preserve">http://slimages.macys.com/is/image/MCY/3773762 </v>
      </c>
    </row>
    <row r="102" spans="1:13" ht="15.2" customHeight="1" x14ac:dyDescent="0.2">
      <c r="A102" s="26" t="s">
        <v>10047</v>
      </c>
      <c r="B102" s="27" t="s">
        <v>10048</v>
      </c>
      <c r="C102" s="28">
        <v>1</v>
      </c>
      <c r="D102" s="29">
        <v>12.5</v>
      </c>
      <c r="E102" s="29">
        <v>12.5</v>
      </c>
      <c r="F102" s="30">
        <v>49</v>
      </c>
      <c r="G102" s="29">
        <v>49</v>
      </c>
      <c r="H102" s="28" t="s">
        <v>1221</v>
      </c>
      <c r="I102" s="27" t="s">
        <v>26</v>
      </c>
      <c r="J102" s="31" t="s">
        <v>71</v>
      </c>
      <c r="K102" s="27" t="s">
        <v>154</v>
      </c>
      <c r="L102" s="27" t="s">
        <v>155</v>
      </c>
      <c r="M102" s="32" t="str">
        <f>HYPERLINK("http://slimages.macys.com/is/image/MCY/3852638 ")</f>
        <v xml:space="preserve">http://slimages.macys.com/is/image/MCY/3852638 </v>
      </c>
    </row>
    <row r="103" spans="1:13" ht="15.2" customHeight="1" x14ac:dyDescent="0.2">
      <c r="A103" s="26" t="s">
        <v>9920</v>
      </c>
      <c r="B103" s="27" t="s">
        <v>9921</v>
      </c>
      <c r="C103" s="28">
        <v>1</v>
      </c>
      <c r="D103" s="29">
        <v>12.5</v>
      </c>
      <c r="E103" s="29">
        <v>12.5</v>
      </c>
      <c r="F103" s="30">
        <v>39</v>
      </c>
      <c r="G103" s="29">
        <v>39</v>
      </c>
      <c r="H103" s="28" t="s">
        <v>206</v>
      </c>
      <c r="I103" s="27"/>
      <c r="J103" s="31" t="s">
        <v>5</v>
      </c>
      <c r="K103" s="27" t="s">
        <v>154</v>
      </c>
      <c r="L103" s="27" t="s">
        <v>155</v>
      </c>
      <c r="M103" s="32" t="str">
        <f>HYPERLINK("http://slimages.macys.com/is/image/MCY/3718873 ")</f>
        <v xml:space="preserve">http://slimages.macys.com/is/image/MCY/3718873 </v>
      </c>
    </row>
    <row r="104" spans="1:13" ht="15.2" customHeight="1" x14ac:dyDescent="0.2">
      <c r="A104" s="26" t="s">
        <v>10049</v>
      </c>
      <c r="B104" s="27" t="s">
        <v>10050</v>
      </c>
      <c r="C104" s="28">
        <v>1</v>
      </c>
      <c r="D104" s="29">
        <v>12.5</v>
      </c>
      <c r="E104" s="29">
        <v>12.5</v>
      </c>
      <c r="F104" s="30">
        <v>39</v>
      </c>
      <c r="G104" s="29">
        <v>39</v>
      </c>
      <c r="H104" s="28" t="s">
        <v>5017</v>
      </c>
      <c r="I104" s="27" t="s">
        <v>4</v>
      </c>
      <c r="J104" s="31" t="s">
        <v>52</v>
      </c>
      <c r="K104" s="27" t="s">
        <v>154</v>
      </c>
      <c r="L104" s="27" t="s">
        <v>155</v>
      </c>
      <c r="M104" s="32" t="str">
        <f>HYPERLINK("http://slimages.macys.com/is/image/MCY/3718919 ")</f>
        <v xml:space="preserve">http://slimages.macys.com/is/image/MCY/3718919 </v>
      </c>
    </row>
    <row r="105" spans="1:13" ht="15.2" customHeight="1" x14ac:dyDescent="0.2">
      <c r="A105" s="26" t="s">
        <v>10051</v>
      </c>
      <c r="B105" s="27" t="s">
        <v>10052</v>
      </c>
      <c r="C105" s="28">
        <v>1</v>
      </c>
      <c r="D105" s="29">
        <v>12.5</v>
      </c>
      <c r="E105" s="29">
        <v>12.5</v>
      </c>
      <c r="F105" s="30">
        <v>29.99</v>
      </c>
      <c r="G105" s="29">
        <v>29.99</v>
      </c>
      <c r="H105" s="28" t="s">
        <v>7745</v>
      </c>
      <c r="I105" s="27" t="s">
        <v>274</v>
      </c>
      <c r="J105" s="31" t="s">
        <v>234</v>
      </c>
      <c r="K105" s="27" t="s">
        <v>200</v>
      </c>
      <c r="L105" s="27" t="s">
        <v>741</v>
      </c>
      <c r="M105" s="32" t="str">
        <f>HYPERLINK("http://slimages.macys.com/is/image/MCY/3026748 ")</f>
        <v xml:space="preserve">http://slimages.macys.com/is/image/MCY/3026748 </v>
      </c>
    </row>
    <row r="106" spans="1:13" ht="15.2" customHeight="1" x14ac:dyDescent="0.2">
      <c r="A106" s="26" t="s">
        <v>2183</v>
      </c>
      <c r="B106" s="27" t="s">
        <v>2184</v>
      </c>
      <c r="C106" s="28">
        <v>1</v>
      </c>
      <c r="D106" s="29">
        <v>12</v>
      </c>
      <c r="E106" s="29">
        <v>12</v>
      </c>
      <c r="F106" s="30">
        <v>25.99</v>
      </c>
      <c r="G106" s="29">
        <v>25.99</v>
      </c>
      <c r="H106" s="28" t="s">
        <v>1798</v>
      </c>
      <c r="I106" s="27" t="s">
        <v>59</v>
      </c>
      <c r="J106" s="31" t="s">
        <v>214</v>
      </c>
      <c r="K106" s="27" t="s">
        <v>200</v>
      </c>
      <c r="L106" s="27" t="s">
        <v>243</v>
      </c>
      <c r="M106" s="32" t="str">
        <f>HYPERLINK("http://slimages.macys.com/is/image/MCY/3832882 ")</f>
        <v xml:space="preserve">http://slimages.macys.com/is/image/MCY/3832882 </v>
      </c>
    </row>
    <row r="107" spans="1:13" ht="15.2" customHeight="1" x14ac:dyDescent="0.2">
      <c r="A107" s="26" t="s">
        <v>9598</v>
      </c>
      <c r="B107" s="27" t="s">
        <v>9599</v>
      </c>
      <c r="C107" s="28">
        <v>1</v>
      </c>
      <c r="D107" s="29">
        <v>12</v>
      </c>
      <c r="E107" s="29">
        <v>12</v>
      </c>
      <c r="F107" s="30">
        <v>29.99</v>
      </c>
      <c r="G107" s="29">
        <v>29.99</v>
      </c>
      <c r="H107" s="28" t="s">
        <v>1235</v>
      </c>
      <c r="I107" s="27" t="s">
        <v>36</v>
      </c>
      <c r="J107" s="31" t="s">
        <v>214</v>
      </c>
      <c r="K107" s="27" t="s">
        <v>200</v>
      </c>
      <c r="L107" s="27" t="s">
        <v>552</v>
      </c>
      <c r="M107" s="32" t="str">
        <f>HYPERLINK("http://slimages.macys.com/is/image/MCY/3777681 ")</f>
        <v xml:space="preserve">http://slimages.macys.com/is/image/MCY/3777681 </v>
      </c>
    </row>
    <row r="108" spans="1:13" ht="15.2" customHeight="1" x14ac:dyDescent="0.2">
      <c r="A108" s="26" t="s">
        <v>10053</v>
      </c>
      <c r="B108" s="27" t="s">
        <v>10054</v>
      </c>
      <c r="C108" s="28">
        <v>1</v>
      </c>
      <c r="D108" s="29">
        <v>12</v>
      </c>
      <c r="E108" s="29">
        <v>12</v>
      </c>
      <c r="F108" s="30">
        <v>25.99</v>
      </c>
      <c r="G108" s="29">
        <v>25.99</v>
      </c>
      <c r="H108" s="28" t="s">
        <v>1798</v>
      </c>
      <c r="I108" s="27" t="s">
        <v>59</v>
      </c>
      <c r="J108" s="31" t="s">
        <v>234</v>
      </c>
      <c r="K108" s="27" t="s">
        <v>200</v>
      </c>
      <c r="L108" s="27" t="s">
        <v>243</v>
      </c>
      <c r="M108" s="32" t="str">
        <f>HYPERLINK("http://slimages.macys.com/is/image/MCY/3832882 ")</f>
        <v xml:space="preserve">http://slimages.macys.com/is/image/MCY/3832882 </v>
      </c>
    </row>
    <row r="109" spans="1:13" ht="15.2" customHeight="1" x14ac:dyDescent="0.2">
      <c r="A109" s="26" t="s">
        <v>10055</v>
      </c>
      <c r="B109" s="27" t="s">
        <v>10056</v>
      </c>
      <c r="C109" s="28">
        <v>1</v>
      </c>
      <c r="D109" s="29">
        <v>12</v>
      </c>
      <c r="E109" s="29">
        <v>12</v>
      </c>
      <c r="F109" s="30">
        <v>49</v>
      </c>
      <c r="G109" s="29">
        <v>49</v>
      </c>
      <c r="H109" s="28" t="s">
        <v>2179</v>
      </c>
      <c r="I109" s="27" t="s">
        <v>4</v>
      </c>
      <c r="J109" s="31" t="s">
        <v>5</v>
      </c>
      <c r="K109" s="27" t="s">
        <v>154</v>
      </c>
      <c r="L109" s="27" t="s">
        <v>155</v>
      </c>
      <c r="M109" s="32" t="str">
        <f>HYPERLINK("http://slimages.macys.com/is/image/MCY/3852663 ")</f>
        <v xml:space="preserve">http://slimages.macys.com/is/image/MCY/3852663 </v>
      </c>
    </row>
    <row r="110" spans="1:13" ht="15.2" customHeight="1" x14ac:dyDescent="0.2">
      <c r="A110" s="26" t="s">
        <v>7945</v>
      </c>
      <c r="B110" s="27" t="s">
        <v>7946</v>
      </c>
      <c r="C110" s="28">
        <v>1</v>
      </c>
      <c r="D110" s="29">
        <v>12</v>
      </c>
      <c r="E110" s="29">
        <v>12</v>
      </c>
      <c r="F110" s="30">
        <v>49</v>
      </c>
      <c r="G110" s="29">
        <v>49</v>
      </c>
      <c r="H110" s="28" t="s">
        <v>2179</v>
      </c>
      <c r="I110" s="27" t="s">
        <v>4</v>
      </c>
      <c r="J110" s="31" t="s">
        <v>65</v>
      </c>
      <c r="K110" s="27" t="s">
        <v>154</v>
      </c>
      <c r="L110" s="27" t="s">
        <v>155</v>
      </c>
      <c r="M110" s="32" t="str">
        <f>HYPERLINK("http://slimages.macys.com/is/image/MCY/3852663 ")</f>
        <v xml:space="preserve">http://slimages.macys.com/is/image/MCY/3852663 </v>
      </c>
    </row>
    <row r="111" spans="1:13" ht="15.2" customHeight="1" x14ac:dyDescent="0.2">
      <c r="A111" s="26" t="s">
        <v>8498</v>
      </c>
      <c r="B111" s="27" t="s">
        <v>8499</v>
      </c>
      <c r="C111" s="28">
        <v>1</v>
      </c>
      <c r="D111" s="29">
        <v>12</v>
      </c>
      <c r="E111" s="29">
        <v>12</v>
      </c>
      <c r="F111" s="30">
        <v>27.99</v>
      </c>
      <c r="G111" s="29">
        <v>27.99</v>
      </c>
      <c r="H111" s="28" t="s">
        <v>1228</v>
      </c>
      <c r="I111" s="27" t="s">
        <v>280</v>
      </c>
      <c r="J111" s="31" t="s">
        <v>52</v>
      </c>
      <c r="K111" s="27" t="s">
        <v>224</v>
      </c>
      <c r="L111" s="27" t="s">
        <v>237</v>
      </c>
      <c r="M111" s="32" t="str">
        <f>HYPERLINK("http://slimages.macys.com/is/image/MCY/3853648 ")</f>
        <v xml:space="preserve">http://slimages.macys.com/is/image/MCY/3853648 </v>
      </c>
    </row>
    <row r="112" spans="1:13" ht="15.2" customHeight="1" x14ac:dyDescent="0.2">
      <c r="A112" s="26" t="s">
        <v>10057</v>
      </c>
      <c r="B112" s="27" t="s">
        <v>10058</v>
      </c>
      <c r="C112" s="28">
        <v>1</v>
      </c>
      <c r="D112" s="29">
        <v>12</v>
      </c>
      <c r="E112" s="29">
        <v>12</v>
      </c>
      <c r="F112" s="30">
        <v>29.99</v>
      </c>
      <c r="G112" s="29">
        <v>29.99</v>
      </c>
      <c r="H112" s="28" t="s">
        <v>1233</v>
      </c>
      <c r="I112" s="27" t="s">
        <v>29</v>
      </c>
      <c r="J112" s="31" t="s">
        <v>216</v>
      </c>
      <c r="K112" s="27" t="s">
        <v>200</v>
      </c>
      <c r="L112" s="27" t="s">
        <v>552</v>
      </c>
      <c r="M112" s="32" t="str">
        <f>HYPERLINK("http://slimages.macys.com/is/image/MCY/3777681 ")</f>
        <v xml:space="preserve">http://slimages.macys.com/is/image/MCY/3777681 </v>
      </c>
    </row>
    <row r="113" spans="1:13" ht="15.2" customHeight="1" x14ac:dyDescent="0.2">
      <c r="A113" s="26" t="s">
        <v>3268</v>
      </c>
      <c r="B113" s="27" t="s">
        <v>3269</v>
      </c>
      <c r="C113" s="28">
        <v>1</v>
      </c>
      <c r="D113" s="29">
        <v>12</v>
      </c>
      <c r="E113" s="29">
        <v>12</v>
      </c>
      <c r="F113" s="30">
        <v>29.99</v>
      </c>
      <c r="G113" s="29">
        <v>29.99</v>
      </c>
      <c r="H113" s="28" t="s">
        <v>1233</v>
      </c>
      <c r="I113" s="27" t="s">
        <v>29</v>
      </c>
      <c r="J113" s="31" t="s">
        <v>234</v>
      </c>
      <c r="K113" s="27" t="s">
        <v>200</v>
      </c>
      <c r="L113" s="27" t="s">
        <v>552</v>
      </c>
      <c r="M113" s="32" t="str">
        <f>HYPERLINK("http://slimages.macys.com/is/image/MCY/3777681 ")</f>
        <v xml:space="preserve">http://slimages.macys.com/is/image/MCY/3777681 </v>
      </c>
    </row>
    <row r="114" spans="1:13" ht="15.2" customHeight="1" x14ac:dyDescent="0.2">
      <c r="A114" s="26" t="s">
        <v>2200</v>
      </c>
      <c r="B114" s="27" t="s">
        <v>2201</v>
      </c>
      <c r="C114" s="28">
        <v>1</v>
      </c>
      <c r="D114" s="29">
        <v>11.5</v>
      </c>
      <c r="E114" s="29">
        <v>11.5</v>
      </c>
      <c r="F114" s="30">
        <v>29.99</v>
      </c>
      <c r="G114" s="29">
        <v>29.99</v>
      </c>
      <c r="H114" s="28" t="s">
        <v>220</v>
      </c>
      <c r="I114" s="27" t="s">
        <v>189</v>
      </c>
      <c r="J114" s="31" t="s">
        <v>69</v>
      </c>
      <c r="K114" s="27" t="s">
        <v>200</v>
      </c>
      <c r="L114" s="27" t="s">
        <v>201</v>
      </c>
      <c r="M114" s="32" t="str">
        <f>HYPERLINK("http://slimages.macys.com/is/image/MCY/3899641 ")</f>
        <v xml:space="preserve">http://slimages.macys.com/is/image/MCY/3899641 </v>
      </c>
    </row>
    <row r="115" spans="1:13" ht="15.2" customHeight="1" x14ac:dyDescent="0.2">
      <c r="A115" s="26" t="s">
        <v>221</v>
      </c>
      <c r="B115" s="27" t="s">
        <v>222</v>
      </c>
      <c r="C115" s="28">
        <v>1</v>
      </c>
      <c r="D115" s="29">
        <v>11.5</v>
      </c>
      <c r="E115" s="29">
        <v>11.5</v>
      </c>
      <c r="F115" s="30">
        <v>27.99</v>
      </c>
      <c r="G115" s="29">
        <v>27.99</v>
      </c>
      <c r="H115" s="28" t="s">
        <v>223</v>
      </c>
      <c r="I115" s="27" t="s">
        <v>59</v>
      </c>
      <c r="J115" s="31" t="s">
        <v>52</v>
      </c>
      <c r="K115" s="27" t="s">
        <v>224</v>
      </c>
      <c r="L115" s="27" t="s">
        <v>225</v>
      </c>
      <c r="M115" s="32" t="str">
        <f>HYPERLINK("http://slimages.macys.com/is/image/MCY/3777812 ")</f>
        <v xml:space="preserve">http://slimages.macys.com/is/image/MCY/3777812 </v>
      </c>
    </row>
    <row r="116" spans="1:13" ht="15.2" customHeight="1" x14ac:dyDescent="0.2">
      <c r="A116" s="26" t="s">
        <v>10059</v>
      </c>
      <c r="B116" s="27" t="s">
        <v>10060</v>
      </c>
      <c r="C116" s="28">
        <v>1</v>
      </c>
      <c r="D116" s="29">
        <v>11.5</v>
      </c>
      <c r="E116" s="29">
        <v>11.5</v>
      </c>
      <c r="F116" s="30">
        <v>27.99</v>
      </c>
      <c r="G116" s="29">
        <v>27.99</v>
      </c>
      <c r="H116" s="28" t="s">
        <v>4459</v>
      </c>
      <c r="I116" s="27" t="s">
        <v>94</v>
      </c>
      <c r="J116" s="31" t="s">
        <v>71</v>
      </c>
      <c r="K116" s="27" t="s">
        <v>224</v>
      </c>
      <c r="L116" s="27" t="s">
        <v>239</v>
      </c>
      <c r="M116" s="32" t="str">
        <f>HYPERLINK("http://slimages.macys.com/is/image/MCY/3953312 ")</f>
        <v xml:space="preserve">http://slimages.macys.com/is/image/MCY/3953312 </v>
      </c>
    </row>
    <row r="117" spans="1:13" ht="15.2" customHeight="1" x14ac:dyDescent="0.2">
      <c r="A117" s="26" t="s">
        <v>8790</v>
      </c>
      <c r="B117" s="27" t="s">
        <v>8791</v>
      </c>
      <c r="C117" s="28">
        <v>1</v>
      </c>
      <c r="D117" s="29">
        <v>11.5</v>
      </c>
      <c r="E117" s="29">
        <v>11.5</v>
      </c>
      <c r="F117" s="30">
        <v>29.99</v>
      </c>
      <c r="G117" s="29">
        <v>29.99</v>
      </c>
      <c r="H117" s="28" t="s">
        <v>3822</v>
      </c>
      <c r="I117" s="27" t="s">
        <v>1</v>
      </c>
      <c r="J117" s="31" t="s">
        <v>230</v>
      </c>
      <c r="K117" s="27" t="s">
        <v>200</v>
      </c>
      <c r="L117" s="27" t="s">
        <v>765</v>
      </c>
      <c r="M117" s="32" t="str">
        <f>HYPERLINK("http://slimages.macys.com/is/image/MCY/3581689 ")</f>
        <v xml:space="preserve">http://slimages.macys.com/is/image/MCY/3581689 </v>
      </c>
    </row>
    <row r="118" spans="1:13" ht="15.2" customHeight="1" x14ac:dyDescent="0.2">
      <c r="A118" s="26" t="s">
        <v>6194</v>
      </c>
      <c r="B118" s="27" t="s">
        <v>6195</v>
      </c>
      <c r="C118" s="28">
        <v>1</v>
      </c>
      <c r="D118" s="29">
        <v>11.5</v>
      </c>
      <c r="E118" s="29">
        <v>11.5</v>
      </c>
      <c r="F118" s="30">
        <v>29.99</v>
      </c>
      <c r="G118" s="29">
        <v>29.99</v>
      </c>
      <c r="H118" s="28" t="s">
        <v>220</v>
      </c>
      <c r="I118" s="27" t="s">
        <v>189</v>
      </c>
      <c r="J118" s="31" t="s">
        <v>210</v>
      </c>
      <c r="K118" s="27" t="s">
        <v>200</v>
      </c>
      <c r="L118" s="27" t="s">
        <v>201</v>
      </c>
      <c r="M118" s="32" t="str">
        <f>HYPERLINK("http://slimages.macys.com/is/image/MCY/3899641 ")</f>
        <v xml:space="preserve">http://slimages.macys.com/is/image/MCY/3899641 </v>
      </c>
    </row>
    <row r="119" spans="1:13" ht="15.2" customHeight="1" x14ac:dyDescent="0.2">
      <c r="A119" s="26" t="s">
        <v>2615</v>
      </c>
      <c r="B119" s="27" t="s">
        <v>2616</v>
      </c>
      <c r="C119" s="28">
        <v>1</v>
      </c>
      <c r="D119" s="29">
        <v>11.5</v>
      </c>
      <c r="E119" s="29">
        <v>11.5</v>
      </c>
      <c r="F119" s="30">
        <v>29.99</v>
      </c>
      <c r="G119" s="29">
        <v>29.99</v>
      </c>
      <c r="H119" s="28" t="s">
        <v>233</v>
      </c>
      <c r="I119" s="27" t="s">
        <v>26</v>
      </c>
      <c r="J119" s="31" t="s">
        <v>234</v>
      </c>
      <c r="K119" s="27" t="s">
        <v>200</v>
      </c>
      <c r="L119" s="27" t="s">
        <v>201</v>
      </c>
      <c r="M119" s="32" t="str">
        <f>HYPERLINK("http://slimages.macys.com/is/image/MCY/3899624 ")</f>
        <v xml:space="preserve">http://slimages.macys.com/is/image/MCY/3899624 </v>
      </c>
    </row>
    <row r="120" spans="1:13" ht="15.2" customHeight="1" x14ac:dyDescent="0.2">
      <c r="A120" s="26" t="s">
        <v>2893</v>
      </c>
      <c r="B120" s="27" t="s">
        <v>2894</v>
      </c>
      <c r="C120" s="28">
        <v>1</v>
      </c>
      <c r="D120" s="29">
        <v>11.5</v>
      </c>
      <c r="E120" s="29">
        <v>11.5</v>
      </c>
      <c r="F120" s="30">
        <v>27.99</v>
      </c>
      <c r="G120" s="29">
        <v>27.99</v>
      </c>
      <c r="H120" s="28" t="s">
        <v>223</v>
      </c>
      <c r="I120" s="27" t="s">
        <v>59</v>
      </c>
      <c r="J120" s="31" t="s">
        <v>21</v>
      </c>
      <c r="K120" s="27" t="s">
        <v>224</v>
      </c>
      <c r="L120" s="27" t="s">
        <v>225</v>
      </c>
      <c r="M120" s="32" t="str">
        <f>HYPERLINK("http://slimages.macys.com/is/image/MCY/3777812 ")</f>
        <v xml:space="preserve">http://slimages.macys.com/is/image/MCY/3777812 </v>
      </c>
    </row>
    <row r="121" spans="1:13" ht="15.2" customHeight="1" x14ac:dyDescent="0.2">
      <c r="A121" s="26" t="s">
        <v>235</v>
      </c>
      <c r="B121" s="27" t="s">
        <v>236</v>
      </c>
      <c r="C121" s="28">
        <v>1</v>
      </c>
      <c r="D121" s="29">
        <v>11.5</v>
      </c>
      <c r="E121" s="29">
        <v>11.5</v>
      </c>
      <c r="F121" s="30">
        <v>29.99</v>
      </c>
      <c r="G121" s="29">
        <v>29.99</v>
      </c>
      <c r="H121" s="28" t="s">
        <v>233</v>
      </c>
      <c r="I121" s="27" t="s">
        <v>26</v>
      </c>
      <c r="J121" s="31" t="s">
        <v>205</v>
      </c>
      <c r="K121" s="27" t="s">
        <v>200</v>
      </c>
      <c r="L121" s="27" t="s">
        <v>201</v>
      </c>
      <c r="M121" s="32" t="str">
        <f>HYPERLINK("http://slimages.macys.com/is/image/MCY/3899624 ")</f>
        <v xml:space="preserve">http://slimages.macys.com/is/image/MCY/3899624 </v>
      </c>
    </row>
    <row r="122" spans="1:13" ht="15.2" customHeight="1" x14ac:dyDescent="0.2">
      <c r="A122" s="26" t="s">
        <v>8279</v>
      </c>
      <c r="B122" s="27" t="s">
        <v>8280</v>
      </c>
      <c r="C122" s="28">
        <v>1</v>
      </c>
      <c r="D122" s="29">
        <v>11.5</v>
      </c>
      <c r="E122" s="29">
        <v>11.5</v>
      </c>
      <c r="F122" s="30">
        <v>25.99</v>
      </c>
      <c r="G122" s="29">
        <v>25.99</v>
      </c>
      <c r="H122" s="28" t="s">
        <v>229</v>
      </c>
      <c r="I122" s="27" t="s">
        <v>75</v>
      </c>
      <c r="J122" s="31" t="s">
        <v>113</v>
      </c>
      <c r="K122" s="27" t="s">
        <v>200</v>
      </c>
      <c r="L122" s="27" t="s">
        <v>133</v>
      </c>
      <c r="M122" s="32" t="str">
        <f>HYPERLINK("http://slimages.macys.com/is/image/MCY/3858043 ")</f>
        <v xml:space="preserve">http://slimages.macys.com/is/image/MCY/3858043 </v>
      </c>
    </row>
    <row r="123" spans="1:13" ht="15.2" customHeight="1" x14ac:dyDescent="0.2">
      <c r="A123" s="26" t="s">
        <v>2194</v>
      </c>
      <c r="B123" s="27" t="s">
        <v>2195</v>
      </c>
      <c r="C123" s="28">
        <v>1</v>
      </c>
      <c r="D123" s="29">
        <v>11.5</v>
      </c>
      <c r="E123" s="29">
        <v>11.5</v>
      </c>
      <c r="F123" s="30">
        <v>29.99</v>
      </c>
      <c r="G123" s="29">
        <v>29.99</v>
      </c>
      <c r="H123" s="28" t="s">
        <v>233</v>
      </c>
      <c r="I123" s="27" t="s">
        <v>4</v>
      </c>
      <c r="J123" s="31" t="s">
        <v>210</v>
      </c>
      <c r="K123" s="27" t="s">
        <v>200</v>
      </c>
      <c r="L123" s="27" t="s">
        <v>201</v>
      </c>
      <c r="M123" s="32" t="str">
        <f>HYPERLINK("http://slimages.macys.com/is/image/MCY/3899544 ")</f>
        <v xml:space="preserve">http://slimages.macys.com/is/image/MCY/3899544 </v>
      </c>
    </row>
    <row r="124" spans="1:13" ht="15.2" customHeight="1" x14ac:dyDescent="0.2">
      <c r="A124" s="26" t="s">
        <v>10061</v>
      </c>
      <c r="B124" s="27" t="s">
        <v>10062</v>
      </c>
      <c r="C124" s="28">
        <v>1</v>
      </c>
      <c r="D124" s="29">
        <v>11.5</v>
      </c>
      <c r="E124" s="29">
        <v>11.5</v>
      </c>
      <c r="F124" s="30">
        <v>25.99</v>
      </c>
      <c r="G124" s="29">
        <v>25.99</v>
      </c>
      <c r="H124" s="28" t="s">
        <v>1269</v>
      </c>
      <c r="I124" s="27" t="s">
        <v>189</v>
      </c>
      <c r="J124" s="31" t="s">
        <v>113</v>
      </c>
      <c r="K124" s="27" t="s">
        <v>200</v>
      </c>
      <c r="L124" s="27" t="s">
        <v>133</v>
      </c>
      <c r="M124" s="32" t="str">
        <f>HYPERLINK("http://slimages.macys.com/is/image/MCY/3858043 ")</f>
        <v xml:space="preserve">http://slimages.macys.com/is/image/MCY/3858043 </v>
      </c>
    </row>
    <row r="125" spans="1:13" ht="15.2" customHeight="1" x14ac:dyDescent="0.2">
      <c r="A125" s="26" t="s">
        <v>4618</v>
      </c>
      <c r="B125" s="27" t="s">
        <v>4619</v>
      </c>
      <c r="C125" s="28">
        <v>1</v>
      </c>
      <c r="D125" s="29">
        <v>11.5</v>
      </c>
      <c r="E125" s="29">
        <v>11.5</v>
      </c>
      <c r="F125" s="30">
        <v>29.99</v>
      </c>
      <c r="G125" s="29">
        <v>29.99</v>
      </c>
      <c r="H125" s="28" t="s">
        <v>233</v>
      </c>
      <c r="I125" s="27" t="s">
        <v>26</v>
      </c>
      <c r="J125" s="31" t="s">
        <v>210</v>
      </c>
      <c r="K125" s="27" t="s">
        <v>200</v>
      </c>
      <c r="L125" s="27" t="s">
        <v>201</v>
      </c>
      <c r="M125" s="32" t="str">
        <f>HYPERLINK("http://slimages.macys.com/is/image/MCY/3899624 ")</f>
        <v xml:space="preserve">http://slimages.macys.com/is/image/MCY/3899624 </v>
      </c>
    </row>
    <row r="126" spans="1:13" ht="15.2" customHeight="1" x14ac:dyDescent="0.2">
      <c r="A126" s="26" t="s">
        <v>1270</v>
      </c>
      <c r="B126" s="27" t="s">
        <v>1271</v>
      </c>
      <c r="C126" s="28">
        <v>1</v>
      </c>
      <c r="D126" s="29">
        <v>11.25</v>
      </c>
      <c r="E126" s="29">
        <v>11.25</v>
      </c>
      <c r="F126" s="30">
        <v>29.99</v>
      </c>
      <c r="G126" s="29">
        <v>29.99</v>
      </c>
      <c r="H126" s="28" t="s">
        <v>1272</v>
      </c>
      <c r="I126" s="27" t="s">
        <v>343</v>
      </c>
      <c r="J126" s="31" t="s">
        <v>216</v>
      </c>
      <c r="K126" s="27" t="s">
        <v>200</v>
      </c>
      <c r="L126" s="27" t="s">
        <v>201</v>
      </c>
      <c r="M126" s="32" t="str">
        <f>HYPERLINK("http://slimages.macys.com/is/image/MCY/3825803 ")</f>
        <v xml:space="preserve">http://slimages.macys.com/is/image/MCY/3825803 </v>
      </c>
    </row>
    <row r="127" spans="1:13" ht="15.2" customHeight="1" x14ac:dyDescent="0.2">
      <c r="A127" s="26" t="s">
        <v>8383</v>
      </c>
      <c r="B127" s="27" t="s">
        <v>8384</v>
      </c>
      <c r="C127" s="28">
        <v>1</v>
      </c>
      <c r="D127" s="29">
        <v>11.25</v>
      </c>
      <c r="E127" s="29">
        <v>11.25</v>
      </c>
      <c r="F127" s="30">
        <v>29.99</v>
      </c>
      <c r="G127" s="29">
        <v>29.99</v>
      </c>
      <c r="H127" s="28" t="s">
        <v>1272</v>
      </c>
      <c r="I127" s="27" t="s">
        <v>343</v>
      </c>
      <c r="J127" s="31" t="s">
        <v>230</v>
      </c>
      <c r="K127" s="27" t="s">
        <v>200</v>
      </c>
      <c r="L127" s="27" t="s">
        <v>201</v>
      </c>
      <c r="M127" s="32" t="str">
        <f>HYPERLINK("http://slimages.macys.com/is/image/MCY/3825803 ")</f>
        <v xml:space="preserve">http://slimages.macys.com/is/image/MCY/3825803 </v>
      </c>
    </row>
    <row r="128" spans="1:13" ht="15.2" customHeight="1" x14ac:dyDescent="0.2">
      <c r="A128" s="26" t="s">
        <v>6205</v>
      </c>
      <c r="B128" s="27" t="s">
        <v>6206</v>
      </c>
      <c r="C128" s="28">
        <v>1</v>
      </c>
      <c r="D128" s="29">
        <v>11.25</v>
      </c>
      <c r="E128" s="29">
        <v>11.25</v>
      </c>
      <c r="F128" s="30">
        <v>25.99</v>
      </c>
      <c r="G128" s="29">
        <v>25.99</v>
      </c>
      <c r="H128" s="28" t="s">
        <v>5538</v>
      </c>
      <c r="I128" s="27" t="s">
        <v>4</v>
      </c>
      <c r="J128" s="31" t="s">
        <v>23</v>
      </c>
      <c r="K128" s="27" t="s">
        <v>200</v>
      </c>
      <c r="L128" s="27" t="s">
        <v>552</v>
      </c>
      <c r="M128" s="32" t="str">
        <f>HYPERLINK("http://slimages.macys.com/is/image/MCY/3755250 ")</f>
        <v xml:space="preserve">http://slimages.macys.com/is/image/MCY/3755250 </v>
      </c>
    </row>
    <row r="129" spans="1:13" ht="15.2" customHeight="1" x14ac:dyDescent="0.2">
      <c r="A129" s="26" t="s">
        <v>1273</v>
      </c>
      <c r="B129" s="27" t="s">
        <v>1274</v>
      </c>
      <c r="C129" s="28">
        <v>1</v>
      </c>
      <c r="D129" s="29">
        <v>11.25</v>
      </c>
      <c r="E129" s="29">
        <v>11.25</v>
      </c>
      <c r="F129" s="30">
        <v>29.99</v>
      </c>
      <c r="G129" s="29">
        <v>29.99</v>
      </c>
      <c r="H129" s="28" t="s">
        <v>1272</v>
      </c>
      <c r="I129" s="27" t="s">
        <v>343</v>
      </c>
      <c r="J129" s="31" t="s">
        <v>69</v>
      </c>
      <c r="K129" s="27" t="s">
        <v>200</v>
      </c>
      <c r="L129" s="27" t="s">
        <v>201</v>
      </c>
      <c r="M129" s="32" t="str">
        <f>HYPERLINK("http://slimages.macys.com/is/image/MCY/3825803 ")</f>
        <v xml:space="preserve">http://slimages.macys.com/is/image/MCY/3825803 </v>
      </c>
    </row>
    <row r="130" spans="1:13" ht="15.2" customHeight="1" x14ac:dyDescent="0.2">
      <c r="A130" s="26" t="s">
        <v>1275</v>
      </c>
      <c r="B130" s="27" t="s">
        <v>1276</v>
      </c>
      <c r="C130" s="28">
        <v>1</v>
      </c>
      <c r="D130" s="29">
        <v>11.25</v>
      </c>
      <c r="E130" s="29">
        <v>11.25</v>
      </c>
      <c r="F130" s="30">
        <v>29.99</v>
      </c>
      <c r="G130" s="29">
        <v>29.99</v>
      </c>
      <c r="H130" s="28" t="s">
        <v>1272</v>
      </c>
      <c r="I130" s="27" t="s">
        <v>343</v>
      </c>
      <c r="J130" s="31" t="s">
        <v>210</v>
      </c>
      <c r="K130" s="27" t="s">
        <v>200</v>
      </c>
      <c r="L130" s="27" t="s">
        <v>201</v>
      </c>
      <c r="M130" s="32" t="str">
        <f>HYPERLINK("http://slimages.macys.com/is/image/MCY/3825803 ")</f>
        <v xml:space="preserve">http://slimages.macys.com/is/image/MCY/3825803 </v>
      </c>
    </row>
    <row r="131" spans="1:13" ht="15.2" customHeight="1" x14ac:dyDescent="0.2">
      <c r="A131" s="26" t="s">
        <v>10063</v>
      </c>
      <c r="B131" s="27" t="s">
        <v>10064</v>
      </c>
      <c r="C131" s="28">
        <v>1</v>
      </c>
      <c r="D131" s="29">
        <v>11</v>
      </c>
      <c r="E131" s="29">
        <v>11</v>
      </c>
      <c r="F131" s="30">
        <v>27.99</v>
      </c>
      <c r="G131" s="29">
        <v>27.99</v>
      </c>
      <c r="H131" s="28" t="s">
        <v>10065</v>
      </c>
      <c r="I131" s="27"/>
      <c r="J131" s="31" t="s">
        <v>40</v>
      </c>
      <c r="K131" s="27" t="s">
        <v>282</v>
      </c>
      <c r="L131" s="27" t="s">
        <v>358</v>
      </c>
      <c r="M131" s="32" t="str">
        <f>HYPERLINK("http://slimages.macys.com/is/image/MCY/3894713 ")</f>
        <v xml:space="preserve">http://slimages.macys.com/is/image/MCY/3894713 </v>
      </c>
    </row>
    <row r="132" spans="1:13" ht="15.2" customHeight="1" x14ac:dyDescent="0.2">
      <c r="A132" s="26" t="s">
        <v>8623</v>
      </c>
      <c r="B132" s="27" t="s">
        <v>8624</v>
      </c>
      <c r="C132" s="28">
        <v>1</v>
      </c>
      <c r="D132" s="29">
        <v>11</v>
      </c>
      <c r="E132" s="29">
        <v>11</v>
      </c>
      <c r="F132" s="30">
        <v>22.99</v>
      </c>
      <c r="G132" s="29">
        <v>22.99</v>
      </c>
      <c r="H132" s="28" t="s">
        <v>7663</v>
      </c>
      <c r="I132" s="27" t="s">
        <v>146</v>
      </c>
      <c r="J132" s="31" t="s">
        <v>5</v>
      </c>
      <c r="K132" s="27" t="s">
        <v>200</v>
      </c>
      <c r="L132" s="27" t="s">
        <v>243</v>
      </c>
      <c r="M132" s="32" t="str">
        <f>HYPERLINK("http://slimages.macys.com/is/image/MCY/3794603 ")</f>
        <v xml:space="preserve">http://slimages.macys.com/is/image/MCY/3794603 </v>
      </c>
    </row>
    <row r="133" spans="1:13" ht="15.2" customHeight="1" x14ac:dyDescent="0.2">
      <c r="A133" s="26" t="s">
        <v>10066</v>
      </c>
      <c r="B133" s="27" t="s">
        <v>10067</v>
      </c>
      <c r="C133" s="28">
        <v>1</v>
      </c>
      <c r="D133" s="29">
        <v>11</v>
      </c>
      <c r="E133" s="29">
        <v>11</v>
      </c>
      <c r="F133" s="30">
        <v>29.99</v>
      </c>
      <c r="G133" s="29">
        <v>29.99</v>
      </c>
      <c r="H133" s="28" t="s">
        <v>2203</v>
      </c>
      <c r="I133" s="27" t="s">
        <v>1</v>
      </c>
      <c r="J133" s="31" t="s">
        <v>69</v>
      </c>
      <c r="K133" s="27" t="s">
        <v>200</v>
      </c>
      <c r="L133" s="27" t="s">
        <v>765</v>
      </c>
      <c r="M133" s="32" t="str">
        <f>HYPERLINK("http://slimages.macys.com/is/image/MCY/3364230 ")</f>
        <v xml:space="preserve">http://slimages.macys.com/is/image/MCY/3364230 </v>
      </c>
    </row>
    <row r="134" spans="1:13" ht="15.2" customHeight="1" x14ac:dyDescent="0.2">
      <c r="A134" s="26" t="s">
        <v>10068</v>
      </c>
      <c r="B134" s="27" t="s">
        <v>10069</v>
      </c>
      <c r="C134" s="28">
        <v>1</v>
      </c>
      <c r="D134" s="29">
        <v>10.85</v>
      </c>
      <c r="E134" s="29">
        <v>10.85</v>
      </c>
      <c r="F134" s="30">
        <v>27.99</v>
      </c>
      <c r="G134" s="29">
        <v>27.99</v>
      </c>
      <c r="H134" s="28" t="s">
        <v>1289</v>
      </c>
      <c r="I134" s="27" t="s">
        <v>26</v>
      </c>
      <c r="J134" s="31" t="s">
        <v>71</v>
      </c>
      <c r="K134" s="27" t="s">
        <v>224</v>
      </c>
      <c r="L134" s="27" t="s">
        <v>197</v>
      </c>
      <c r="M134" s="32" t="str">
        <f>HYPERLINK("http://slimages.macys.com/is/image/MCY/3777915 ")</f>
        <v xml:space="preserve">http://slimages.macys.com/is/image/MCY/3777915 </v>
      </c>
    </row>
    <row r="135" spans="1:13" ht="15.2" customHeight="1" x14ac:dyDescent="0.2">
      <c r="A135" s="26" t="s">
        <v>10070</v>
      </c>
      <c r="B135" s="27" t="s">
        <v>10071</v>
      </c>
      <c r="C135" s="28">
        <v>1</v>
      </c>
      <c r="D135" s="29">
        <v>10.77</v>
      </c>
      <c r="E135" s="29">
        <v>10.77</v>
      </c>
      <c r="F135" s="30">
        <v>29.5</v>
      </c>
      <c r="G135" s="29">
        <v>29.5</v>
      </c>
      <c r="H135" s="28">
        <v>41596</v>
      </c>
      <c r="I135" s="27" t="s">
        <v>4</v>
      </c>
      <c r="J135" s="31" t="s">
        <v>172</v>
      </c>
      <c r="K135" s="27" t="s">
        <v>41</v>
      </c>
      <c r="L135" s="27" t="s">
        <v>80</v>
      </c>
      <c r="M135" s="32" t="str">
        <f>HYPERLINK("http://slimages.macys.com/is/image/MCY/3633500 ")</f>
        <v xml:space="preserve">http://slimages.macys.com/is/image/MCY/3633500 </v>
      </c>
    </row>
    <row r="136" spans="1:13" ht="15.2" customHeight="1" x14ac:dyDescent="0.2">
      <c r="A136" s="26" t="s">
        <v>10072</v>
      </c>
      <c r="B136" s="27" t="s">
        <v>10073</v>
      </c>
      <c r="C136" s="28">
        <v>1</v>
      </c>
      <c r="D136" s="29">
        <v>10.77</v>
      </c>
      <c r="E136" s="29">
        <v>10.77</v>
      </c>
      <c r="F136" s="30">
        <v>29.5</v>
      </c>
      <c r="G136" s="29">
        <v>29.5</v>
      </c>
      <c r="H136" s="28">
        <v>41596</v>
      </c>
      <c r="I136" s="27" t="s">
        <v>22</v>
      </c>
      <c r="J136" s="31" t="s">
        <v>52</v>
      </c>
      <c r="K136" s="27" t="s">
        <v>41</v>
      </c>
      <c r="L136" s="27" t="s">
        <v>80</v>
      </c>
      <c r="M136" s="32" t="str">
        <f>HYPERLINK("http://slimages.macys.com/is/image/MCY/3633500 ")</f>
        <v xml:space="preserve">http://slimages.macys.com/is/image/MCY/3633500 </v>
      </c>
    </row>
    <row r="137" spans="1:13" ht="15.2" customHeight="1" x14ac:dyDescent="0.2">
      <c r="A137" s="26" t="s">
        <v>8523</v>
      </c>
      <c r="B137" s="27" t="s">
        <v>8524</v>
      </c>
      <c r="C137" s="28">
        <v>1</v>
      </c>
      <c r="D137" s="29">
        <v>10.76</v>
      </c>
      <c r="E137" s="29">
        <v>10.76</v>
      </c>
      <c r="F137" s="30">
        <v>29.5</v>
      </c>
      <c r="G137" s="29">
        <v>29.5</v>
      </c>
      <c r="H137" s="28" t="s">
        <v>3304</v>
      </c>
      <c r="I137" s="27" t="s">
        <v>22</v>
      </c>
      <c r="J137" s="31" t="s">
        <v>40</v>
      </c>
      <c r="K137" s="27" t="s">
        <v>41</v>
      </c>
      <c r="L137" s="27" t="s">
        <v>45</v>
      </c>
      <c r="M137" s="32" t="str">
        <f>HYPERLINK("http://slimages.macys.com/is/image/MCY/3700884 ")</f>
        <v xml:space="preserve">http://slimages.macys.com/is/image/MCY/3700884 </v>
      </c>
    </row>
    <row r="138" spans="1:13" ht="15.2" customHeight="1" x14ac:dyDescent="0.2">
      <c r="A138" s="26" t="s">
        <v>10074</v>
      </c>
      <c r="B138" s="27" t="s">
        <v>10075</v>
      </c>
      <c r="C138" s="28">
        <v>1</v>
      </c>
      <c r="D138" s="29">
        <v>10.75</v>
      </c>
      <c r="E138" s="29">
        <v>10.75</v>
      </c>
      <c r="F138" s="30">
        <v>26.99</v>
      </c>
      <c r="G138" s="29">
        <v>26.99</v>
      </c>
      <c r="H138" s="28" t="s">
        <v>3307</v>
      </c>
      <c r="I138" s="27" t="s">
        <v>22</v>
      </c>
      <c r="J138" s="31" t="s">
        <v>71</v>
      </c>
      <c r="K138" s="27" t="s">
        <v>70</v>
      </c>
      <c r="L138" s="27" t="s">
        <v>250</v>
      </c>
      <c r="M138" s="32" t="str">
        <f>HYPERLINK("http://slimages.macys.com/is/image/MCY/3809404 ")</f>
        <v xml:space="preserve">http://slimages.macys.com/is/image/MCY/3809404 </v>
      </c>
    </row>
    <row r="139" spans="1:13" ht="15.2" customHeight="1" x14ac:dyDescent="0.2">
      <c r="A139" s="26" t="s">
        <v>5034</v>
      </c>
      <c r="B139" s="27" t="s">
        <v>5035</v>
      </c>
      <c r="C139" s="28">
        <v>2</v>
      </c>
      <c r="D139" s="29">
        <v>10.65</v>
      </c>
      <c r="E139" s="29">
        <v>21.3</v>
      </c>
      <c r="F139" s="30">
        <v>27.99</v>
      </c>
      <c r="G139" s="29">
        <v>55.98</v>
      </c>
      <c r="H139" s="28" t="s">
        <v>1290</v>
      </c>
      <c r="I139" s="27" t="s">
        <v>49</v>
      </c>
      <c r="J139" s="31" t="s">
        <v>5</v>
      </c>
      <c r="K139" s="27" t="s">
        <v>224</v>
      </c>
      <c r="L139" s="27" t="s">
        <v>237</v>
      </c>
      <c r="M139" s="32" t="str">
        <f>HYPERLINK("http://slimages.macys.com/is/image/MCY/3787610 ")</f>
        <v xml:space="preserve">http://slimages.macys.com/is/image/MCY/3787610 </v>
      </c>
    </row>
    <row r="140" spans="1:13" ht="15.2" customHeight="1" x14ac:dyDescent="0.2">
      <c r="A140" s="26" t="s">
        <v>10076</v>
      </c>
      <c r="B140" s="27" t="s">
        <v>10077</v>
      </c>
      <c r="C140" s="28">
        <v>1</v>
      </c>
      <c r="D140" s="29">
        <v>10.6</v>
      </c>
      <c r="E140" s="29">
        <v>10.6</v>
      </c>
      <c r="F140" s="30">
        <v>22.99</v>
      </c>
      <c r="G140" s="29">
        <v>22.99</v>
      </c>
      <c r="H140" s="28" t="s">
        <v>2206</v>
      </c>
      <c r="I140" s="27" t="s">
        <v>94</v>
      </c>
      <c r="J140" s="31" t="s">
        <v>52</v>
      </c>
      <c r="K140" s="27" t="s">
        <v>208</v>
      </c>
      <c r="L140" s="27" t="s">
        <v>197</v>
      </c>
      <c r="M140" s="32" t="str">
        <f>HYPERLINK("http://slimages.macys.com/is/image/MCY/3738477 ")</f>
        <v xml:space="preserve">http://slimages.macys.com/is/image/MCY/3738477 </v>
      </c>
    </row>
    <row r="141" spans="1:13" ht="15.2" customHeight="1" x14ac:dyDescent="0.2">
      <c r="A141" s="26" t="s">
        <v>10078</v>
      </c>
      <c r="B141" s="27" t="s">
        <v>10079</v>
      </c>
      <c r="C141" s="28">
        <v>1</v>
      </c>
      <c r="D141" s="29">
        <v>10.51</v>
      </c>
      <c r="E141" s="29">
        <v>10.51</v>
      </c>
      <c r="F141" s="30">
        <v>24.99</v>
      </c>
      <c r="G141" s="29">
        <v>24.99</v>
      </c>
      <c r="H141" s="28" t="s">
        <v>9922</v>
      </c>
      <c r="I141" s="27" t="s">
        <v>302</v>
      </c>
      <c r="J141" s="31" t="s">
        <v>52</v>
      </c>
      <c r="K141" s="27" t="s">
        <v>159</v>
      </c>
      <c r="L141" s="27" t="s">
        <v>160</v>
      </c>
      <c r="M141" s="32" t="str">
        <f>HYPERLINK("http://slimages.macys.com/is/image/MCY/3632938 ")</f>
        <v xml:space="preserve">http://slimages.macys.com/is/image/MCY/3632938 </v>
      </c>
    </row>
    <row r="142" spans="1:13" ht="15.2" customHeight="1" x14ac:dyDescent="0.2">
      <c r="A142" s="26" t="s">
        <v>4464</v>
      </c>
      <c r="B142" s="27" t="s">
        <v>4465</v>
      </c>
      <c r="C142" s="28">
        <v>3</v>
      </c>
      <c r="D142" s="29">
        <v>10.5</v>
      </c>
      <c r="E142" s="29">
        <v>31.5</v>
      </c>
      <c r="F142" s="30">
        <v>24.99</v>
      </c>
      <c r="G142" s="29">
        <v>74.97</v>
      </c>
      <c r="H142" s="28" t="s">
        <v>259</v>
      </c>
      <c r="I142" s="27" t="s">
        <v>36</v>
      </c>
      <c r="J142" s="31" t="s">
        <v>5</v>
      </c>
      <c r="K142" s="27" t="s">
        <v>224</v>
      </c>
      <c r="L142" s="27" t="s">
        <v>260</v>
      </c>
      <c r="M142" s="32" t="str">
        <f>HYPERLINK("http://slimages.macys.com/is/image/MCY/3832935 ")</f>
        <v xml:space="preserve">http://slimages.macys.com/is/image/MCY/3832935 </v>
      </c>
    </row>
    <row r="143" spans="1:13" ht="15.2" customHeight="1" x14ac:dyDescent="0.2">
      <c r="A143" s="26" t="s">
        <v>257</v>
      </c>
      <c r="B143" s="27" t="s">
        <v>258</v>
      </c>
      <c r="C143" s="28">
        <v>2</v>
      </c>
      <c r="D143" s="29">
        <v>10.5</v>
      </c>
      <c r="E143" s="29">
        <v>21</v>
      </c>
      <c r="F143" s="30">
        <v>24.99</v>
      </c>
      <c r="G143" s="29">
        <v>49.98</v>
      </c>
      <c r="H143" s="28" t="s">
        <v>259</v>
      </c>
      <c r="I143" s="27" t="s">
        <v>189</v>
      </c>
      <c r="J143" s="31" t="s">
        <v>21</v>
      </c>
      <c r="K143" s="27" t="s">
        <v>224</v>
      </c>
      <c r="L143" s="27" t="s">
        <v>260</v>
      </c>
      <c r="M143" s="32" t="str">
        <f>HYPERLINK("http://slimages.macys.com/is/image/MCY/3832929 ")</f>
        <v xml:space="preserve">http://slimages.macys.com/is/image/MCY/3832929 </v>
      </c>
    </row>
    <row r="144" spans="1:13" ht="15.2" customHeight="1" x14ac:dyDescent="0.2">
      <c r="A144" s="26" t="s">
        <v>1315</v>
      </c>
      <c r="B144" s="27" t="s">
        <v>1316</v>
      </c>
      <c r="C144" s="28">
        <v>1</v>
      </c>
      <c r="D144" s="29">
        <v>10.5</v>
      </c>
      <c r="E144" s="29">
        <v>10.5</v>
      </c>
      <c r="F144" s="30">
        <v>24.99</v>
      </c>
      <c r="G144" s="29">
        <v>24.99</v>
      </c>
      <c r="H144" s="28" t="s">
        <v>1314</v>
      </c>
      <c r="I144" s="27" t="s">
        <v>103</v>
      </c>
      <c r="J144" s="31" t="s">
        <v>65</v>
      </c>
      <c r="K144" s="27" t="s">
        <v>159</v>
      </c>
      <c r="L144" s="27" t="s">
        <v>160</v>
      </c>
      <c r="M144" s="32" t="str">
        <f>HYPERLINK("http://slimages.macys.com/is/image/MCY/3743320 ")</f>
        <v xml:space="preserve">http://slimages.macys.com/is/image/MCY/3743320 </v>
      </c>
    </row>
    <row r="145" spans="1:13" ht="15.2" customHeight="1" x14ac:dyDescent="0.2">
      <c r="A145" s="26" t="s">
        <v>251</v>
      </c>
      <c r="B145" s="27" t="s">
        <v>252</v>
      </c>
      <c r="C145" s="28">
        <v>1</v>
      </c>
      <c r="D145" s="29">
        <v>10.5</v>
      </c>
      <c r="E145" s="29">
        <v>10.5</v>
      </c>
      <c r="F145" s="30">
        <v>27.99</v>
      </c>
      <c r="G145" s="29">
        <v>27.99</v>
      </c>
      <c r="H145" s="28" t="s">
        <v>253</v>
      </c>
      <c r="I145" s="27" t="s">
        <v>10</v>
      </c>
      <c r="J145" s="31" t="s">
        <v>21</v>
      </c>
      <c r="K145" s="27" t="s">
        <v>224</v>
      </c>
      <c r="L145" s="27" t="s">
        <v>254</v>
      </c>
      <c r="M145" s="32" t="str">
        <f>HYPERLINK("http://slimages.macys.com/is/image/MCY/3798053 ")</f>
        <v xml:space="preserve">http://slimages.macys.com/is/image/MCY/3798053 </v>
      </c>
    </row>
    <row r="146" spans="1:13" ht="15.2" customHeight="1" x14ac:dyDescent="0.2">
      <c r="A146" s="26" t="s">
        <v>10080</v>
      </c>
      <c r="B146" s="27" t="s">
        <v>10081</v>
      </c>
      <c r="C146" s="28">
        <v>1</v>
      </c>
      <c r="D146" s="29">
        <v>10.5</v>
      </c>
      <c r="E146" s="29">
        <v>10.5</v>
      </c>
      <c r="F146" s="30">
        <v>25.99</v>
      </c>
      <c r="G146" s="29">
        <v>25.99</v>
      </c>
      <c r="H146" s="28" t="s">
        <v>1305</v>
      </c>
      <c r="I146" s="27" t="s">
        <v>207</v>
      </c>
      <c r="J146" s="31" t="s">
        <v>210</v>
      </c>
      <c r="K146" s="27" t="s">
        <v>200</v>
      </c>
      <c r="L146" s="27" t="s">
        <v>133</v>
      </c>
      <c r="M146" s="32" t="str">
        <f>HYPERLINK("http://slimages.macys.com/is/image/MCY/3773860 ")</f>
        <v xml:space="preserve">http://slimages.macys.com/is/image/MCY/3773860 </v>
      </c>
    </row>
    <row r="147" spans="1:13" ht="15.2" customHeight="1" x14ac:dyDescent="0.2">
      <c r="A147" s="26" t="s">
        <v>8301</v>
      </c>
      <c r="B147" s="27" t="s">
        <v>8302</v>
      </c>
      <c r="C147" s="28">
        <v>1</v>
      </c>
      <c r="D147" s="29">
        <v>10</v>
      </c>
      <c r="E147" s="29">
        <v>10</v>
      </c>
      <c r="F147" s="30">
        <v>27.99</v>
      </c>
      <c r="G147" s="29">
        <v>27.99</v>
      </c>
      <c r="H147" s="28" t="s">
        <v>279</v>
      </c>
      <c r="I147" s="27" t="s">
        <v>274</v>
      </c>
      <c r="J147" s="31" t="s">
        <v>40</v>
      </c>
      <c r="K147" s="27" t="s">
        <v>224</v>
      </c>
      <c r="L147" s="27" t="s">
        <v>237</v>
      </c>
      <c r="M147" s="32" t="str">
        <f>HYPERLINK("http://slimages.macys.com/is/image/MCY/3820976 ")</f>
        <v xml:space="preserve">http://slimages.macys.com/is/image/MCY/3820976 </v>
      </c>
    </row>
    <row r="148" spans="1:13" ht="15.2" customHeight="1" x14ac:dyDescent="0.2">
      <c r="A148" s="26" t="s">
        <v>2216</v>
      </c>
      <c r="B148" s="27" t="s">
        <v>2217</v>
      </c>
      <c r="C148" s="28">
        <v>2</v>
      </c>
      <c r="D148" s="29">
        <v>10</v>
      </c>
      <c r="E148" s="29">
        <v>20</v>
      </c>
      <c r="F148" s="30">
        <v>24.99</v>
      </c>
      <c r="G148" s="29">
        <v>49.98</v>
      </c>
      <c r="H148" s="28" t="s">
        <v>2215</v>
      </c>
      <c r="I148" s="27" t="s">
        <v>248</v>
      </c>
      <c r="J148" s="31" t="s">
        <v>52</v>
      </c>
      <c r="K148" s="27" t="s">
        <v>224</v>
      </c>
      <c r="L148" s="27" t="s">
        <v>254</v>
      </c>
      <c r="M148" s="32" t="str">
        <f>HYPERLINK("http://slimages.macys.com/is/image/MCY/3821795 ")</f>
        <v xml:space="preserve">http://slimages.macys.com/is/image/MCY/3821795 </v>
      </c>
    </row>
    <row r="149" spans="1:13" ht="15.2" customHeight="1" x14ac:dyDescent="0.2">
      <c r="A149" s="26" t="s">
        <v>2211</v>
      </c>
      <c r="B149" s="27" t="s">
        <v>2212</v>
      </c>
      <c r="C149" s="28">
        <v>1</v>
      </c>
      <c r="D149" s="29">
        <v>10</v>
      </c>
      <c r="E149" s="29">
        <v>10</v>
      </c>
      <c r="F149" s="30">
        <v>24.99</v>
      </c>
      <c r="G149" s="29">
        <v>24.99</v>
      </c>
      <c r="H149" s="28">
        <v>59810</v>
      </c>
      <c r="I149" s="27" t="s">
        <v>127</v>
      </c>
      <c r="J149" s="31" t="s">
        <v>5</v>
      </c>
      <c r="K149" s="27" t="s">
        <v>224</v>
      </c>
      <c r="L149" s="27" t="s">
        <v>254</v>
      </c>
      <c r="M149" s="32" t="str">
        <f>HYPERLINK("http://slimages.macys.com/is/image/MCY/3826688 ")</f>
        <v xml:space="preserve">http://slimages.macys.com/is/image/MCY/3826688 </v>
      </c>
    </row>
    <row r="150" spans="1:13" ht="15.2" customHeight="1" x14ac:dyDescent="0.2">
      <c r="A150" s="26" t="s">
        <v>7397</v>
      </c>
      <c r="B150" s="27" t="s">
        <v>7398</v>
      </c>
      <c r="C150" s="28">
        <v>2</v>
      </c>
      <c r="D150" s="29">
        <v>10</v>
      </c>
      <c r="E150" s="29">
        <v>20</v>
      </c>
      <c r="F150" s="30">
        <v>27.99</v>
      </c>
      <c r="G150" s="29">
        <v>55.98</v>
      </c>
      <c r="H150" s="28" t="s">
        <v>279</v>
      </c>
      <c r="I150" s="27" t="s">
        <v>274</v>
      </c>
      <c r="J150" s="31" t="s">
        <v>5</v>
      </c>
      <c r="K150" s="27" t="s">
        <v>224</v>
      </c>
      <c r="L150" s="27" t="s">
        <v>237</v>
      </c>
      <c r="M150" s="32" t="str">
        <f>HYPERLINK("http://slimages.macys.com/is/image/MCY/3820976 ")</f>
        <v xml:space="preserve">http://slimages.macys.com/is/image/MCY/3820976 </v>
      </c>
    </row>
    <row r="151" spans="1:13" ht="15.2" customHeight="1" x14ac:dyDescent="0.2">
      <c r="A151" s="26" t="s">
        <v>8803</v>
      </c>
      <c r="B151" s="27" t="s">
        <v>8804</v>
      </c>
      <c r="C151" s="28">
        <v>1</v>
      </c>
      <c r="D151" s="29">
        <v>10</v>
      </c>
      <c r="E151" s="29">
        <v>10</v>
      </c>
      <c r="F151" s="30">
        <v>22.99</v>
      </c>
      <c r="G151" s="29">
        <v>22.99</v>
      </c>
      <c r="H151" s="28" t="s">
        <v>8805</v>
      </c>
      <c r="I151" s="27" t="s">
        <v>59</v>
      </c>
      <c r="J151" s="31" t="s">
        <v>21</v>
      </c>
      <c r="K151" s="27" t="s">
        <v>196</v>
      </c>
      <c r="L151" s="27" t="s">
        <v>256</v>
      </c>
      <c r="M151" s="32" t="str">
        <f>HYPERLINK("http://slimages.macys.com/is/image/MCY/3755144 ")</f>
        <v xml:space="preserve">http://slimages.macys.com/is/image/MCY/3755144 </v>
      </c>
    </row>
    <row r="152" spans="1:13" ht="15.2" customHeight="1" x14ac:dyDescent="0.2">
      <c r="A152" s="26" t="s">
        <v>9925</v>
      </c>
      <c r="B152" s="27" t="s">
        <v>9926</v>
      </c>
      <c r="C152" s="28">
        <v>3</v>
      </c>
      <c r="D152" s="29">
        <v>10</v>
      </c>
      <c r="E152" s="29">
        <v>30</v>
      </c>
      <c r="F152" s="30">
        <v>24.99</v>
      </c>
      <c r="G152" s="29">
        <v>74.97</v>
      </c>
      <c r="H152" s="28">
        <v>59810</v>
      </c>
      <c r="I152" s="27" t="s">
        <v>127</v>
      </c>
      <c r="J152" s="31" t="s">
        <v>21</v>
      </c>
      <c r="K152" s="27" t="s">
        <v>224</v>
      </c>
      <c r="L152" s="27" t="s">
        <v>254</v>
      </c>
      <c r="M152" s="32" t="str">
        <f>HYPERLINK("http://slimages.macys.com/is/image/MCY/3826688 ")</f>
        <v xml:space="preserve">http://slimages.macys.com/is/image/MCY/3826688 </v>
      </c>
    </row>
    <row r="153" spans="1:13" ht="15.2" customHeight="1" x14ac:dyDescent="0.2">
      <c r="A153" s="26" t="s">
        <v>10082</v>
      </c>
      <c r="B153" s="27" t="s">
        <v>10083</v>
      </c>
      <c r="C153" s="28">
        <v>1</v>
      </c>
      <c r="D153" s="29">
        <v>10</v>
      </c>
      <c r="E153" s="29">
        <v>10</v>
      </c>
      <c r="F153" s="30">
        <v>24.98</v>
      </c>
      <c r="G153" s="29">
        <v>24.98</v>
      </c>
      <c r="H153" s="28" t="s">
        <v>1321</v>
      </c>
      <c r="I153" s="27" t="s">
        <v>4</v>
      </c>
      <c r="J153" s="31" t="s">
        <v>234</v>
      </c>
      <c r="K153" s="27" t="s">
        <v>154</v>
      </c>
      <c r="L153" s="27" t="s">
        <v>155</v>
      </c>
      <c r="M153" s="32" t="str">
        <f>HYPERLINK("http://slimages.macys.com/is/image/MCY/2035405 ")</f>
        <v xml:space="preserve">http://slimages.macys.com/is/image/MCY/2035405 </v>
      </c>
    </row>
    <row r="154" spans="1:13" ht="15.2" customHeight="1" x14ac:dyDescent="0.2">
      <c r="A154" s="26" t="s">
        <v>798</v>
      </c>
      <c r="B154" s="27" t="s">
        <v>799</v>
      </c>
      <c r="C154" s="28">
        <v>1</v>
      </c>
      <c r="D154" s="29">
        <v>9.75</v>
      </c>
      <c r="E154" s="29">
        <v>9.75</v>
      </c>
      <c r="F154" s="30">
        <v>22.99</v>
      </c>
      <c r="G154" s="29">
        <v>22.99</v>
      </c>
      <c r="H154" s="28">
        <v>60444973</v>
      </c>
      <c r="I154" s="27" t="s">
        <v>4</v>
      </c>
      <c r="J154" s="31" t="s">
        <v>52</v>
      </c>
      <c r="K154" s="27" t="s">
        <v>208</v>
      </c>
      <c r="L154" s="27" t="s">
        <v>255</v>
      </c>
      <c r="M154" s="32" t="str">
        <f>HYPERLINK("http://slimages.macys.com/is/image/MCY/3850039 ")</f>
        <v xml:space="preserve">http://slimages.macys.com/is/image/MCY/3850039 </v>
      </c>
    </row>
    <row r="155" spans="1:13" ht="15.2" customHeight="1" x14ac:dyDescent="0.2">
      <c r="A155" s="26" t="s">
        <v>10084</v>
      </c>
      <c r="B155" s="27" t="s">
        <v>10085</v>
      </c>
      <c r="C155" s="28">
        <v>1</v>
      </c>
      <c r="D155" s="29">
        <v>9.65</v>
      </c>
      <c r="E155" s="29">
        <v>9.65</v>
      </c>
      <c r="F155" s="30">
        <v>27.99</v>
      </c>
      <c r="G155" s="29">
        <v>27.99</v>
      </c>
      <c r="H155" s="28" t="s">
        <v>279</v>
      </c>
      <c r="I155" s="27" t="s">
        <v>280</v>
      </c>
      <c r="J155" s="31" t="s">
        <v>52</v>
      </c>
      <c r="K155" s="27" t="s">
        <v>224</v>
      </c>
      <c r="L155" s="27" t="s">
        <v>237</v>
      </c>
      <c r="M155" s="32" t="str">
        <f>HYPERLINK("http://slimages.macys.com/is/image/MCY/3820978 ")</f>
        <v xml:space="preserve">http://slimages.macys.com/is/image/MCY/3820978 </v>
      </c>
    </row>
    <row r="156" spans="1:13" ht="15.2" customHeight="1" x14ac:dyDescent="0.2">
      <c r="A156" s="26" t="s">
        <v>1816</v>
      </c>
      <c r="B156" s="27" t="s">
        <v>1817</v>
      </c>
      <c r="C156" s="28">
        <v>3</v>
      </c>
      <c r="D156" s="29">
        <v>9.65</v>
      </c>
      <c r="E156" s="29">
        <v>28.95</v>
      </c>
      <c r="F156" s="30">
        <v>27.99</v>
      </c>
      <c r="G156" s="29">
        <v>83.97</v>
      </c>
      <c r="H156" s="28" t="s">
        <v>279</v>
      </c>
      <c r="I156" s="27" t="s">
        <v>280</v>
      </c>
      <c r="J156" s="31" t="s">
        <v>21</v>
      </c>
      <c r="K156" s="27" t="s">
        <v>224</v>
      </c>
      <c r="L156" s="27" t="s">
        <v>237</v>
      </c>
      <c r="M156" s="32" t="str">
        <f>HYPERLINK("http://slimages.macys.com/is/image/MCY/3820978 ")</f>
        <v xml:space="preserve">http://slimages.macys.com/is/image/MCY/3820978 </v>
      </c>
    </row>
    <row r="157" spans="1:13" ht="15.2" customHeight="1" x14ac:dyDescent="0.2">
      <c r="A157" s="26" t="s">
        <v>2227</v>
      </c>
      <c r="B157" s="27" t="s">
        <v>2228</v>
      </c>
      <c r="C157" s="28">
        <v>1</v>
      </c>
      <c r="D157" s="29">
        <v>9.5</v>
      </c>
      <c r="E157" s="29">
        <v>9.5</v>
      </c>
      <c r="F157" s="30">
        <v>19.989999999999998</v>
      </c>
      <c r="G157" s="29">
        <v>19.989999999999998</v>
      </c>
      <c r="H157" s="28" t="s">
        <v>800</v>
      </c>
      <c r="I157" s="27" t="s">
        <v>215</v>
      </c>
      <c r="J157" s="31" t="s">
        <v>71</v>
      </c>
      <c r="K157" s="27" t="s">
        <v>282</v>
      </c>
      <c r="L157" s="27" t="s">
        <v>283</v>
      </c>
      <c r="M157" s="32" t="str">
        <f>HYPERLINK("http://slimages.macys.com/is/image/MCY/3875949 ")</f>
        <v xml:space="preserve">http://slimages.macys.com/is/image/MCY/3875949 </v>
      </c>
    </row>
    <row r="158" spans="1:13" ht="15.2" customHeight="1" x14ac:dyDescent="0.2">
      <c r="A158" s="26" t="s">
        <v>8527</v>
      </c>
      <c r="B158" s="27" t="s">
        <v>8528</v>
      </c>
      <c r="C158" s="28">
        <v>1</v>
      </c>
      <c r="D158" s="29">
        <v>9.5</v>
      </c>
      <c r="E158" s="29">
        <v>9.5</v>
      </c>
      <c r="F158" s="30">
        <v>19.989999999999998</v>
      </c>
      <c r="G158" s="29">
        <v>19.989999999999998</v>
      </c>
      <c r="H158" s="28" t="s">
        <v>800</v>
      </c>
      <c r="I158" s="27" t="s">
        <v>215</v>
      </c>
      <c r="J158" s="31" t="s">
        <v>5</v>
      </c>
      <c r="K158" s="27" t="s">
        <v>282</v>
      </c>
      <c r="L158" s="27" t="s">
        <v>283</v>
      </c>
      <c r="M158" s="32" t="str">
        <f>HYPERLINK("http://slimages.macys.com/is/image/MCY/3875949 ")</f>
        <v xml:space="preserve">http://slimages.macys.com/is/image/MCY/3875949 </v>
      </c>
    </row>
    <row r="159" spans="1:13" ht="15.2" customHeight="1" x14ac:dyDescent="0.2">
      <c r="A159" s="26" t="s">
        <v>2924</v>
      </c>
      <c r="B159" s="27" t="s">
        <v>2925</v>
      </c>
      <c r="C159" s="28">
        <v>1</v>
      </c>
      <c r="D159" s="29">
        <v>9.5</v>
      </c>
      <c r="E159" s="29">
        <v>9.5</v>
      </c>
      <c r="F159" s="30">
        <v>22.99</v>
      </c>
      <c r="G159" s="29">
        <v>22.99</v>
      </c>
      <c r="H159" s="28" t="s">
        <v>286</v>
      </c>
      <c r="I159" s="27" t="s">
        <v>94</v>
      </c>
      <c r="J159" s="31" t="s">
        <v>21</v>
      </c>
      <c r="K159" s="27" t="s">
        <v>200</v>
      </c>
      <c r="L159" s="27" t="s">
        <v>133</v>
      </c>
      <c r="M159" s="32" t="str">
        <f>HYPERLINK("http://slimages.macys.com/is/image/MCY/3773700 ")</f>
        <v xml:space="preserve">http://slimages.macys.com/is/image/MCY/3773700 </v>
      </c>
    </row>
    <row r="160" spans="1:13" ht="15.2" customHeight="1" x14ac:dyDescent="0.2">
      <c r="A160" s="26" t="s">
        <v>9135</v>
      </c>
      <c r="B160" s="27" t="s">
        <v>9136</v>
      </c>
      <c r="C160" s="28">
        <v>1</v>
      </c>
      <c r="D160" s="29">
        <v>9.5</v>
      </c>
      <c r="E160" s="29">
        <v>9.5</v>
      </c>
      <c r="F160" s="30">
        <v>22.99</v>
      </c>
      <c r="G160" s="29">
        <v>22.99</v>
      </c>
      <c r="H160" s="28" t="s">
        <v>286</v>
      </c>
      <c r="I160" s="27" t="s">
        <v>189</v>
      </c>
      <c r="J160" s="31" t="s">
        <v>40</v>
      </c>
      <c r="K160" s="27" t="s">
        <v>200</v>
      </c>
      <c r="L160" s="27" t="s">
        <v>133</v>
      </c>
      <c r="M160" s="32" t="str">
        <f>HYPERLINK("http://slimages.macys.com/is/image/MCY/3773700 ")</f>
        <v xml:space="preserve">http://slimages.macys.com/is/image/MCY/3773700 </v>
      </c>
    </row>
    <row r="161" spans="1:13" ht="15.2" customHeight="1" x14ac:dyDescent="0.2">
      <c r="A161" s="26" t="s">
        <v>801</v>
      </c>
      <c r="B161" s="27" t="s">
        <v>802</v>
      </c>
      <c r="C161" s="28">
        <v>2</v>
      </c>
      <c r="D161" s="29">
        <v>9.35</v>
      </c>
      <c r="E161" s="29">
        <v>18.7</v>
      </c>
      <c r="F161" s="30">
        <v>19.989999999999998</v>
      </c>
      <c r="G161" s="29">
        <v>39.979999999999997</v>
      </c>
      <c r="H161" s="28" t="s">
        <v>803</v>
      </c>
      <c r="I161" s="27" t="s">
        <v>343</v>
      </c>
      <c r="J161" s="31" t="s">
        <v>40</v>
      </c>
      <c r="K161" s="27" t="s">
        <v>282</v>
      </c>
      <c r="L161" s="27" t="s">
        <v>327</v>
      </c>
      <c r="M161" s="32" t="str">
        <f>HYPERLINK("http://slimages.macys.com/is/image/MCY/3799624 ")</f>
        <v xml:space="preserve">http://slimages.macys.com/is/image/MCY/3799624 </v>
      </c>
    </row>
    <row r="162" spans="1:13" ht="15.2" customHeight="1" x14ac:dyDescent="0.2">
      <c r="A162" s="26" t="s">
        <v>7551</v>
      </c>
      <c r="B162" s="27" t="s">
        <v>7552</v>
      </c>
      <c r="C162" s="28">
        <v>1</v>
      </c>
      <c r="D162" s="29">
        <v>9.25</v>
      </c>
      <c r="E162" s="29">
        <v>9.25</v>
      </c>
      <c r="F162" s="30">
        <v>22.99</v>
      </c>
      <c r="G162" s="29">
        <v>22.99</v>
      </c>
      <c r="H162" s="28" t="s">
        <v>2939</v>
      </c>
      <c r="I162" s="27" t="s">
        <v>4</v>
      </c>
      <c r="J162" s="31" t="s">
        <v>5</v>
      </c>
      <c r="K162" s="27" t="s">
        <v>70</v>
      </c>
      <c r="L162" s="27" t="s">
        <v>260</v>
      </c>
      <c r="M162" s="32" t="str">
        <f>HYPERLINK("http://slimages.macys.com/is/image/MCY/3723523 ")</f>
        <v xml:space="preserve">http://slimages.macys.com/is/image/MCY/3723523 </v>
      </c>
    </row>
    <row r="163" spans="1:13" ht="15.2" customHeight="1" x14ac:dyDescent="0.2">
      <c r="A163" s="26" t="s">
        <v>7403</v>
      </c>
      <c r="B163" s="27" t="s">
        <v>7404</v>
      </c>
      <c r="C163" s="28">
        <v>2</v>
      </c>
      <c r="D163" s="29">
        <v>9.25</v>
      </c>
      <c r="E163" s="29">
        <v>18.5</v>
      </c>
      <c r="F163" s="30">
        <v>19.989999999999998</v>
      </c>
      <c r="G163" s="29">
        <v>39.979999999999997</v>
      </c>
      <c r="H163" s="28" t="s">
        <v>2231</v>
      </c>
      <c r="I163" s="27" t="s">
        <v>271</v>
      </c>
      <c r="J163" s="31" t="s">
        <v>21</v>
      </c>
      <c r="K163" s="27" t="s">
        <v>282</v>
      </c>
      <c r="L163" s="27" t="s">
        <v>283</v>
      </c>
      <c r="M163" s="32" t="str">
        <f>HYPERLINK("http://slimages.macys.com/is/image/MCY/3832193 ")</f>
        <v xml:space="preserve">http://slimages.macys.com/is/image/MCY/3832193 </v>
      </c>
    </row>
    <row r="164" spans="1:13" ht="15.2" customHeight="1" x14ac:dyDescent="0.2">
      <c r="A164" s="26" t="s">
        <v>8650</v>
      </c>
      <c r="B164" s="27" t="s">
        <v>8651</v>
      </c>
      <c r="C164" s="28">
        <v>1</v>
      </c>
      <c r="D164" s="29">
        <v>9.25</v>
      </c>
      <c r="E164" s="29">
        <v>9.25</v>
      </c>
      <c r="F164" s="30">
        <v>19.989999999999998</v>
      </c>
      <c r="G164" s="29">
        <v>19.989999999999998</v>
      </c>
      <c r="H164" s="28" t="s">
        <v>7555</v>
      </c>
      <c r="I164" s="27" t="s">
        <v>215</v>
      </c>
      <c r="J164" s="31" t="s">
        <v>71</v>
      </c>
      <c r="K164" s="27" t="s">
        <v>282</v>
      </c>
      <c r="L164" s="27" t="s">
        <v>283</v>
      </c>
      <c r="M164" s="32" t="str">
        <f>HYPERLINK("http://slimages.macys.com/is/image/MCY/3832893 ")</f>
        <v xml:space="preserve">http://slimages.macys.com/is/image/MCY/3832893 </v>
      </c>
    </row>
    <row r="165" spans="1:13" ht="15.2" customHeight="1" x14ac:dyDescent="0.2">
      <c r="A165" s="26" t="s">
        <v>9433</v>
      </c>
      <c r="B165" s="27" t="s">
        <v>9434</v>
      </c>
      <c r="C165" s="28">
        <v>1</v>
      </c>
      <c r="D165" s="29">
        <v>9.1999999999999993</v>
      </c>
      <c r="E165" s="29">
        <v>9.1999999999999993</v>
      </c>
      <c r="F165" s="30">
        <v>21.99</v>
      </c>
      <c r="G165" s="29">
        <v>21.99</v>
      </c>
      <c r="H165" s="28" t="s">
        <v>4634</v>
      </c>
      <c r="I165" s="27" t="s">
        <v>4</v>
      </c>
      <c r="J165" s="31" t="s">
        <v>5</v>
      </c>
      <c r="K165" s="27" t="s">
        <v>159</v>
      </c>
      <c r="L165" s="27" t="s">
        <v>160</v>
      </c>
      <c r="M165" s="32" t="str">
        <f>HYPERLINK("http://slimages.macys.com/is/image/MCY/3640472 ")</f>
        <v xml:space="preserve">http://slimages.macys.com/is/image/MCY/3640472 </v>
      </c>
    </row>
    <row r="166" spans="1:13" ht="15.2" customHeight="1" x14ac:dyDescent="0.2">
      <c r="A166" s="26" t="s">
        <v>10086</v>
      </c>
      <c r="B166" s="27" t="s">
        <v>10087</v>
      </c>
      <c r="C166" s="28">
        <v>1</v>
      </c>
      <c r="D166" s="29">
        <v>9.1</v>
      </c>
      <c r="E166" s="29">
        <v>9.1</v>
      </c>
      <c r="F166" s="30">
        <v>19.989999999999998</v>
      </c>
      <c r="G166" s="29">
        <v>19.989999999999998</v>
      </c>
      <c r="H166" s="28" t="s">
        <v>1353</v>
      </c>
      <c r="I166" s="27" t="s">
        <v>94</v>
      </c>
      <c r="J166" s="31" t="s">
        <v>21</v>
      </c>
      <c r="K166" s="27" t="s">
        <v>224</v>
      </c>
      <c r="L166" s="27" t="s">
        <v>276</v>
      </c>
      <c r="M166" s="32" t="str">
        <f>HYPERLINK("http://slimages.macys.com/is/image/MCY/3820944 ")</f>
        <v xml:space="preserve">http://slimages.macys.com/is/image/MCY/3820944 </v>
      </c>
    </row>
    <row r="167" spans="1:13" ht="15.2" customHeight="1" x14ac:dyDescent="0.2">
      <c r="A167" s="26" t="s">
        <v>2239</v>
      </c>
      <c r="B167" s="27" t="s">
        <v>2240</v>
      </c>
      <c r="C167" s="28">
        <v>4</v>
      </c>
      <c r="D167" s="29">
        <v>9.1</v>
      </c>
      <c r="E167" s="29">
        <v>36.4</v>
      </c>
      <c r="F167" s="30">
        <v>19.989999999999998</v>
      </c>
      <c r="G167" s="29">
        <v>79.959999999999994</v>
      </c>
      <c r="H167" s="28" t="s">
        <v>305</v>
      </c>
      <c r="I167" s="27" t="s">
        <v>306</v>
      </c>
      <c r="J167" s="31" t="s">
        <v>21</v>
      </c>
      <c r="K167" s="27" t="s">
        <v>224</v>
      </c>
      <c r="L167" s="27" t="s">
        <v>276</v>
      </c>
      <c r="M167" s="32" t="str">
        <f>HYPERLINK("http://slimages.macys.com/is/image/MCY/3821780 ")</f>
        <v xml:space="preserve">http://slimages.macys.com/is/image/MCY/3821780 </v>
      </c>
    </row>
    <row r="168" spans="1:13" ht="15.2" customHeight="1" x14ac:dyDescent="0.2">
      <c r="A168" s="26" t="s">
        <v>10088</v>
      </c>
      <c r="B168" s="27" t="s">
        <v>10089</v>
      </c>
      <c r="C168" s="28">
        <v>1</v>
      </c>
      <c r="D168" s="29">
        <v>9.1</v>
      </c>
      <c r="E168" s="29">
        <v>9.1</v>
      </c>
      <c r="F168" s="30">
        <v>19.989999999999998</v>
      </c>
      <c r="G168" s="29">
        <v>19.989999999999998</v>
      </c>
      <c r="H168" s="28" t="s">
        <v>1353</v>
      </c>
      <c r="I168" s="27" t="s">
        <v>1311</v>
      </c>
      <c r="J168" s="31" t="s">
        <v>52</v>
      </c>
      <c r="K168" s="27" t="s">
        <v>224</v>
      </c>
      <c r="L168" s="27" t="s">
        <v>276</v>
      </c>
      <c r="M168" s="32" t="str">
        <f>HYPERLINK("http://slimages.macys.com/is/image/MCY/3820944 ")</f>
        <v xml:space="preserve">http://slimages.macys.com/is/image/MCY/3820944 </v>
      </c>
    </row>
    <row r="169" spans="1:13" ht="15.2" customHeight="1" x14ac:dyDescent="0.2">
      <c r="A169" s="26" t="s">
        <v>1849</v>
      </c>
      <c r="B169" s="27" t="s">
        <v>1850</v>
      </c>
      <c r="C169" s="28">
        <v>1</v>
      </c>
      <c r="D169" s="29">
        <v>9.1</v>
      </c>
      <c r="E169" s="29">
        <v>9.1</v>
      </c>
      <c r="F169" s="30">
        <v>19.989999999999998</v>
      </c>
      <c r="G169" s="29">
        <v>19.989999999999998</v>
      </c>
      <c r="H169" s="28" t="s">
        <v>305</v>
      </c>
      <c r="I169" s="27" t="s">
        <v>189</v>
      </c>
      <c r="J169" s="31" t="s">
        <v>52</v>
      </c>
      <c r="K169" s="27" t="s">
        <v>224</v>
      </c>
      <c r="L169" s="27" t="s">
        <v>276</v>
      </c>
      <c r="M169" s="32" t="str">
        <f>HYPERLINK("http://slimages.macys.com/is/image/MCY/3821780 ")</f>
        <v xml:space="preserve">http://slimages.macys.com/is/image/MCY/3821780 </v>
      </c>
    </row>
    <row r="170" spans="1:13" ht="15.2" customHeight="1" x14ac:dyDescent="0.2">
      <c r="A170" s="26" t="s">
        <v>10090</v>
      </c>
      <c r="B170" s="27" t="s">
        <v>10091</v>
      </c>
      <c r="C170" s="28">
        <v>1</v>
      </c>
      <c r="D170" s="29">
        <v>9.1</v>
      </c>
      <c r="E170" s="29">
        <v>9.1</v>
      </c>
      <c r="F170" s="30">
        <v>19.989999999999998</v>
      </c>
      <c r="G170" s="29">
        <v>19.989999999999998</v>
      </c>
      <c r="H170" s="28" t="s">
        <v>1353</v>
      </c>
      <c r="I170" s="27" t="s">
        <v>94</v>
      </c>
      <c r="J170" s="31" t="s">
        <v>52</v>
      </c>
      <c r="K170" s="27" t="s">
        <v>224</v>
      </c>
      <c r="L170" s="27" t="s">
        <v>276</v>
      </c>
      <c r="M170" s="32" t="str">
        <f>HYPERLINK("http://slimages.macys.com/is/image/MCY/3820944 ")</f>
        <v xml:space="preserve">http://slimages.macys.com/is/image/MCY/3820944 </v>
      </c>
    </row>
    <row r="171" spans="1:13" ht="15.2" customHeight="1" x14ac:dyDescent="0.2">
      <c r="A171" s="26" t="s">
        <v>1851</v>
      </c>
      <c r="B171" s="27" t="s">
        <v>1852</v>
      </c>
      <c r="C171" s="28">
        <v>2</v>
      </c>
      <c r="D171" s="29">
        <v>9.1</v>
      </c>
      <c r="E171" s="29">
        <v>18.2</v>
      </c>
      <c r="F171" s="30">
        <v>19.989999999999998</v>
      </c>
      <c r="G171" s="29">
        <v>39.979999999999997</v>
      </c>
      <c r="H171" s="28" t="s">
        <v>305</v>
      </c>
      <c r="I171" s="27" t="s">
        <v>189</v>
      </c>
      <c r="J171" s="31" t="s">
        <v>21</v>
      </c>
      <c r="K171" s="27" t="s">
        <v>224</v>
      </c>
      <c r="L171" s="27" t="s">
        <v>276</v>
      </c>
      <c r="M171" s="32" t="str">
        <f>HYPERLINK("http://slimages.macys.com/is/image/MCY/3820952 ")</f>
        <v xml:space="preserve">http://slimages.macys.com/is/image/MCY/3820952 </v>
      </c>
    </row>
    <row r="172" spans="1:13" ht="15.2" customHeight="1" x14ac:dyDescent="0.2">
      <c r="A172" s="26" t="s">
        <v>303</v>
      </c>
      <c r="B172" s="27" t="s">
        <v>304</v>
      </c>
      <c r="C172" s="28">
        <v>1</v>
      </c>
      <c r="D172" s="29">
        <v>9.1</v>
      </c>
      <c r="E172" s="29">
        <v>9.1</v>
      </c>
      <c r="F172" s="30">
        <v>19.989999999999998</v>
      </c>
      <c r="G172" s="29">
        <v>19.989999999999998</v>
      </c>
      <c r="H172" s="28" t="s">
        <v>305</v>
      </c>
      <c r="I172" s="27" t="s">
        <v>306</v>
      </c>
      <c r="J172" s="31" t="s">
        <v>52</v>
      </c>
      <c r="K172" s="27" t="s">
        <v>224</v>
      </c>
      <c r="L172" s="27" t="s">
        <v>276</v>
      </c>
      <c r="M172" s="32" t="str">
        <f>HYPERLINK("http://slimages.macys.com/is/image/MCY/3821780 ")</f>
        <v xml:space="preserve">http://slimages.macys.com/is/image/MCY/3821780 </v>
      </c>
    </row>
    <row r="173" spans="1:13" ht="15.2" customHeight="1" x14ac:dyDescent="0.2">
      <c r="A173" s="26" t="s">
        <v>9866</v>
      </c>
      <c r="B173" s="27" t="s">
        <v>9867</v>
      </c>
      <c r="C173" s="28">
        <v>1</v>
      </c>
      <c r="D173" s="29">
        <v>9.1</v>
      </c>
      <c r="E173" s="29">
        <v>9.1</v>
      </c>
      <c r="F173" s="30">
        <v>19.989999999999998</v>
      </c>
      <c r="G173" s="29">
        <v>19.989999999999998</v>
      </c>
      <c r="H173" s="28" t="s">
        <v>1353</v>
      </c>
      <c r="I173" s="27" t="s">
        <v>10</v>
      </c>
      <c r="J173" s="31" t="s">
        <v>5</v>
      </c>
      <c r="K173" s="27" t="s">
        <v>224</v>
      </c>
      <c r="L173" s="27" t="s">
        <v>276</v>
      </c>
      <c r="M173" s="32" t="str">
        <f>HYPERLINK("http://slimages.macys.com/is/image/MCY/3821784 ")</f>
        <v xml:space="preserve">http://slimages.macys.com/is/image/MCY/3821784 </v>
      </c>
    </row>
    <row r="174" spans="1:13" ht="15.2" customHeight="1" x14ac:dyDescent="0.2">
      <c r="A174" s="26" t="s">
        <v>8474</v>
      </c>
      <c r="B174" s="27" t="s">
        <v>8475</v>
      </c>
      <c r="C174" s="28">
        <v>1</v>
      </c>
      <c r="D174" s="29">
        <v>9.1</v>
      </c>
      <c r="E174" s="29">
        <v>9.1</v>
      </c>
      <c r="F174" s="30">
        <v>19.989999999999998</v>
      </c>
      <c r="G174" s="29">
        <v>19.989999999999998</v>
      </c>
      <c r="H174" s="28" t="s">
        <v>305</v>
      </c>
      <c r="I174" s="27" t="s">
        <v>306</v>
      </c>
      <c r="J174" s="31" t="s">
        <v>5</v>
      </c>
      <c r="K174" s="27" t="s">
        <v>224</v>
      </c>
      <c r="L174" s="27" t="s">
        <v>276</v>
      </c>
      <c r="M174" s="32" t="str">
        <f>HYPERLINK("http://slimages.macys.com/is/image/MCY/3821780 ")</f>
        <v xml:space="preserve">http://slimages.macys.com/is/image/MCY/3821780 </v>
      </c>
    </row>
    <row r="175" spans="1:13" ht="15.2" customHeight="1" x14ac:dyDescent="0.2">
      <c r="A175" s="26" t="s">
        <v>10092</v>
      </c>
      <c r="B175" s="27" t="s">
        <v>10093</v>
      </c>
      <c r="C175" s="28">
        <v>1</v>
      </c>
      <c r="D175" s="29">
        <v>9.1</v>
      </c>
      <c r="E175" s="29">
        <v>9.1</v>
      </c>
      <c r="F175" s="30">
        <v>19.989999999999998</v>
      </c>
      <c r="G175" s="29">
        <v>19.989999999999998</v>
      </c>
      <c r="H175" s="28" t="s">
        <v>1353</v>
      </c>
      <c r="I175" s="27" t="s">
        <v>1311</v>
      </c>
      <c r="J175" s="31" t="s">
        <v>71</v>
      </c>
      <c r="K175" s="27" t="s">
        <v>224</v>
      </c>
      <c r="L175" s="27" t="s">
        <v>276</v>
      </c>
      <c r="M175" s="32" t="str">
        <f>HYPERLINK("http://slimages.macys.com/is/image/MCY/3820944 ")</f>
        <v xml:space="preserve">http://slimages.macys.com/is/image/MCY/3820944 </v>
      </c>
    </row>
    <row r="176" spans="1:13" ht="15.2" customHeight="1" x14ac:dyDescent="0.2">
      <c r="A176" s="26" t="s">
        <v>9868</v>
      </c>
      <c r="B176" s="27" t="s">
        <v>9869</v>
      </c>
      <c r="C176" s="28">
        <v>1</v>
      </c>
      <c r="D176" s="29">
        <v>9</v>
      </c>
      <c r="E176" s="29">
        <v>9</v>
      </c>
      <c r="F176" s="30">
        <v>19.989999999999998</v>
      </c>
      <c r="G176" s="29">
        <v>19.989999999999998</v>
      </c>
      <c r="H176" s="28" t="s">
        <v>820</v>
      </c>
      <c r="I176" s="27" t="s">
        <v>1</v>
      </c>
      <c r="J176" s="31" t="s">
        <v>5</v>
      </c>
      <c r="K176" s="27" t="s">
        <v>196</v>
      </c>
      <c r="L176" s="27" t="s">
        <v>239</v>
      </c>
      <c r="M176" s="32" t="str">
        <f>HYPERLINK("http://slimages.macys.com/is/image/MCY/3890920 ")</f>
        <v xml:space="preserve">http://slimages.macys.com/is/image/MCY/3890920 </v>
      </c>
    </row>
    <row r="177" spans="1:13" ht="15.2" customHeight="1" x14ac:dyDescent="0.2">
      <c r="A177" s="26" t="s">
        <v>10094</v>
      </c>
      <c r="B177" s="27" t="s">
        <v>10095</v>
      </c>
      <c r="C177" s="28">
        <v>2</v>
      </c>
      <c r="D177" s="29">
        <v>9</v>
      </c>
      <c r="E177" s="29">
        <v>18</v>
      </c>
      <c r="F177" s="30">
        <v>19.989999999999998</v>
      </c>
      <c r="G177" s="29">
        <v>39.979999999999997</v>
      </c>
      <c r="H177" s="28" t="s">
        <v>820</v>
      </c>
      <c r="I177" s="27" t="s">
        <v>215</v>
      </c>
      <c r="J177" s="31" t="s">
        <v>21</v>
      </c>
      <c r="K177" s="27" t="s">
        <v>196</v>
      </c>
      <c r="L177" s="27" t="s">
        <v>239</v>
      </c>
      <c r="M177" s="32" t="str">
        <f>HYPERLINK("http://slimages.macys.com/is/image/MCY/3890920 ")</f>
        <v xml:space="preserve">http://slimages.macys.com/is/image/MCY/3890920 </v>
      </c>
    </row>
    <row r="178" spans="1:13" ht="15.2" customHeight="1" x14ac:dyDescent="0.2">
      <c r="A178" s="26" t="s">
        <v>2244</v>
      </c>
      <c r="B178" s="27" t="s">
        <v>2245</v>
      </c>
      <c r="C178" s="28">
        <v>1</v>
      </c>
      <c r="D178" s="29">
        <v>9</v>
      </c>
      <c r="E178" s="29">
        <v>9</v>
      </c>
      <c r="F178" s="30">
        <v>19.989999999999998</v>
      </c>
      <c r="G178" s="29">
        <v>19.989999999999998</v>
      </c>
      <c r="H178" s="28" t="s">
        <v>311</v>
      </c>
      <c r="I178" s="27" t="s">
        <v>94</v>
      </c>
      <c r="J178" s="31" t="s">
        <v>40</v>
      </c>
      <c r="K178" s="27" t="s">
        <v>196</v>
      </c>
      <c r="L178" s="27" t="s">
        <v>239</v>
      </c>
      <c r="M178" s="32" t="str">
        <f>HYPERLINK("http://slimages.macys.com/is/image/MCY/3890895 ")</f>
        <v xml:space="preserve">http://slimages.macys.com/is/image/MCY/3890895 </v>
      </c>
    </row>
    <row r="179" spans="1:13" ht="15.2" customHeight="1" x14ac:dyDescent="0.2">
      <c r="A179" s="26" t="s">
        <v>10096</v>
      </c>
      <c r="B179" s="27" t="s">
        <v>10097</v>
      </c>
      <c r="C179" s="28">
        <v>1</v>
      </c>
      <c r="D179" s="29">
        <v>9</v>
      </c>
      <c r="E179" s="29">
        <v>9</v>
      </c>
      <c r="F179" s="30">
        <v>39</v>
      </c>
      <c r="G179" s="29">
        <v>39</v>
      </c>
      <c r="H179" s="28" t="s">
        <v>1354</v>
      </c>
      <c r="I179" s="27" t="s">
        <v>4</v>
      </c>
      <c r="J179" s="31" t="s">
        <v>65</v>
      </c>
      <c r="K179" s="27" t="s">
        <v>154</v>
      </c>
      <c r="L179" s="27" t="s">
        <v>155</v>
      </c>
      <c r="M179" s="32" t="str">
        <f>HYPERLINK("http://slimages.macys.com/is/image/MCY/3563038 ")</f>
        <v xml:space="preserve">http://slimages.macys.com/is/image/MCY/3563038 </v>
      </c>
    </row>
    <row r="180" spans="1:13" ht="15.2" customHeight="1" x14ac:dyDescent="0.2">
      <c r="A180" s="26" t="s">
        <v>10098</v>
      </c>
      <c r="B180" s="27" t="s">
        <v>10099</v>
      </c>
      <c r="C180" s="28">
        <v>1</v>
      </c>
      <c r="D180" s="29">
        <v>9</v>
      </c>
      <c r="E180" s="29">
        <v>9</v>
      </c>
      <c r="F180" s="30">
        <v>19.989999999999998</v>
      </c>
      <c r="G180" s="29">
        <v>19.989999999999998</v>
      </c>
      <c r="H180" s="28" t="s">
        <v>820</v>
      </c>
      <c r="I180" s="27" t="s">
        <v>1</v>
      </c>
      <c r="J180" s="31" t="s">
        <v>40</v>
      </c>
      <c r="K180" s="27" t="s">
        <v>196</v>
      </c>
      <c r="L180" s="27" t="s">
        <v>239</v>
      </c>
      <c r="M180" s="32" t="str">
        <f>HYPERLINK("http://slimages.macys.com/is/image/MCY/3890920 ")</f>
        <v xml:space="preserve">http://slimages.macys.com/is/image/MCY/3890920 </v>
      </c>
    </row>
    <row r="181" spans="1:13" ht="15.2" customHeight="1" x14ac:dyDescent="0.2">
      <c r="A181" s="26" t="s">
        <v>10100</v>
      </c>
      <c r="B181" s="27" t="s">
        <v>10101</v>
      </c>
      <c r="C181" s="28">
        <v>1</v>
      </c>
      <c r="D181" s="29">
        <v>9</v>
      </c>
      <c r="E181" s="29">
        <v>9</v>
      </c>
      <c r="F181" s="30">
        <v>19.989999999999998</v>
      </c>
      <c r="G181" s="29">
        <v>19.989999999999998</v>
      </c>
      <c r="H181" s="28" t="s">
        <v>820</v>
      </c>
      <c r="I181" s="27" t="s">
        <v>274</v>
      </c>
      <c r="J181" s="31" t="s">
        <v>52</v>
      </c>
      <c r="K181" s="27" t="s">
        <v>196</v>
      </c>
      <c r="L181" s="27" t="s">
        <v>239</v>
      </c>
      <c r="M181" s="32" t="str">
        <f>HYPERLINK("http://slimages.macys.com/is/image/MCY/3890920 ")</f>
        <v xml:space="preserve">http://slimages.macys.com/is/image/MCY/3890920 </v>
      </c>
    </row>
    <row r="182" spans="1:13" ht="15.2" customHeight="1" x14ac:dyDescent="0.2">
      <c r="A182" s="26" t="s">
        <v>8530</v>
      </c>
      <c r="B182" s="27" t="s">
        <v>8531</v>
      </c>
      <c r="C182" s="28">
        <v>1</v>
      </c>
      <c r="D182" s="29">
        <v>8.9</v>
      </c>
      <c r="E182" s="29">
        <v>8.9</v>
      </c>
      <c r="F182" s="30">
        <v>19.989999999999998</v>
      </c>
      <c r="G182" s="29">
        <v>19.989999999999998</v>
      </c>
      <c r="H182" s="28" t="s">
        <v>1362</v>
      </c>
      <c r="I182" s="27" t="s">
        <v>4</v>
      </c>
      <c r="J182" s="31" t="s">
        <v>21</v>
      </c>
      <c r="K182" s="27" t="s">
        <v>224</v>
      </c>
      <c r="L182" s="27" t="s">
        <v>276</v>
      </c>
      <c r="M182" s="32" t="str">
        <f>HYPERLINK("http://slimages.macys.com/is/image/MCY/3814584 ")</f>
        <v xml:space="preserve">http://slimages.macys.com/is/image/MCY/3814584 </v>
      </c>
    </row>
    <row r="183" spans="1:13" ht="15.2" customHeight="1" x14ac:dyDescent="0.2">
      <c r="A183" s="26" t="s">
        <v>2250</v>
      </c>
      <c r="B183" s="27" t="s">
        <v>2251</v>
      </c>
      <c r="C183" s="28">
        <v>1</v>
      </c>
      <c r="D183" s="29">
        <v>8.9</v>
      </c>
      <c r="E183" s="29">
        <v>8.9</v>
      </c>
      <c r="F183" s="30">
        <v>19.989999999999998</v>
      </c>
      <c r="G183" s="29">
        <v>19.989999999999998</v>
      </c>
      <c r="H183" s="28" t="s">
        <v>1362</v>
      </c>
      <c r="I183" s="27" t="s">
        <v>4</v>
      </c>
      <c r="J183" s="31" t="s">
        <v>52</v>
      </c>
      <c r="K183" s="27" t="s">
        <v>224</v>
      </c>
      <c r="L183" s="27" t="s">
        <v>276</v>
      </c>
      <c r="M183" s="32" t="str">
        <f>HYPERLINK("http://slimages.macys.com/is/image/MCY/3814584 ")</f>
        <v xml:space="preserve">http://slimages.macys.com/is/image/MCY/3814584 </v>
      </c>
    </row>
    <row r="184" spans="1:13" ht="15.2" customHeight="1" x14ac:dyDescent="0.2">
      <c r="A184" s="26" t="s">
        <v>10102</v>
      </c>
      <c r="B184" s="27" t="s">
        <v>10103</v>
      </c>
      <c r="C184" s="28">
        <v>1</v>
      </c>
      <c r="D184" s="29">
        <v>8.9</v>
      </c>
      <c r="E184" s="29">
        <v>8.9</v>
      </c>
      <c r="F184" s="30">
        <v>19.989999999999998</v>
      </c>
      <c r="G184" s="29">
        <v>19.989999999999998</v>
      </c>
      <c r="H184" s="28" t="s">
        <v>820</v>
      </c>
      <c r="I184" s="27" t="s">
        <v>33</v>
      </c>
      <c r="J184" s="31" t="s">
        <v>40</v>
      </c>
      <c r="K184" s="27" t="s">
        <v>196</v>
      </c>
      <c r="L184" s="27" t="s">
        <v>239</v>
      </c>
      <c r="M184" s="32" t="str">
        <f>HYPERLINK("http://slimages.macys.com/is/image/MCY/3890920 ")</f>
        <v xml:space="preserve">http://slimages.macys.com/is/image/MCY/3890920 </v>
      </c>
    </row>
    <row r="185" spans="1:13" ht="15.2" customHeight="1" x14ac:dyDescent="0.2">
      <c r="A185" s="26" t="s">
        <v>10104</v>
      </c>
      <c r="B185" s="27" t="s">
        <v>10105</v>
      </c>
      <c r="C185" s="28">
        <v>1</v>
      </c>
      <c r="D185" s="29">
        <v>8.85</v>
      </c>
      <c r="E185" s="29">
        <v>8.85</v>
      </c>
      <c r="F185" s="30">
        <v>19.989999999999998</v>
      </c>
      <c r="G185" s="29">
        <v>19.989999999999998</v>
      </c>
      <c r="H185" s="28">
        <v>512215</v>
      </c>
      <c r="I185" s="27" t="s">
        <v>94</v>
      </c>
      <c r="J185" s="31" t="s">
        <v>71</v>
      </c>
      <c r="K185" s="27" t="s">
        <v>196</v>
      </c>
      <c r="L185" s="27" t="s">
        <v>1808</v>
      </c>
      <c r="M185" s="32" t="str">
        <f>HYPERLINK("http://slimages.macys.com/is/image/MCY/3787589 ")</f>
        <v xml:space="preserve">http://slimages.macys.com/is/image/MCY/3787589 </v>
      </c>
    </row>
    <row r="186" spans="1:13" ht="15.2" customHeight="1" x14ac:dyDescent="0.2">
      <c r="A186" s="26" t="s">
        <v>1363</v>
      </c>
      <c r="B186" s="27" t="s">
        <v>1364</v>
      </c>
      <c r="C186" s="28">
        <v>1</v>
      </c>
      <c r="D186" s="29">
        <v>8.6</v>
      </c>
      <c r="E186" s="29">
        <v>8.6</v>
      </c>
      <c r="F186" s="30">
        <v>19.989999999999998</v>
      </c>
      <c r="G186" s="29">
        <v>19.989999999999998</v>
      </c>
      <c r="H186" s="28" t="s">
        <v>821</v>
      </c>
      <c r="I186" s="27" t="s">
        <v>1</v>
      </c>
      <c r="J186" s="31" t="s">
        <v>5</v>
      </c>
      <c r="K186" s="27" t="s">
        <v>196</v>
      </c>
      <c r="L186" s="27" t="s">
        <v>239</v>
      </c>
      <c r="M186" s="32" t="str">
        <f>HYPERLINK("http://slimages.macys.com/is/image/MCY/3890894 ")</f>
        <v xml:space="preserve">http://slimages.macys.com/is/image/MCY/3890894 </v>
      </c>
    </row>
    <row r="187" spans="1:13" ht="15.2" customHeight="1" x14ac:dyDescent="0.2">
      <c r="A187" s="26" t="s">
        <v>6041</v>
      </c>
      <c r="B187" s="27" t="s">
        <v>6042</v>
      </c>
      <c r="C187" s="28">
        <v>1</v>
      </c>
      <c r="D187" s="29">
        <v>8.6</v>
      </c>
      <c r="E187" s="29">
        <v>8.6</v>
      </c>
      <c r="F187" s="30">
        <v>19.989999999999998</v>
      </c>
      <c r="G187" s="29">
        <v>19.989999999999998</v>
      </c>
      <c r="H187" s="28" t="s">
        <v>821</v>
      </c>
      <c r="I187" s="27" t="s">
        <v>33</v>
      </c>
      <c r="J187" s="31" t="s">
        <v>21</v>
      </c>
      <c r="K187" s="27" t="s">
        <v>196</v>
      </c>
      <c r="L187" s="27" t="s">
        <v>239</v>
      </c>
      <c r="M187" s="32" t="str">
        <f>HYPERLINK("http://slimages.macys.com/is/image/MCY/3890894 ")</f>
        <v xml:space="preserve">http://slimages.macys.com/is/image/MCY/3890894 </v>
      </c>
    </row>
    <row r="188" spans="1:13" ht="15.2" customHeight="1" x14ac:dyDescent="0.2">
      <c r="A188" s="26" t="s">
        <v>9870</v>
      </c>
      <c r="B188" s="27" t="s">
        <v>9871</v>
      </c>
      <c r="C188" s="28">
        <v>1</v>
      </c>
      <c r="D188" s="29">
        <v>8.6</v>
      </c>
      <c r="E188" s="29">
        <v>8.6</v>
      </c>
      <c r="F188" s="30">
        <v>19.989999999999998</v>
      </c>
      <c r="G188" s="29">
        <v>19.989999999999998</v>
      </c>
      <c r="H188" s="28" t="s">
        <v>821</v>
      </c>
      <c r="I188" s="27" t="s">
        <v>189</v>
      </c>
      <c r="J188" s="31" t="s">
        <v>52</v>
      </c>
      <c r="K188" s="27" t="s">
        <v>196</v>
      </c>
      <c r="L188" s="27" t="s">
        <v>239</v>
      </c>
      <c r="M188" s="32" t="str">
        <f>HYPERLINK("http://slimages.macys.com/is/image/MCY/3890894 ")</f>
        <v xml:space="preserve">http://slimages.macys.com/is/image/MCY/3890894 </v>
      </c>
    </row>
    <row r="189" spans="1:13" ht="15.2" customHeight="1" x14ac:dyDescent="0.2">
      <c r="A189" s="26" t="s">
        <v>10106</v>
      </c>
      <c r="B189" s="27" t="s">
        <v>10107</v>
      </c>
      <c r="C189" s="28">
        <v>1</v>
      </c>
      <c r="D189" s="29">
        <v>8.5500000000000007</v>
      </c>
      <c r="E189" s="29">
        <v>8.5500000000000007</v>
      </c>
      <c r="F189" s="30">
        <v>19.989999999999998</v>
      </c>
      <c r="G189" s="29">
        <v>19.989999999999998</v>
      </c>
      <c r="H189" s="28" t="s">
        <v>1365</v>
      </c>
      <c r="I189" s="27" t="s">
        <v>5519</v>
      </c>
      <c r="J189" s="31" t="s">
        <v>40</v>
      </c>
      <c r="K189" s="27" t="s">
        <v>224</v>
      </c>
      <c r="L189" s="27" t="s">
        <v>254</v>
      </c>
      <c r="M189" s="32" t="str">
        <f>HYPERLINK("http://slimages.macys.com/is/image/MCY/3815102 ")</f>
        <v xml:space="preserve">http://slimages.macys.com/is/image/MCY/3815102 </v>
      </c>
    </row>
    <row r="190" spans="1:13" ht="15.2" customHeight="1" x14ac:dyDescent="0.2">
      <c r="A190" s="26" t="s">
        <v>1863</v>
      </c>
      <c r="B190" s="27" t="s">
        <v>1864</v>
      </c>
      <c r="C190" s="28">
        <v>1</v>
      </c>
      <c r="D190" s="29">
        <v>8.5</v>
      </c>
      <c r="E190" s="29">
        <v>8.5</v>
      </c>
      <c r="F190" s="30">
        <v>19.989999999999998</v>
      </c>
      <c r="G190" s="29">
        <v>19.989999999999998</v>
      </c>
      <c r="H190" s="28" t="s">
        <v>830</v>
      </c>
      <c r="I190" s="27" t="s">
        <v>4</v>
      </c>
      <c r="J190" s="31" t="s">
        <v>40</v>
      </c>
      <c r="K190" s="27" t="s">
        <v>282</v>
      </c>
      <c r="L190" s="27" t="s">
        <v>312</v>
      </c>
      <c r="M190" s="32" t="str">
        <f>HYPERLINK("http://slimages.macys.com/is/image/MCY/3853693 ")</f>
        <v xml:space="preserve">http://slimages.macys.com/is/image/MCY/3853693 </v>
      </c>
    </row>
    <row r="191" spans="1:13" ht="15.2" customHeight="1" x14ac:dyDescent="0.2">
      <c r="A191" s="26" t="s">
        <v>10108</v>
      </c>
      <c r="B191" s="27" t="s">
        <v>10109</v>
      </c>
      <c r="C191" s="28">
        <v>1</v>
      </c>
      <c r="D191" s="29">
        <v>8.5</v>
      </c>
      <c r="E191" s="29">
        <v>8.5</v>
      </c>
      <c r="F191" s="30">
        <v>19.989999999999998</v>
      </c>
      <c r="G191" s="29">
        <v>19.989999999999998</v>
      </c>
      <c r="H191" s="28" t="s">
        <v>326</v>
      </c>
      <c r="I191" s="27" t="s">
        <v>82</v>
      </c>
      <c r="J191" s="31" t="s">
        <v>5</v>
      </c>
      <c r="K191" s="27" t="s">
        <v>282</v>
      </c>
      <c r="L191" s="27" t="s">
        <v>327</v>
      </c>
      <c r="M191" s="32" t="str">
        <f>HYPERLINK("http://slimages.macys.com/is/image/MCY/3910974 ")</f>
        <v xml:space="preserve">http://slimages.macys.com/is/image/MCY/3910974 </v>
      </c>
    </row>
    <row r="192" spans="1:13" ht="15.2" customHeight="1" x14ac:dyDescent="0.2">
      <c r="A192" s="26" t="s">
        <v>1874</v>
      </c>
      <c r="B192" s="27" t="s">
        <v>1875</v>
      </c>
      <c r="C192" s="28">
        <v>1</v>
      </c>
      <c r="D192" s="29">
        <v>8.5</v>
      </c>
      <c r="E192" s="29">
        <v>8.5</v>
      </c>
      <c r="F192" s="30">
        <v>19.989999999999998</v>
      </c>
      <c r="G192" s="29">
        <v>19.989999999999998</v>
      </c>
      <c r="H192" s="28">
        <v>60433871</v>
      </c>
      <c r="I192" s="27" t="s">
        <v>103</v>
      </c>
      <c r="J192" s="31" t="s">
        <v>21</v>
      </c>
      <c r="K192" s="27" t="s">
        <v>224</v>
      </c>
      <c r="L192" s="27" t="s">
        <v>255</v>
      </c>
      <c r="M192" s="32" t="str">
        <f>HYPERLINK("http://slimages.macys.com/is/image/MCY/3910875 ")</f>
        <v xml:space="preserve">http://slimages.macys.com/is/image/MCY/3910875 </v>
      </c>
    </row>
    <row r="193" spans="1:13" ht="15.2" customHeight="1" x14ac:dyDescent="0.2">
      <c r="A193" s="26" t="s">
        <v>2971</v>
      </c>
      <c r="B193" s="27" t="s">
        <v>2972</v>
      </c>
      <c r="C193" s="28">
        <v>1</v>
      </c>
      <c r="D193" s="29">
        <v>8.5</v>
      </c>
      <c r="E193" s="29">
        <v>8.5</v>
      </c>
      <c r="F193" s="30">
        <v>19.989999999999998</v>
      </c>
      <c r="G193" s="29">
        <v>19.989999999999998</v>
      </c>
      <c r="H193" s="28" t="s">
        <v>830</v>
      </c>
      <c r="I193" s="27" t="s">
        <v>4</v>
      </c>
      <c r="J193" s="31" t="s">
        <v>71</v>
      </c>
      <c r="K193" s="27" t="s">
        <v>282</v>
      </c>
      <c r="L193" s="27" t="s">
        <v>312</v>
      </c>
      <c r="M193" s="32" t="str">
        <f>HYPERLINK("http://slimages.macys.com/is/image/MCY/3853693 ")</f>
        <v xml:space="preserve">http://slimages.macys.com/is/image/MCY/3853693 </v>
      </c>
    </row>
    <row r="194" spans="1:13" ht="15.2" customHeight="1" x14ac:dyDescent="0.2">
      <c r="A194" s="26" t="s">
        <v>7771</v>
      </c>
      <c r="B194" s="27" t="s">
        <v>7772</v>
      </c>
      <c r="C194" s="28">
        <v>2</v>
      </c>
      <c r="D194" s="29">
        <v>8.5</v>
      </c>
      <c r="E194" s="29">
        <v>17</v>
      </c>
      <c r="F194" s="30">
        <v>19.989999999999998</v>
      </c>
      <c r="G194" s="29">
        <v>39.979999999999997</v>
      </c>
      <c r="H194" s="28" t="s">
        <v>3872</v>
      </c>
      <c r="I194" s="27" t="s">
        <v>59</v>
      </c>
      <c r="J194" s="31" t="s">
        <v>71</v>
      </c>
      <c r="K194" s="27" t="s">
        <v>196</v>
      </c>
      <c r="L194" s="27" t="s">
        <v>256</v>
      </c>
      <c r="M194" s="32" t="str">
        <f>HYPERLINK("http://slimages.macys.com/is/image/MCY/3651029 ")</f>
        <v xml:space="preserve">http://slimages.macys.com/is/image/MCY/3651029 </v>
      </c>
    </row>
    <row r="195" spans="1:13" ht="15.2" customHeight="1" x14ac:dyDescent="0.2">
      <c r="A195" s="26" t="s">
        <v>831</v>
      </c>
      <c r="B195" s="27" t="s">
        <v>832</v>
      </c>
      <c r="C195" s="28">
        <v>2</v>
      </c>
      <c r="D195" s="29">
        <v>8.5</v>
      </c>
      <c r="E195" s="29">
        <v>17</v>
      </c>
      <c r="F195" s="30">
        <v>19.989999999999998</v>
      </c>
      <c r="G195" s="29">
        <v>39.979999999999997</v>
      </c>
      <c r="H195" s="28" t="s">
        <v>323</v>
      </c>
      <c r="I195" s="27" t="s">
        <v>1</v>
      </c>
      <c r="J195" s="31" t="s">
        <v>52</v>
      </c>
      <c r="K195" s="27" t="s">
        <v>196</v>
      </c>
      <c r="L195" s="27" t="s">
        <v>239</v>
      </c>
      <c r="M195" s="32" t="str">
        <f>HYPERLINK("http://slimages.macys.com/is/image/MCY/3890900 ")</f>
        <v xml:space="preserve">http://slimages.macys.com/is/image/MCY/3890900 </v>
      </c>
    </row>
    <row r="196" spans="1:13" ht="15.2" customHeight="1" x14ac:dyDescent="0.2">
      <c r="A196" s="26" t="s">
        <v>828</v>
      </c>
      <c r="B196" s="27" t="s">
        <v>829</v>
      </c>
      <c r="C196" s="28">
        <v>1</v>
      </c>
      <c r="D196" s="29">
        <v>8.5</v>
      </c>
      <c r="E196" s="29">
        <v>8.5</v>
      </c>
      <c r="F196" s="30">
        <v>19.989999999999998</v>
      </c>
      <c r="G196" s="29">
        <v>19.989999999999998</v>
      </c>
      <c r="H196" s="28" t="s">
        <v>830</v>
      </c>
      <c r="I196" s="27" t="s">
        <v>4</v>
      </c>
      <c r="J196" s="31" t="s">
        <v>5</v>
      </c>
      <c r="K196" s="27" t="s">
        <v>282</v>
      </c>
      <c r="L196" s="27" t="s">
        <v>312</v>
      </c>
      <c r="M196" s="32" t="str">
        <f>HYPERLINK("http://slimages.macys.com/is/image/MCY/3853693 ")</f>
        <v xml:space="preserve">http://slimages.macys.com/is/image/MCY/3853693 </v>
      </c>
    </row>
    <row r="197" spans="1:13" ht="15.2" customHeight="1" x14ac:dyDescent="0.2">
      <c r="A197" s="26" t="s">
        <v>319</v>
      </c>
      <c r="B197" s="27" t="s">
        <v>320</v>
      </c>
      <c r="C197" s="28">
        <v>1</v>
      </c>
      <c r="D197" s="29">
        <v>8.5</v>
      </c>
      <c r="E197" s="29">
        <v>8.5</v>
      </c>
      <c r="F197" s="30">
        <v>19.989999999999998</v>
      </c>
      <c r="G197" s="29">
        <v>19.989999999999998</v>
      </c>
      <c r="H197" s="28" t="s">
        <v>321</v>
      </c>
      <c r="I197" s="27" t="s">
        <v>280</v>
      </c>
      <c r="J197" s="31" t="s">
        <v>21</v>
      </c>
      <c r="K197" s="27" t="s">
        <v>196</v>
      </c>
      <c r="L197" s="27" t="s">
        <v>322</v>
      </c>
      <c r="M197" s="32" t="str">
        <f>HYPERLINK("http://slimages.macys.com/is/image/MCY/3910788 ")</f>
        <v xml:space="preserve">http://slimages.macys.com/is/image/MCY/3910788 </v>
      </c>
    </row>
    <row r="198" spans="1:13" ht="15.2" customHeight="1" x14ac:dyDescent="0.2">
      <c r="A198" s="26" t="s">
        <v>8553</v>
      </c>
      <c r="B198" s="27" t="s">
        <v>8554</v>
      </c>
      <c r="C198" s="28">
        <v>1</v>
      </c>
      <c r="D198" s="29">
        <v>8.5</v>
      </c>
      <c r="E198" s="29">
        <v>8.5</v>
      </c>
      <c r="F198" s="30">
        <v>19.989999999999998</v>
      </c>
      <c r="G198" s="29">
        <v>19.989999999999998</v>
      </c>
      <c r="H198" s="28" t="s">
        <v>323</v>
      </c>
      <c r="I198" s="27" t="s">
        <v>274</v>
      </c>
      <c r="J198" s="31" t="s">
        <v>5</v>
      </c>
      <c r="K198" s="27" t="s">
        <v>196</v>
      </c>
      <c r="L198" s="27" t="s">
        <v>239</v>
      </c>
      <c r="M198" s="32" t="str">
        <f>HYPERLINK("http://slimages.macys.com/is/image/MCY/3890900 ")</f>
        <v xml:space="preserve">http://slimages.macys.com/is/image/MCY/3890900 </v>
      </c>
    </row>
    <row r="199" spans="1:13" ht="15.2" customHeight="1" x14ac:dyDescent="0.2">
      <c r="A199" s="26" t="s">
        <v>7058</v>
      </c>
      <c r="B199" s="27" t="s">
        <v>7059</v>
      </c>
      <c r="C199" s="28">
        <v>1</v>
      </c>
      <c r="D199" s="29">
        <v>8.5</v>
      </c>
      <c r="E199" s="29">
        <v>8.5</v>
      </c>
      <c r="F199" s="30">
        <v>19.989999999999998</v>
      </c>
      <c r="G199" s="29">
        <v>19.989999999999998</v>
      </c>
      <c r="H199" s="28" t="s">
        <v>321</v>
      </c>
      <c r="I199" s="27" t="s">
        <v>333</v>
      </c>
      <c r="J199" s="31" t="s">
        <v>71</v>
      </c>
      <c r="K199" s="27" t="s">
        <v>196</v>
      </c>
      <c r="L199" s="27" t="s">
        <v>322</v>
      </c>
      <c r="M199" s="32" t="str">
        <f>HYPERLINK("http://slimages.macys.com/is/image/MCY/3910788 ")</f>
        <v xml:space="preserve">http://slimages.macys.com/is/image/MCY/3910788 </v>
      </c>
    </row>
    <row r="200" spans="1:13" ht="15.2" customHeight="1" x14ac:dyDescent="0.2">
      <c r="A200" s="26" t="s">
        <v>2255</v>
      </c>
      <c r="B200" s="27" t="s">
        <v>2256</v>
      </c>
      <c r="C200" s="28">
        <v>1</v>
      </c>
      <c r="D200" s="29">
        <v>8.5</v>
      </c>
      <c r="E200" s="29">
        <v>8.5</v>
      </c>
      <c r="F200" s="30">
        <v>19.989999999999998</v>
      </c>
      <c r="G200" s="29">
        <v>19.989999999999998</v>
      </c>
      <c r="H200" s="28" t="s">
        <v>321</v>
      </c>
      <c r="I200" s="27" t="s">
        <v>4</v>
      </c>
      <c r="J200" s="31" t="s">
        <v>40</v>
      </c>
      <c r="K200" s="27" t="s">
        <v>196</v>
      </c>
      <c r="L200" s="27" t="s">
        <v>322</v>
      </c>
      <c r="M200" s="32" t="str">
        <f>HYPERLINK("http://slimages.macys.com/is/image/MCY/3910788 ")</f>
        <v xml:space="preserve">http://slimages.macys.com/is/image/MCY/3910788 </v>
      </c>
    </row>
    <row r="201" spans="1:13" ht="15.2" customHeight="1" x14ac:dyDescent="0.2">
      <c r="A201" s="26" t="s">
        <v>8411</v>
      </c>
      <c r="B201" s="27" t="s">
        <v>8412</v>
      </c>
      <c r="C201" s="28">
        <v>2</v>
      </c>
      <c r="D201" s="29">
        <v>8.5</v>
      </c>
      <c r="E201" s="29">
        <v>17</v>
      </c>
      <c r="F201" s="30">
        <v>19.989999999999998</v>
      </c>
      <c r="G201" s="29">
        <v>39.979999999999997</v>
      </c>
      <c r="H201" s="28" t="s">
        <v>323</v>
      </c>
      <c r="I201" s="27" t="s">
        <v>189</v>
      </c>
      <c r="J201" s="31" t="s">
        <v>71</v>
      </c>
      <c r="K201" s="27" t="s">
        <v>196</v>
      </c>
      <c r="L201" s="27" t="s">
        <v>239</v>
      </c>
      <c r="M201" s="32" t="str">
        <f>HYPERLINK("http://slimages.macys.com/is/image/MCY/3890900 ")</f>
        <v xml:space="preserve">http://slimages.macys.com/is/image/MCY/3890900 </v>
      </c>
    </row>
    <row r="202" spans="1:13" ht="15.2" customHeight="1" x14ac:dyDescent="0.2">
      <c r="A202" s="26" t="s">
        <v>2968</v>
      </c>
      <c r="B202" s="27" t="s">
        <v>2969</v>
      </c>
      <c r="C202" s="28">
        <v>1</v>
      </c>
      <c r="D202" s="29">
        <v>8.5</v>
      </c>
      <c r="E202" s="29">
        <v>8.5</v>
      </c>
      <c r="F202" s="30">
        <v>19.989999999999998</v>
      </c>
      <c r="G202" s="29">
        <v>19.989999999999998</v>
      </c>
      <c r="H202" s="28" t="s">
        <v>2970</v>
      </c>
      <c r="I202" s="27" t="s">
        <v>333</v>
      </c>
      <c r="J202" s="31" t="s">
        <v>5</v>
      </c>
      <c r="K202" s="27" t="s">
        <v>196</v>
      </c>
      <c r="L202" s="27" t="s">
        <v>322</v>
      </c>
      <c r="M202" s="32" t="str">
        <f>HYPERLINK("http://slimages.macys.com/is/image/MCY/3915487 ")</f>
        <v xml:space="preserve">http://slimages.macys.com/is/image/MCY/3915487 </v>
      </c>
    </row>
    <row r="203" spans="1:13" ht="15.2" customHeight="1" x14ac:dyDescent="0.2">
      <c r="A203" s="26" t="s">
        <v>2279</v>
      </c>
      <c r="B203" s="27" t="s">
        <v>2280</v>
      </c>
      <c r="C203" s="28">
        <v>1</v>
      </c>
      <c r="D203" s="29">
        <v>8.5</v>
      </c>
      <c r="E203" s="29">
        <v>8.5</v>
      </c>
      <c r="F203" s="30">
        <v>19.989999999999998</v>
      </c>
      <c r="G203" s="29">
        <v>19.989999999999998</v>
      </c>
      <c r="H203" s="28" t="s">
        <v>321</v>
      </c>
      <c r="I203" s="27" t="s">
        <v>75</v>
      </c>
      <c r="J203" s="31" t="s">
        <v>71</v>
      </c>
      <c r="K203" s="27" t="s">
        <v>196</v>
      </c>
      <c r="L203" s="27" t="s">
        <v>322</v>
      </c>
      <c r="M203" s="32" t="str">
        <f>HYPERLINK("http://slimages.macys.com/is/image/MCY/3910788 ")</f>
        <v xml:space="preserve">http://slimages.macys.com/is/image/MCY/3910788 </v>
      </c>
    </row>
    <row r="204" spans="1:13" ht="15.2" customHeight="1" x14ac:dyDescent="0.2">
      <c r="A204" s="26" t="s">
        <v>2259</v>
      </c>
      <c r="B204" s="27" t="s">
        <v>2260</v>
      </c>
      <c r="C204" s="28">
        <v>1</v>
      </c>
      <c r="D204" s="29">
        <v>8.5</v>
      </c>
      <c r="E204" s="29">
        <v>8.5</v>
      </c>
      <c r="F204" s="30">
        <v>19.989999999999998</v>
      </c>
      <c r="G204" s="29">
        <v>19.989999999999998</v>
      </c>
      <c r="H204" s="28" t="s">
        <v>2261</v>
      </c>
      <c r="I204" s="27" t="s">
        <v>189</v>
      </c>
      <c r="J204" s="31" t="s">
        <v>52</v>
      </c>
      <c r="K204" s="27" t="s">
        <v>196</v>
      </c>
      <c r="L204" s="27" t="s">
        <v>239</v>
      </c>
      <c r="M204" s="32" t="str">
        <f>HYPERLINK("http://slimages.macys.com/is/image/MCY/3890914 ")</f>
        <v xml:space="preserve">http://slimages.macys.com/is/image/MCY/3890914 </v>
      </c>
    </row>
    <row r="205" spans="1:13" ht="15.2" customHeight="1" x14ac:dyDescent="0.2">
      <c r="A205" s="26" t="s">
        <v>2281</v>
      </c>
      <c r="B205" s="27" t="s">
        <v>2282</v>
      </c>
      <c r="C205" s="28">
        <v>1</v>
      </c>
      <c r="D205" s="29">
        <v>8.5</v>
      </c>
      <c r="E205" s="29">
        <v>8.5</v>
      </c>
      <c r="F205" s="30">
        <v>19.989999999999998</v>
      </c>
      <c r="G205" s="29">
        <v>19.989999999999998</v>
      </c>
      <c r="H205" s="28" t="s">
        <v>321</v>
      </c>
      <c r="I205" s="27" t="s">
        <v>4</v>
      </c>
      <c r="J205" s="31" t="s">
        <v>5</v>
      </c>
      <c r="K205" s="27" t="s">
        <v>196</v>
      </c>
      <c r="L205" s="27" t="s">
        <v>322</v>
      </c>
      <c r="M205" s="32" t="str">
        <f>HYPERLINK("http://slimages.macys.com/is/image/MCY/3910788 ")</f>
        <v xml:space="preserve">http://slimages.macys.com/is/image/MCY/3910788 </v>
      </c>
    </row>
    <row r="206" spans="1:13" ht="15.2" customHeight="1" x14ac:dyDescent="0.2">
      <c r="A206" s="26" t="s">
        <v>2262</v>
      </c>
      <c r="B206" s="27" t="s">
        <v>2263</v>
      </c>
      <c r="C206" s="28">
        <v>3</v>
      </c>
      <c r="D206" s="29">
        <v>8.5</v>
      </c>
      <c r="E206" s="29">
        <v>25.5</v>
      </c>
      <c r="F206" s="30">
        <v>19.989999999999998</v>
      </c>
      <c r="G206" s="29">
        <v>59.97</v>
      </c>
      <c r="H206" s="28" t="s">
        <v>323</v>
      </c>
      <c r="I206" s="27" t="s">
        <v>1</v>
      </c>
      <c r="J206" s="31" t="s">
        <v>5</v>
      </c>
      <c r="K206" s="27" t="s">
        <v>196</v>
      </c>
      <c r="L206" s="27" t="s">
        <v>239</v>
      </c>
      <c r="M206" s="32" t="str">
        <f>HYPERLINK("http://slimages.macys.com/is/image/MCY/3890900 ")</f>
        <v xml:space="preserve">http://slimages.macys.com/is/image/MCY/3890900 </v>
      </c>
    </row>
    <row r="207" spans="1:13" ht="15.2" customHeight="1" x14ac:dyDescent="0.2">
      <c r="A207" s="26" t="s">
        <v>10110</v>
      </c>
      <c r="B207" s="27" t="s">
        <v>10111</v>
      </c>
      <c r="C207" s="28">
        <v>3</v>
      </c>
      <c r="D207" s="29">
        <v>8.5</v>
      </c>
      <c r="E207" s="29">
        <v>25.5</v>
      </c>
      <c r="F207" s="30">
        <v>19.989999999999998</v>
      </c>
      <c r="G207" s="29">
        <v>59.97</v>
      </c>
      <c r="H207" s="28" t="s">
        <v>2261</v>
      </c>
      <c r="I207" s="27" t="s">
        <v>189</v>
      </c>
      <c r="J207" s="31" t="s">
        <v>21</v>
      </c>
      <c r="K207" s="27" t="s">
        <v>196</v>
      </c>
      <c r="L207" s="27" t="s">
        <v>239</v>
      </c>
      <c r="M207" s="32" t="str">
        <f>HYPERLINK("http://slimages.macys.com/is/image/MCY/3890914 ")</f>
        <v xml:space="preserve">http://slimages.macys.com/is/image/MCY/3890914 </v>
      </c>
    </row>
    <row r="208" spans="1:13" ht="15.2" customHeight="1" x14ac:dyDescent="0.2">
      <c r="A208" s="26" t="s">
        <v>2257</v>
      </c>
      <c r="B208" s="27" t="s">
        <v>2258</v>
      </c>
      <c r="C208" s="28">
        <v>4</v>
      </c>
      <c r="D208" s="29">
        <v>8.5</v>
      </c>
      <c r="E208" s="29">
        <v>34</v>
      </c>
      <c r="F208" s="30">
        <v>19.989999999999998</v>
      </c>
      <c r="G208" s="29">
        <v>79.959999999999994</v>
      </c>
      <c r="H208" s="28" t="s">
        <v>321</v>
      </c>
      <c r="I208" s="27" t="s">
        <v>75</v>
      </c>
      <c r="J208" s="31" t="s">
        <v>21</v>
      </c>
      <c r="K208" s="27" t="s">
        <v>196</v>
      </c>
      <c r="L208" s="27" t="s">
        <v>322</v>
      </c>
      <c r="M208" s="32" t="str">
        <f>HYPERLINK("http://slimages.macys.com/is/image/MCY/3910788 ")</f>
        <v xml:space="preserve">http://slimages.macys.com/is/image/MCY/3910788 </v>
      </c>
    </row>
    <row r="209" spans="1:13" ht="15.2" customHeight="1" x14ac:dyDescent="0.2">
      <c r="A209" s="26" t="s">
        <v>1372</v>
      </c>
      <c r="B209" s="27" t="s">
        <v>1373</v>
      </c>
      <c r="C209" s="28">
        <v>1</v>
      </c>
      <c r="D209" s="29">
        <v>8.5</v>
      </c>
      <c r="E209" s="29">
        <v>8.5</v>
      </c>
      <c r="F209" s="30">
        <v>19.989999999999998</v>
      </c>
      <c r="G209" s="29">
        <v>19.989999999999998</v>
      </c>
      <c r="H209" s="28" t="s">
        <v>1374</v>
      </c>
      <c r="I209" s="27" t="s">
        <v>82</v>
      </c>
      <c r="J209" s="31" t="s">
        <v>52</v>
      </c>
      <c r="K209" s="27" t="s">
        <v>196</v>
      </c>
      <c r="L209" s="27" t="s">
        <v>322</v>
      </c>
      <c r="M209" s="32" t="str">
        <f>HYPERLINK("http://slimages.macys.com/is/image/MCY/3915487 ")</f>
        <v xml:space="preserve">http://slimages.macys.com/is/image/MCY/3915487 </v>
      </c>
    </row>
    <row r="210" spans="1:13" ht="15.2" customHeight="1" x14ac:dyDescent="0.2">
      <c r="A210" s="26" t="s">
        <v>8009</v>
      </c>
      <c r="B210" s="27" t="s">
        <v>8010</v>
      </c>
      <c r="C210" s="28">
        <v>1</v>
      </c>
      <c r="D210" s="29">
        <v>8.5</v>
      </c>
      <c r="E210" s="29">
        <v>8.5</v>
      </c>
      <c r="F210" s="30">
        <v>19.989999999999998</v>
      </c>
      <c r="G210" s="29">
        <v>19.989999999999998</v>
      </c>
      <c r="H210" s="28" t="s">
        <v>2970</v>
      </c>
      <c r="I210" s="27" t="s">
        <v>26</v>
      </c>
      <c r="J210" s="31" t="s">
        <v>5</v>
      </c>
      <c r="K210" s="27" t="s">
        <v>196</v>
      </c>
      <c r="L210" s="27" t="s">
        <v>322</v>
      </c>
      <c r="M210" s="32" t="str">
        <f>HYPERLINK("http://slimages.macys.com/is/image/MCY/3915487 ")</f>
        <v xml:space="preserve">http://slimages.macys.com/is/image/MCY/3915487 </v>
      </c>
    </row>
    <row r="211" spans="1:13" ht="15.2" customHeight="1" x14ac:dyDescent="0.2">
      <c r="A211" s="26" t="s">
        <v>2270</v>
      </c>
      <c r="B211" s="27" t="s">
        <v>2271</v>
      </c>
      <c r="C211" s="28">
        <v>1</v>
      </c>
      <c r="D211" s="29">
        <v>8.5</v>
      </c>
      <c r="E211" s="29">
        <v>8.5</v>
      </c>
      <c r="F211" s="30">
        <v>19.989999999999998</v>
      </c>
      <c r="G211" s="29">
        <v>19.989999999999998</v>
      </c>
      <c r="H211" s="28" t="s">
        <v>2261</v>
      </c>
      <c r="I211" s="27" t="s">
        <v>189</v>
      </c>
      <c r="J211" s="31" t="s">
        <v>5</v>
      </c>
      <c r="K211" s="27" t="s">
        <v>196</v>
      </c>
      <c r="L211" s="27" t="s">
        <v>239</v>
      </c>
      <c r="M211" s="32" t="str">
        <f>HYPERLINK("http://slimages.macys.com/is/image/MCY/3890914 ")</f>
        <v xml:space="preserve">http://slimages.macys.com/is/image/MCY/3890914 </v>
      </c>
    </row>
    <row r="212" spans="1:13" ht="15.2" customHeight="1" x14ac:dyDescent="0.2">
      <c r="A212" s="26" t="s">
        <v>2285</v>
      </c>
      <c r="B212" s="27" t="s">
        <v>2286</v>
      </c>
      <c r="C212" s="28">
        <v>1</v>
      </c>
      <c r="D212" s="29">
        <v>8.5</v>
      </c>
      <c r="E212" s="29">
        <v>8.5</v>
      </c>
      <c r="F212" s="30">
        <v>19.989999999999998</v>
      </c>
      <c r="G212" s="29">
        <v>19.989999999999998</v>
      </c>
      <c r="H212" s="28" t="s">
        <v>323</v>
      </c>
      <c r="I212" s="27" t="s">
        <v>33</v>
      </c>
      <c r="J212" s="31" t="s">
        <v>21</v>
      </c>
      <c r="K212" s="27" t="s">
        <v>196</v>
      </c>
      <c r="L212" s="27" t="s">
        <v>239</v>
      </c>
      <c r="M212" s="32" t="str">
        <f>HYPERLINK("http://slimages.macys.com/is/image/MCY/3890900 ")</f>
        <v xml:space="preserve">http://slimages.macys.com/is/image/MCY/3890900 </v>
      </c>
    </row>
    <row r="213" spans="1:13" ht="15.2" customHeight="1" x14ac:dyDescent="0.2">
      <c r="A213" s="26" t="s">
        <v>2655</v>
      </c>
      <c r="B213" s="27" t="s">
        <v>2656</v>
      </c>
      <c r="C213" s="28">
        <v>2</v>
      </c>
      <c r="D213" s="29">
        <v>8.5</v>
      </c>
      <c r="E213" s="29">
        <v>17</v>
      </c>
      <c r="F213" s="30">
        <v>19.989999999999998</v>
      </c>
      <c r="G213" s="29">
        <v>39.979999999999997</v>
      </c>
      <c r="H213" s="28" t="s">
        <v>323</v>
      </c>
      <c r="I213" s="27" t="s">
        <v>189</v>
      </c>
      <c r="J213" s="31" t="s">
        <v>52</v>
      </c>
      <c r="K213" s="27" t="s">
        <v>196</v>
      </c>
      <c r="L213" s="27" t="s">
        <v>239</v>
      </c>
      <c r="M213" s="32" t="str">
        <f>HYPERLINK("http://slimages.macys.com/is/image/MCY/3890900 ")</f>
        <v xml:space="preserve">http://slimages.macys.com/is/image/MCY/3890900 </v>
      </c>
    </row>
    <row r="214" spans="1:13" ht="15.2" customHeight="1" x14ac:dyDescent="0.2">
      <c r="A214" s="26" t="s">
        <v>1366</v>
      </c>
      <c r="B214" s="27" t="s">
        <v>1367</v>
      </c>
      <c r="C214" s="28">
        <v>1</v>
      </c>
      <c r="D214" s="29">
        <v>8.5</v>
      </c>
      <c r="E214" s="29">
        <v>8.5</v>
      </c>
      <c r="F214" s="30">
        <v>19.989999999999998</v>
      </c>
      <c r="G214" s="29">
        <v>19.989999999999998</v>
      </c>
      <c r="H214" s="28" t="s">
        <v>323</v>
      </c>
      <c r="I214" s="27" t="s">
        <v>274</v>
      </c>
      <c r="J214" s="31" t="s">
        <v>52</v>
      </c>
      <c r="K214" s="27" t="s">
        <v>196</v>
      </c>
      <c r="L214" s="27" t="s">
        <v>239</v>
      </c>
      <c r="M214" s="32" t="str">
        <f>HYPERLINK("http://slimages.macys.com/is/image/MCY/3890900 ")</f>
        <v xml:space="preserve">http://slimages.macys.com/is/image/MCY/3890900 </v>
      </c>
    </row>
    <row r="215" spans="1:13" ht="15.2" customHeight="1" x14ac:dyDescent="0.2">
      <c r="A215" s="26" t="s">
        <v>2275</v>
      </c>
      <c r="B215" s="27" t="s">
        <v>2276</v>
      </c>
      <c r="C215" s="28">
        <v>1</v>
      </c>
      <c r="D215" s="29">
        <v>8.5</v>
      </c>
      <c r="E215" s="29">
        <v>8.5</v>
      </c>
      <c r="F215" s="30">
        <v>19.989999999999998</v>
      </c>
      <c r="G215" s="29">
        <v>19.989999999999998</v>
      </c>
      <c r="H215" s="28" t="s">
        <v>323</v>
      </c>
      <c r="I215" s="27" t="s">
        <v>274</v>
      </c>
      <c r="J215" s="31" t="s">
        <v>40</v>
      </c>
      <c r="K215" s="27" t="s">
        <v>196</v>
      </c>
      <c r="L215" s="27" t="s">
        <v>239</v>
      </c>
      <c r="M215" s="32" t="str">
        <f>HYPERLINK("http://slimages.macys.com/is/image/MCY/3890900 ")</f>
        <v xml:space="preserve">http://slimages.macys.com/is/image/MCY/3890900 </v>
      </c>
    </row>
    <row r="216" spans="1:13" ht="15.2" customHeight="1" x14ac:dyDescent="0.2">
      <c r="A216" s="26" t="s">
        <v>7066</v>
      </c>
      <c r="B216" s="27" t="s">
        <v>7067</v>
      </c>
      <c r="C216" s="28">
        <v>3</v>
      </c>
      <c r="D216" s="29">
        <v>8.5</v>
      </c>
      <c r="E216" s="29">
        <v>25.5</v>
      </c>
      <c r="F216" s="30">
        <v>19.989999999999998</v>
      </c>
      <c r="G216" s="29">
        <v>59.97</v>
      </c>
      <c r="H216" s="28" t="s">
        <v>321</v>
      </c>
      <c r="I216" s="27" t="s">
        <v>280</v>
      </c>
      <c r="J216" s="31" t="s">
        <v>71</v>
      </c>
      <c r="K216" s="27" t="s">
        <v>196</v>
      </c>
      <c r="L216" s="27" t="s">
        <v>322</v>
      </c>
      <c r="M216" s="32" t="str">
        <f>HYPERLINK("http://slimages.macys.com/is/image/MCY/3910788 ")</f>
        <v xml:space="preserve">http://slimages.macys.com/is/image/MCY/3910788 </v>
      </c>
    </row>
    <row r="217" spans="1:13" ht="15.2" customHeight="1" x14ac:dyDescent="0.2">
      <c r="A217" s="26" t="s">
        <v>10112</v>
      </c>
      <c r="B217" s="27" t="s">
        <v>10113</v>
      </c>
      <c r="C217" s="28">
        <v>1</v>
      </c>
      <c r="D217" s="29">
        <v>8.4499999999999993</v>
      </c>
      <c r="E217" s="29">
        <v>8.4499999999999993</v>
      </c>
      <c r="F217" s="30">
        <v>19.989999999999998</v>
      </c>
      <c r="G217" s="29">
        <v>19.989999999999998</v>
      </c>
      <c r="H217" s="28" t="s">
        <v>3424</v>
      </c>
      <c r="I217" s="27" t="s">
        <v>75</v>
      </c>
      <c r="J217" s="31" t="s">
        <v>21</v>
      </c>
      <c r="K217" s="27" t="s">
        <v>196</v>
      </c>
      <c r="L217" s="27" t="s">
        <v>322</v>
      </c>
      <c r="M217" s="32" t="str">
        <f>HYPERLINK("http://slimages.macys.com/is/image/MCY/3947122 ")</f>
        <v xml:space="preserve">http://slimages.macys.com/is/image/MCY/3947122 </v>
      </c>
    </row>
    <row r="218" spans="1:13" ht="15.2" customHeight="1" x14ac:dyDescent="0.2">
      <c r="A218" s="26" t="s">
        <v>10114</v>
      </c>
      <c r="B218" s="27" t="s">
        <v>10115</v>
      </c>
      <c r="C218" s="28">
        <v>1</v>
      </c>
      <c r="D218" s="29">
        <v>8.25</v>
      </c>
      <c r="E218" s="29">
        <v>8.25</v>
      </c>
      <c r="F218" s="30">
        <v>19.989999999999998</v>
      </c>
      <c r="G218" s="29">
        <v>19.989999999999998</v>
      </c>
      <c r="H218" s="28" t="s">
        <v>10116</v>
      </c>
      <c r="I218" s="27" t="s">
        <v>33</v>
      </c>
      <c r="J218" s="31" t="s">
        <v>5</v>
      </c>
      <c r="K218" s="27" t="s">
        <v>70</v>
      </c>
      <c r="L218" s="27" t="s">
        <v>260</v>
      </c>
      <c r="M218" s="32" t="str">
        <f>HYPERLINK("http://slimages.macys.com/is/image/MCY/3615252 ")</f>
        <v xml:space="preserve">http://slimages.macys.com/is/image/MCY/3615252 </v>
      </c>
    </row>
    <row r="219" spans="1:13" ht="15.2" customHeight="1" x14ac:dyDescent="0.2">
      <c r="A219" s="26" t="s">
        <v>10117</v>
      </c>
      <c r="B219" s="27" t="s">
        <v>10118</v>
      </c>
      <c r="C219" s="28">
        <v>1</v>
      </c>
      <c r="D219" s="29">
        <v>8.25</v>
      </c>
      <c r="E219" s="29">
        <v>8.25</v>
      </c>
      <c r="F219" s="30">
        <v>19.989999999999998</v>
      </c>
      <c r="G219" s="29">
        <v>19.989999999999998</v>
      </c>
      <c r="H219" s="28" t="s">
        <v>1393</v>
      </c>
      <c r="I219" s="27" t="s">
        <v>82</v>
      </c>
      <c r="J219" s="31" t="s">
        <v>40</v>
      </c>
      <c r="K219" s="27" t="s">
        <v>196</v>
      </c>
      <c r="L219" s="27" t="s">
        <v>225</v>
      </c>
      <c r="M219" s="32" t="str">
        <f>HYPERLINK("http://slimages.macys.com/is/image/MCY/3910904 ")</f>
        <v xml:space="preserve">http://slimages.macys.com/is/image/MCY/3910904 </v>
      </c>
    </row>
    <row r="220" spans="1:13" ht="15.2" customHeight="1" x14ac:dyDescent="0.2">
      <c r="A220" s="26" t="s">
        <v>2297</v>
      </c>
      <c r="B220" s="27" t="s">
        <v>2298</v>
      </c>
      <c r="C220" s="28">
        <v>1</v>
      </c>
      <c r="D220" s="29">
        <v>8.1</v>
      </c>
      <c r="E220" s="29">
        <v>8.1</v>
      </c>
      <c r="F220" s="30">
        <v>22.5</v>
      </c>
      <c r="G220" s="29">
        <v>22.5</v>
      </c>
      <c r="H220" s="28" t="s">
        <v>2294</v>
      </c>
      <c r="I220" s="27" t="s">
        <v>4</v>
      </c>
      <c r="J220" s="31" t="s">
        <v>52</v>
      </c>
      <c r="K220" s="27" t="s">
        <v>53</v>
      </c>
      <c r="L220" s="27" t="s">
        <v>372</v>
      </c>
      <c r="M220" s="32" t="str">
        <f>HYPERLINK("http://slimages.macys.com/is/image/MCY/3708566 ")</f>
        <v xml:space="preserve">http://slimages.macys.com/is/image/MCY/3708566 </v>
      </c>
    </row>
    <row r="221" spans="1:13" ht="15.2" customHeight="1" x14ac:dyDescent="0.2">
      <c r="A221" s="26" t="s">
        <v>4484</v>
      </c>
      <c r="B221" s="27" t="s">
        <v>4485</v>
      </c>
      <c r="C221" s="28">
        <v>1</v>
      </c>
      <c r="D221" s="29">
        <v>8</v>
      </c>
      <c r="E221" s="29">
        <v>8</v>
      </c>
      <c r="F221" s="30">
        <v>19.989999999999998</v>
      </c>
      <c r="G221" s="29">
        <v>19.989999999999998</v>
      </c>
      <c r="H221" s="28" t="s">
        <v>848</v>
      </c>
      <c r="I221" s="27" t="s">
        <v>265</v>
      </c>
      <c r="J221" s="31" t="s">
        <v>5</v>
      </c>
      <c r="K221" s="27" t="s">
        <v>282</v>
      </c>
      <c r="L221" s="27" t="s">
        <v>358</v>
      </c>
      <c r="M221" s="32" t="str">
        <f>HYPERLINK("http://slimages.macys.com/is/image/MCY/3931076 ")</f>
        <v xml:space="preserve">http://slimages.macys.com/is/image/MCY/3931076 </v>
      </c>
    </row>
    <row r="222" spans="1:13" ht="15.2" customHeight="1" x14ac:dyDescent="0.2">
      <c r="A222" s="26" t="s">
        <v>10119</v>
      </c>
      <c r="B222" s="27" t="s">
        <v>10120</v>
      </c>
      <c r="C222" s="28">
        <v>1</v>
      </c>
      <c r="D222" s="29">
        <v>8</v>
      </c>
      <c r="E222" s="29">
        <v>8</v>
      </c>
      <c r="F222" s="30">
        <v>19.989999999999998</v>
      </c>
      <c r="G222" s="29">
        <v>19.989999999999998</v>
      </c>
      <c r="H222" s="28" t="s">
        <v>1888</v>
      </c>
      <c r="I222" s="27" t="s">
        <v>10</v>
      </c>
      <c r="J222" s="31" t="s">
        <v>5</v>
      </c>
      <c r="K222" s="27" t="s">
        <v>196</v>
      </c>
      <c r="L222" s="27" t="s">
        <v>239</v>
      </c>
      <c r="M222" s="32" t="str">
        <f>HYPERLINK("http://slimages.macys.com/is/image/MCY/3853021 ")</f>
        <v xml:space="preserve">http://slimages.macys.com/is/image/MCY/3853021 </v>
      </c>
    </row>
    <row r="223" spans="1:13" ht="15.2" customHeight="1" x14ac:dyDescent="0.2">
      <c r="A223" s="26" t="s">
        <v>2310</v>
      </c>
      <c r="B223" s="27" t="s">
        <v>2311</v>
      </c>
      <c r="C223" s="28">
        <v>1</v>
      </c>
      <c r="D223" s="29">
        <v>8</v>
      </c>
      <c r="E223" s="29">
        <v>8</v>
      </c>
      <c r="F223" s="30">
        <v>19.989999999999998</v>
      </c>
      <c r="G223" s="29">
        <v>19.989999999999998</v>
      </c>
      <c r="H223" s="28" t="s">
        <v>827</v>
      </c>
      <c r="I223" s="27" t="s">
        <v>26</v>
      </c>
      <c r="J223" s="31" t="s">
        <v>40</v>
      </c>
      <c r="K223" s="27" t="s">
        <v>196</v>
      </c>
      <c r="L223" s="27" t="s">
        <v>260</v>
      </c>
      <c r="M223" s="32" t="str">
        <f>HYPERLINK("http://slimages.macys.com/is/image/MCY/3910796 ")</f>
        <v xml:space="preserve">http://slimages.macys.com/is/image/MCY/3910796 </v>
      </c>
    </row>
    <row r="224" spans="1:13" ht="15.2" customHeight="1" x14ac:dyDescent="0.2">
      <c r="A224" s="26" t="s">
        <v>10121</v>
      </c>
      <c r="B224" s="27" t="s">
        <v>10122</v>
      </c>
      <c r="C224" s="28">
        <v>1</v>
      </c>
      <c r="D224" s="29">
        <v>8</v>
      </c>
      <c r="E224" s="29">
        <v>8</v>
      </c>
      <c r="F224" s="30">
        <v>19.989999999999998</v>
      </c>
      <c r="G224" s="29">
        <v>19.989999999999998</v>
      </c>
      <c r="H224" s="28" t="s">
        <v>827</v>
      </c>
      <c r="I224" s="27" t="s">
        <v>26</v>
      </c>
      <c r="J224" s="31" t="s">
        <v>52</v>
      </c>
      <c r="K224" s="27" t="s">
        <v>196</v>
      </c>
      <c r="L224" s="27" t="s">
        <v>260</v>
      </c>
      <c r="M224" s="32" t="str">
        <f>HYPERLINK("http://slimages.macys.com/is/image/MCY/3910796 ")</f>
        <v xml:space="preserve">http://slimages.macys.com/is/image/MCY/3910796 </v>
      </c>
    </row>
    <row r="225" spans="1:13" ht="15.2" customHeight="1" x14ac:dyDescent="0.2">
      <c r="A225" s="26" t="s">
        <v>1891</v>
      </c>
      <c r="B225" s="27" t="s">
        <v>1892</v>
      </c>
      <c r="C225" s="28">
        <v>1</v>
      </c>
      <c r="D225" s="29">
        <v>8</v>
      </c>
      <c r="E225" s="29">
        <v>8</v>
      </c>
      <c r="F225" s="30">
        <v>19.989999999999998</v>
      </c>
      <c r="G225" s="29">
        <v>19.989999999999998</v>
      </c>
      <c r="H225" s="28" t="s">
        <v>1885</v>
      </c>
      <c r="I225" s="27" t="s">
        <v>1472</v>
      </c>
      <c r="J225" s="31" t="s">
        <v>40</v>
      </c>
      <c r="K225" s="27" t="s">
        <v>196</v>
      </c>
      <c r="L225" s="27" t="s">
        <v>239</v>
      </c>
      <c r="M225" s="32" t="str">
        <f>HYPERLINK("http://slimages.macys.com/is/image/MCY/3834521 ")</f>
        <v xml:space="preserve">http://slimages.macys.com/is/image/MCY/3834521 </v>
      </c>
    </row>
    <row r="226" spans="1:13" ht="15.2" customHeight="1" x14ac:dyDescent="0.2">
      <c r="A226" s="26" t="s">
        <v>10123</v>
      </c>
      <c r="B226" s="27" t="s">
        <v>10124</v>
      </c>
      <c r="C226" s="28">
        <v>1</v>
      </c>
      <c r="D226" s="29">
        <v>8</v>
      </c>
      <c r="E226" s="29">
        <v>8</v>
      </c>
      <c r="F226" s="30">
        <v>19.989999999999998</v>
      </c>
      <c r="G226" s="29">
        <v>19.989999999999998</v>
      </c>
      <c r="H226" s="28" t="s">
        <v>1885</v>
      </c>
      <c r="I226" s="27" t="s">
        <v>189</v>
      </c>
      <c r="J226" s="31" t="s">
        <v>71</v>
      </c>
      <c r="K226" s="27" t="s">
        <v>196</v>
      </c>
      <c r="L226" s="27" t="s">
        <v>239</v>
      </c>
      <c r="M226" s="32" t="str">
        <f>HYPERLINK("http://slimages.macys.com/is/image/MCY/3834521 ")</f>
        <v xml:space="preserve">http://slimages.macys.com/is/image/MCY/3834521 </v>
      </c>
    </row>
    <row r="227" spans="1:13" ht="15.2" customHeight="1" x14ac:dyDescent="0.2">
      <c r="A227" s="26" t="s">
        <v>10125</v>
      </c>
      <c r="B227" s="27" t="s">
        <v>10126</v>
      </c>
      <c r="C227" s="28">
        <v>1</v>
      </c>
      <c r="D227" s="29">
        <v>8</v>
      </c>
      <c r="E227" s="29">
        <v>8</v>
      </c>
      <c r="F227" s="30">
        <v>19.989999999999998</v>
      </c>
      <c r="G227" s="29">
        <v>19.989999999999998</v>
      </c>
      <c r="H227" s="28" t="s">
        <v>2309</v>
      </c>
      <c r="I227" s="27" t="s">
        <v>94</v>
      </c>
      <c r="J227" s="31" t="s">
        <v>71</v>
      </c>
      <c r="K227" s="27" t="s">
        <v>196</v>
      </c>
      <c r="L227" s="27" t="s">
        <v>239</v>
      </c>
      <c r="M227" s="32" t="str">
        <f>HYPERLINK("http://slimages.macys.com/is/image/MCY/3719772 ")</f>
        <v xml:space="preserve">http://slimages.macys.com/is/image/MCY/3719772 </v>
      </c>
    </row>
    <row r="228" spans="1:13" ht="15.2" customHeight="1" x14ac:dyDescent="0.2">
      <c r="A228" s="26" t="s">
        <v>2307</v>
      </c>
      <c r="B228" s="27" t="s">
        <v>2308</v>
      </c>
      <c r="C228" s="28">
        <v>1</v>
      </c>
      <c r="D228" s="29">
        <v>8</v>
      </c>
      <c r="E228" s="29">
        <v>8</v>
      </c>
      <c r="F228" s="30">
        <v>19.989999999999998</v>
      </c>
      <c r="G228" s="29">
        <v>19.989999999999998</v>
      </c>
      <c r="H228" s="28" t="s">
        <v>2309</v>
      </c>
      <c r="I228" s="27" t="s">
        <v>189</v>
      </c>
      <c r="J228" s="31" t="s">
        <v>21</v>
      </c>
      <c r="K228" s="27" t="s">
        <v>196</v>
      </c>
      <c r="L228" s="27" t="s">
        <v>239</v>
      </c>
      <c r="M228" s="32" t="str">
        <f>HYPERLINK("http://slimages.macys.com/is/image/MCY/3719772 ")</f>
        <v xml:space="preserve">http://slimages.macys.com/is/image/MCY/3719772 </v>
      </c>
    </row>
    <row r="229" spans="1:13" ht="15.2" customHeight="1" x14ac:dyDescent="0.2">
      <c r="A229" s="26" t="s">
        <v>1886</v>
      </c>
      <c r="B229" s="27" t="s">
        <v>1887</v>
      </c>
      <c r="C229" s="28">
        <v>1</v>
      </c>
      <c r="D229" s="29">
        <v>8</v>
      </c>
      <c r="E229" s="29">
        <v>8</v>
      </c>
      <c r="F229" s="30">
        <v>19.989999999999998</v>
      </c>
      <c r="G229" s="29">
        <v>19.989999999999998</v>
      </c>
      <c r="H229" s="28" t="s">
        <v>1888</v>
      </c>
      <c r="I229" s="27" t="s">
        <v>690</v>
      </c>
      <c r="J229" s="31" t="s">
        <v>40</v>
      </c>
      <c r="K229" s="27" t="s">
        <v>196</v>
      </c>
      <c r="L229" s="27" t="s">
        <v>239</v>
      </c>
      <c r="M229" s="32" t="str">
        <f>HYPERLINK("http://slimages.macys.com/is/image/MCY/3853021 ")</f>
        <v xml:space="preserve">http://slimages.macys.com/is/image/MCY/3853021 </v>
      </c>
    </row>
    <row r="230" spans="1:13" ht="15.2" customHeight="1" x14ac:dyDescent="0.2">
      <c r="A230" s="26" t="s">
        <v>10127</v>
      </c>
      <c r="B230" s="27" t="s">
        <v>10128</v>
      </c>
      <c r="C230" s="28">
        <v>1</v>
      </c>
      <c r="D230" s="29">
        <v>8</v>
      </c>
      <c r="E230" s="29">
        <v>8</v>
      </c>
      <c r="F230" s="30">
        <v>19.989999999999998</v>
      </c>
      <c r="G230" s="29">
        <v>19.989999999999998</v>
      </c>
      <c r="H230" s="28" t="s">
        <v>1362</v>
      </c>
      <c r="I230" s="27" t="s">
        <v>189</v>
      </c>
      <c r="J230" s="31" t="s">
        <v>71</v>
      </c>
      <c r="K230" s="27" t="s">
        <v>224</v>
      </c>
      <c r="L230" s="27" t="s">
        <v>276</v>
      </c>
      <c r="M230" s="32" t="str">
        <f>HYPERLINK("http://slimages.macys.com/is/image/MCY/3821763 ")</f>
        <v xml:space="preserve">http://slimages.macys.com/is/image/MCY/3821763 </v>
      </c>
    </row>
    <row r="231" spans="1:13" ht="15.2" customHeight="1" x14ac:dyDescent="0.2">
      <c r="A231" s="26" t="s">
        <v>9929</v>
      </c>
      <c r="B231" s="27" t="s">
        <v>9930</v>
      </c>
      <c r="C231" s="28">
        <v>1</v>
      </c>
      <c r="D231" s="29">
        <v>8</v>
      </c>
      <c r="E231" s="29">
        <v>8</v>
      </c>
      <c r="F231" s="30">
        <v>19.989999999999998</v>
      </c>
      <c r="G231" s="29">
        <v>19.989999999999998</v>
      </c>
      <c r="H231" s="28" t="s">
        <v>1362</v>
      </c>
      <c r="I231" s="27" t="s">
        <v>189</v>
      </c>
      <c r="J231" s="31" t="s">
        <v>5</v>
      </c>
      <c r="K231" s="27" t="s">
        <v>224</v>
      </c>
      <c r="L231" s="27" t="s">
        <v>276</v>
      </c>
      <c r="M231" s="32" t="str">
        <f>HYPERLINK("http://slimages.macys.com/is/image/MCY/3821763 ")</f>
        <v xml:space="preserve">http://slimages.macys.com/is/image/MCY/3821763 </v>
      </c>
    </row>
    <row r="232" spans="1:13" ht="15.2" customHeight="1" x14ac:dyDescent="0.2">
      <c r="A232" s="26" t="s">
        <v>4481</v>
      </c>
      <c r="B232" s="27" t="s">
        <v>4482</v>
      </c>
      <c r="C232" s="28">
        <v>1</v>
      </c>
      <c r="D232" s="29">
        <v>8</v>
      </c>
      <c r="E232" s="29">
        <v>8</v>
      </c>
      <c r="F232" s="30">
        <v>19.989999999999998</v>
      </c>
      <c r="G232" s="29">
        <v>19.989999999999998</v>
      </c>
      <c r="H232" s="28" t="s">
        <v>1362</v>
      </c>
      <c r="I232" s="27" t="s">
        <v>661</v>
      </c>
      <c r="J232" s="31" t="s">
        <v>5</v>
      </c>
      <c r="K232" s="27" t="s">
        <v>224</v>
      </c>
      <c r="L232" s="27" t="s">
        <v>276</v>
      </c>
      <c r="M232" s="32" t="str">
        <f>HYPERLINK("http://slimages.macys.com/is/image/MCY/3814584 ")</f>
        <v xml:space="preserve">http://slimages.macys.com/is/image/MCY/3814584 </v>
      </c>
    </row>
    <row r="233" spans="1:13" ht="15.2" customHeight="1" x14ac:dyDescent="0.2">
      <c r="A233" s="26" t="s">
        <v>10129</v>
      </c>
      <c r="B233" s="27" t="s">
        <v>10130</v>
      </c>
      <c r="C233" s="28">
        <v>1</v>
      </c>
      <c r="D233" s="29">
        <v>8</v>
      </c>
      <c r="E233" s="29">
        <v>8</v>
      </c>
      <c r="F233" s="30">
        <v>19.989999999999998</v>
      </c>
      <c r="G233" s="29">
        <v>19.989999999999998</v>
      </c>
      <c r="H233" s="28" t="s">
        <v>361</v>
      </c>
      <c r="I233" s="27" t="s">
        <v>215</v>
      </c>
      <c r="J233" s="31" t="s">
        <v>52</v>
      </c>
      <c r="K233" s="27" t="s">
        <v>282</v>
      </c>
      <c r="L233" s="27" t="s">
        <v>358</v>
      </c>
      <c r="M233" s="32" t="str">
        <f>HYPERLINK("http://slimages.macys.com/is/image/MCY/3931075 ")</f>
        <v xml:space="preserve">http://slimages.macys.com/is/image/MCY/3931075 </v>
      </c>
    </row>
    <row r="234" spans="1:13" ht="15.2" customHeight="1" x14ac:dyDescent="0.2">
      <c r="A234" s="26" t="s">
        <v>1402</v>
      </c>
      <c r="B234" s="27" t="s">
        <v>1403</v>
      </c>
      <c r="C234" s="28">
        <v>1</v>
      </c>
      <c r="D234" s="29">
        <v>8</v>
      </c>
      <c r="E234" s="29">
        <v>8</v>
      </c>
      <c r="F234" s="30">
        <v>19.989999999999998</v>
      </c>
      <c r="G234" s="29">
        <v>19.989999999999998</v>
      </c>
      <c r="H234" s="28" t="s">
        <v>356</v>
      </c>
      <c r="I234" s="27" t="s">
        <v>357</v>
      </c>
      <c r="J234" s="31" t="s">
        <v>5</v>
      </c>
      <c r="K234" s="27" t="s">
        <v>282</v>
      </c>
      <c r="L234" s="27" t="s">
        <v>358</v>
      </c>
      <c r="M234" s="32" t="str">
        <f>HYPERLINK("http://slimages.macys.com/is/image/MCY/3931073 ")</f>
        <v xml:space="preserve">http://slimages.macys.com/is/image/MCY/3931073 </v>
      </c>
    </row>
    <row r="235" spans="1:13" ht="15.2" customHeight="1" x14ac:dyDescent="0.2">
      <c r="A235" s="26" t="s">
        <v>7417</v>
      </c>
      <c r="B235" s="27" t="s">
        <v>7418</v>
      </c>
      <c r="C235" s="28">
        <v>1</v>
      </c>
      <c r="D235" s="29">
        <v>8</v>
      </c>
      <c r="E235" s="29">
        <v>8</v>
      </c>
      <c r="F235" s="30">
        <v>19.989999999999998</v>
      </c>
      <c r="G235" s="29">
        <v>19.989999999999998</v>
      </c>
      <c r="H235" s="28" t="s">
        <v>356</v>
      </c>
      <c r="I235" s="27" t="s">
        <v>357</v>
      </c>
      <c r="J235" s="31" t="s">
        <v>21</v>
      </c>
      <c r="K235" s="27" t="s">
        <v>282</v>
      </c>
      <c r="L235" s="27" t="s">
        <v>358</v>
      </c>
      <c r="M235" s="32" t="str">
        <f>HYPERLINK("http://slimages.macys.com/is/image/MCY/3931073 ")</f>
        <v xml:space="preserve">http://slimages.macys.com/is/image/MCY/3931073 </v>
      </c>
    </row>
    <row r="236" spans="1:13" ht="15.2" customHeight="1" x14ac:dyDescent="0.2">
      <c r="A236" s="26" t="s">
        <v>8020</v>
      </c>
      <c r="B236" s="27" t="s">
        <v>8021</v>
      </c>
      <c r="C236" s="28">
        <v>1</v>
      </c>
      <c r="D236" s="29">
        <v>8</v>
      </c>
      <c r="E236" s="29">
        <v>8</v>
      </c>
      <c r="F236" s="30">
        <v>19.989999999999998</v>
      </c>
      <c r="G236" s="29">
        <v>19.989999999999998</v>
      </c>
      <c r="H236" s="28" t="s">
        <v>848</v>
      </c>
      <c r="I236" s="27" t="s">
        <v>265</v>
      </c>
      <c r="J236" s="31" t="s">
        <v>71</v>
      </c>
      <c r="K236" s="27" t="s">
        <v>282</v>
      </c>
      <c r="L236" s="27" t="s">
        <v>358</v>
      </c>
      <c r="M236" s="32" t="str">
        <f>HYPERLINK("http://slimages.macys.com/is/image/MCY/3931076 ")</f>
        <v xml:space="preserve">http://slimages.macys.com/is/image/MCY/3931076 </v>
      </c>
    </row>
    <row r="237" spans="1:13" ht="15.2" customHeight="1" x14ac:dyDescent="0.2">
      <c r="A237" s="26" t="s">
        <v>1404</v>
      </c>
      <c r="B237" s="27" t="s">
        <v>1405</v>
      </c>
      <c r="C237" s="28">
        <v>1</v>
      </c>
      <c r="D237" s="29">
        <v>8</v>
      </c>
      <c r="E237" s="29">
        <v>8</v>
      </c>
      <c r="F237" s="30">
        <v>19.989999999999998</v>
      </c>
      <c r="G237" s="29">
        <v>19.989999999999998</v>
      </c>
      <c r="H237" s="28" t="s">
        <v>843</v>
      </c>
      <c r="I237" s="27" t="s">
        <v>265</v>
      </c>
      <c r="J237" s="31" t="s">
        <v>71</v>
      </c>
      <c r="K237" s="27" t="s">
        <v>282</v>
      </c>
      <c r="L237" s="27" t="s">
        <v>358</v>
      </c>
      <c r="M237" s="32" t="str">
        <f>HYPERLINK("http://slimages.macys.com/is/image/MCY/3931078 ")</f>
        <v xml:space="preserve">http://slimages.macys.com/is/image/MCY/3931078 </v>
      </c>
    </row>
    <row r="238" spans="1:13" ht="15.2" customHeight="1" x14ac:dyDescent="0.2">
      <c r="A238" s="26" t="s">
        <v>846</v>
      </c>
      <c r="B238" s="27" t="s">
        <v>847</v>
      </c>
      <c r="C238" s="28">
        <v>1</v>
      </c>
      <c r="D238" s="29">
        <v>8</v>
      </c>
      <c r="E238" s="29">
        <v>8</v>
      </c>
      <c r="F238" s="30">
        <v>19.989999999999998</v>
      </c>
      <c r="G238" s="29">
        <v>19.989999999999998</v>
      </c>
      <c r="H238" s="28" t="s">
        <v>848</v>
      </c>
      <c r="I238" s="27" t="s">
        <v>265</v>
      </c>
      <c r="J238" s="31" t="s">
        <v>21</v>
      </c>
      <c r="K238" s="27" t="s">
        <v>282</v>
      </c>
      <c r="L238" s="27" t="s">
        <v>358</v>
      </c>
      <c r="M238" s="32" t="str">
        <f>HYPERLINK("http://slimages.macys.com/is/image/MCY/3931076 ")</f>
        <v xml:space="preserve">http://slimages.macys.com/is/image/MCY/3931076 </v>
      </c>
    </row>
    <row r="239" spans="1:13" ht="15.2" customHeight="1" x14ac:dyDescent="0.2">
      <c r="A239" s="26" t="s">
        <v>2305</v>
      </c>
      <c r="B239" s="27" t="s">
        <v>2306</v>
      </c>
      <c r="C239" s="28">
        <v>2</v>
      </c>
      <c r="D239" s="29">
        <v>8</v>
      </c>
      <c r="E239" s="29">
        <v>16</v>
      </c>
      <c r="F239" s="30">
        <v>19.989999999999998</v>
      </c>
      <c r="G239" s="29">
        <v>39.979999999999997</v>
      </c>
      <c r="H239" s="28" t="s">
        <v>361</v>
      </c>
      <c r="I239" s="27" t="s">
        <v>215</v>
      </c>
      <c r="J239" s="31" t="s">
        <v>5</v>
      </c>
      <c r="K239" s="27" t="s">
        <v>282</v>
      </c>
      <c r="L239" s="27" t="s">
        <v>358</v>
      </c>
      <c r="M239" s="32" t="str">
        <f>HYPERLINK("http://slimages.macys.com/is/image/MCY/3931075 ")</f>
        <v xml:space="preserve">http://slimages.macys.com/is/image/MCY/3931075 </v>
      </c>
    </row>
    <row r="240" spans="1:13" ht="15.2" customHeight="1" x14ac:dyDescent="0.2">
      <c r="A240" s="26" t="s">
        <v>2320</v>
      </c>
      <c r="B240" s="27" t="s">
        <v>2321</v>
      </c>
      <c r="C240" s="28">
        <v>1</v>
      </c>
      <c r="D240" s="29">
        <v>8</v>
      </c>
      <c r="E240" s="29">
        <v>8</v>
      </c>
      <c r="F240" s="30">
        <v>19.989999999999998</v>
      </c>
      <c r="G240" s="29">
        <v>19.989999999999998</v>
      </c>
      <c r="H240" s="28" t="s">
        <v>843</v>
      </c>
      <c r="I240" s="27" t="s">
        <v>265</v>
      </c>
      <c r="J240" s="31" t="s">
        <v>21</v>
      </c>
      <c r="K240" s="27" t="s">
        <v>282</v>
      </c>
      <c r="L240" s="27" t="s">
        <v>358</v>
      </c>
      <c r="M240" s="32" t="str">
        <f>HYPERLINK("http://slimages.macys.com/is/image/MCY/3931078 ")</f>
        <v xml:space="preserve">http://slimages.macys.com/is/image/MCY/3931078 </v>
      </c>
    </row>
    <row r="241" spans="1:13" ht="15.2" customHeight="1" x14ac:dyDescent="0.2">
      <c r="A241" s="26" t="s">
        <v>1406</v>
      </c>
      <c r="B241" s="27" t="s">
        <v>1407</v>
      </c>
      <c r="C241" s="28">
        <v>2</v>
      </c>
      <c r="D241" s="29">
        <v>8</v>
      </c>
      <c r="E241" s="29">
        <v>16</v>
      </c>
      <c r="F241" s="30">
        <v>19.989999999999998</v>
      </c>
      <c r="G241" s="29">
        <v>39.979999999999997</v>
      </c>
      <c r="H241" s="28" t="s">
        <v>364</v>
      </c>
      <c r="I241" s="27" t="s">
        <v>280</v>
      </c>
      <c r="J241" s="31" t="s">
        <v>40</v>
      </c>
      <c r="K241" s="27" t="s">
        <v>282</v>
      </c>
      <c r="L241" s="27" t="s">
        <v>358</v>
      </c>
      <c r="M241" s="32" t="str">
        <f>HYPERLINK("http://slimages.macys.com/is/image/MCY/3931077 ")</f>
        <v xml:space="preserve">http://slimages.macys.com/is/image/MCY/3931077 </v>
      </c>
    </row>
    <row r="242" spans="1:13" ht="15.2" customHeight="1" x14ac:dyDescent="0.2">
      <c r="A242" s="26" t="s">
        <v>10131</v>
      </c>
      <c r="B242" s="27" t="s">
        <v>10132</v>
      </c>
      <c r="C242" s="28">
        <v>1</v>
      </c>
      <c r="D242" s="29">
        <v>8</v>
      </c>
      <c r="E242" s="29">
        <v>8</v>
      </c>
      <c r="F242" s="30">
        <v>19.989999999999998</v>
      </c>
      <c r="G242" s="29">
        <v>19.989999999999998</v>
      </c>
      <c r="H242" s="28" t="s">
        <v>843</v>
      </c>
      <c r="I242" s="27" t="s">
        <v>265</v>
      </c>
      <c r="J242" s="31" t="s">
        <v>52</v>
      </c>
      <c r="K242" s="27" t="s">
        <v>282</v>
      </c>
      <c r="L242" s="27" t="s">
        <v>358</v>
      </c>
      <c r="M242" s="32" t="str">
        <f>HYPERLINK("http://slimages.macys.com/is/image/MCY/3931078 ")</f>
        <v xml:space="preserve">http://slimages.macys.com/is/image/MCY/3931078 </v>
      </c>
    </row>
    <row r="243" spans="1:13" ht="15.2" customHeight="1" x14ac:dyDescent="0.2">
      <c r="A243" s="26" t="s">
        <v>2303</v>
      </c>
      <c r="B243" s="27" t="s">
        <v>2304</v>
      </c>
      <c r="C243" s="28">
        <v>1</v>
      </c>
      <c r="D243" s="29">
        <v>8</v>
      </c>
      <c r="E243" s="29">
        <v>8</v>
      </c>
      <c r="F243" s="30">
        <v>19.989999999999998</v>
      </c>
      <c r="G243" s="29">
        <v>19.989999999999998</v>
      </c>
      <c r="H243" s="28" t="s">
        <v>348</v>
      </c>
      <c r="I243" s="27" t="s">
        <v>22</v>
      </c>
      <c r="J243" s="31" t="s">
        <v>40</v>
      </c>
      <c r="K243" s="27" t="s">
        <v>282</v>
      </c>
      <c r="L243" s="27" t="s">
        <v>349</v>
      </c>
      <c r="M243" s="32" t="str">
        <f>HYPERLINK("http://slimages.macys.com/is/image/MCY/3857787 ")</f>
        <v xml:space="preserve">http://slimages.macys.com/is/image/MCY/3857787 </v>
      </c>
    </row>
    <row r="244" spans="1:13" ht="15.2" customHeight="1" x14ac:dyDescent="0.2">
      <c r="A244" s="26" t="s">
        <v>362</v>
      </c>
      <c r="B244" s="27" t="s">
        <v>363</v>
      </c>
      <c r="C244" s="28">
        <v>2</v>
      </c>
      <c r="D244" s="29">
        <v>8</v>
      </c>
      <c r="E244" s="29">
        <v>16</v>
      </c>
      <c r="F244" s="30">
        <v>19.989999999999998</v>
      </c>
      <c r="G244" s="29">
        <v>39.979999999999997</v>
      </c>
      <c r="H244" s="28" t="s">
        <v>364</v>
      </c>
      <c r="I244" s="27" t="s">
        <v>280</v>
      </c>
      <c r="J244" s="31" t="s">
        <v>71</v>
      </c>
      <c r="K244" s="27" t="s">
        <v>282</v>
      </c>
      <c r="L244" s="27" t="s">
        <v>358</v>
      </c>
      <c r="M244" s="32" t="str">
        <f>HYPERLINK("http://slimages.macys.com/is/image/MCY/3931077 ")</f>
        <v xml:space="preserve">http://slimages.macys.com/is/image/MCY/3931077 </v>
      </c>
    </row>
    <row r="245" spans="1:13" ht="15.2" customHeight="1" x14ac:dyDescent="0.2">
      <c r="A245" s="26" t="s">
        <v>2322</v>
      </c>
      <c r="B245" s="27" t="s">
        <v>2323</v>
      </c>
      <c r="C245" s="28">
        <v>1</v>
      </c>
      <c r="D245" s="29">
        <v>8</v>
      </c>
      <c r="E245" s="29">
        <v>8</v>
      </c>
      <c r="F245" s="30">
        <v>19.989999999999998</v>
      </c>
      <c r="G245" s="29">
        <v>19.989999999999998</v>
      </c>
      <c r="H245" s="28" t="s">
        <v>843</v>
      </c>
      <c r="I245" s="27" t="s">
        <v>265</v>
      </c>
      <c r="J245" s="31" t="s">
        <v>5</v>
      </c>
      <c r="K245" s="27" t="s">
        <v>282</v>
      </c>
      <c r="L245" s="27" t="s">
        <v>358</v>
      </c>
      <c r="M245" s="32" t="str">
        <f>HYPERLINK("http://slimages.macys.com/is/image/MCY/3931078 ")</f>
        <v xml:space="preserve">http://slimages.macys.com/is/image/MCY/3931078 </v>
      </c>
    </row>
    <row r="246" spans="1:13" ht="15.2" customHeight="1" x14ac:dyDescent="0.2">
      <c r="A246" s="26" t="s">
        <v>2301</v>
      </c>
      <c r="B246" s="27" t="s">
        <v>2302</v>
      </c>
      <c r="C246" s="28">
        <v>1</v>
      </c>
      <c r="D246" s="29">
        <v>8</v>
      </c>
      <c r="E246" s="29">
        <v>8</v>
      </c>
      <c r="F246" s="30">
        <v>19.989999999999998</v>
      </c>
      <c r="G246" s="29">
        <v>19.989999999999998</v>
      </c>
      <c r="H246" s="28" t="s">
        <v>364</v>
      </c>
      <c r="I246" s="27" t="s">
        <v>280</v>
      </c>
      <c r="J246" s="31" t="s">
        <v>52</v>
      </c>
      <c r="K246" s="27" t="s">
        <v>282</v>
      </c>
      <c r="L246" s="27" t="s">
        <v>358</v>
      </c>
      <c r="M246" s="32" t="str">
        <f>HYPERLINK("http://slimages.macys.com/is/image/MCY/3931077 ")</f>
        <v xml:space="preserve">http://slimages.macys.com/is/image/MCY/3931077 </v>
      </c>
    </row>
    <row r="247" spans="1:13" ht="15.2" customHeight="1" x14ac:dyDescent="0.2">
      <c r="A247" s="26" t="s">
        <v>855</v>
      </c>
      <c r="B247" s="27" t="s">
        <v>856</v>
      </c>
      <c r="C247" s="28">
        <v>5</v>
      </c>
      <c r="D247" s="29">
        <v>8</v>
      </c>
      <c r="E247" s="29">
        <v>40</v>
      </c>
      <c r="F247" s="30">
        <v>19.989999999999998</v>
      </c>
      <c r="G247" s="29">
        <v>99.95</v>
      </c>
      <c r="H247" s="28" t="s">
        <v>364</v>
      </c>
      <c r="I247" s="27" t="s">
        <v>280</v>
      </c>
      <c r="J247" s="31" t="s">
        <v>5</v>
      </c>
      <c r="K247" s="27" t="s">
        <v>282</v>
      </c>
      <c r="L247" s="27" t="s">
        <v>358</v>
      </c>
      <c r="M247" s="32" t="str">
        <f>HYPERLINK("http://slimages.macys.com/is/image/MCY/3931077 ")</f>
        <v xml:space="preserve">http://slimages.macys.com/is/image/MCY/3931077 </v>
      </c>
    </row>
    <row r="248" spans="1:13" ht="15.2" customHeight="1" x14ac:dyDescent="0.2">
      <c r="A248" s="26" t="s">
        <v>851</v>
      </c>
      <c r="B248" s="27" t="s">
        <v>852</v>
      </c>
      <c r="C248" s="28">
        <v>1</v>
      </c>
      <c r="D248" s="29">
        <v>8</v>
      </c>
      <c r="E248" s="29">
        <v>8</v>
      </c>
      <c r="F248" s="30">
        <v>19.989999999999998</v>
      </c>
      <c r="G248" s="29">
        <v>19.989999999999998</v>
      </c>
      <c r="H248" s="28" t="s">
        <v>848</v>
      </c>
      <c r="I248" s="27" t="s">
        <v>265</v>
      </c>
      <c r="J248" s="31" t="s">
        <v>40</v>
      </c>
      <c r="K248" s="27" t="s">
        <v>282</v>
      </c>
      <c r="L248" s="27" t="s">
        <v>358</v>
      </c>
      <c r="M248" s="32" t="str">
        <f>HYPERLINK("http://slimages.macys.com/is/image/MCY/3931076 ")</f>
        <v xml:space="preserve">http://slimages.macys.com/is/image/MCY/3931076 </v>
      </c>
    </row>
    <row r="249" spans="1:13" ht="15.2" customHeight="1" x14ac:dyDescent="0.2">
      <c r="A249" s="26" t="s">
        <v>1415</v>
      </c>
      <c r="B249" s="27" t="s">
        <v>1416</v>
      </c>
      <c r="C249" s="28">
        <v>2</v>
      </c>
      <c r="D249" s="29">
        <v>8</v>
      </c>
      <c r="E249" s="29">
        <v>16</v>
      </c>
      <c r="F249" s="30">
        <v>19.989999999999998</v>
      </c>
      <c r="G249" s="29">
        <v>39.979999999999997</v>
      </c>
      <c r="H249" s="28" t="s">
        <v>848</v>
      </c>
      <c r="I249" s="27" t="s">
        <v>265</v>
      </c>
      <c r="J249" s="31" t="s">
        <v>52</v>
      </c>
      <c r="K249" s="27" t="s">
        <v>282</v>
      </c>
      <c r="L249" s="27" t="s">
        <v>358</v>
      </c>
      <c r="M249" s="32" t="str">
        <f>HYPERLINK("http://slimages.macys.com/is/image/MCY/3931076 ")</f>
        <v xml:space="preserve">http://slimages.macys.com/is/image/MCY/3931076 </v>
      </c>
    </row>
    <row r="250" spans="1:13" ht="15.2" customHeight="1" x14ac:dyDescent="0.2">
      <c r="A250" s="26" t="s">
        <v>365</v>
      </c>
      <c r="B250" s="27" t="s">
        <v>366</v>
      </c>
      <c r="C250" s="28">
        <v>1</v>
      </c>
      <c r="D250" s="29">
        <v>8</v>
      </c>
      <c r="E250" s="29">
        <v>8</v>
      </c>
      <c r="F250" s="30">
        <v>19.989999999999998</v>
      </c>
      <c r="G250" s="29">
        <v>19.989999999999998</v>
      </c>
      <c r="H250" s="28" t="s">
        <v>361</v>
      </c>
      <c r="I250" s="27" t="s">
        <v>215</v>
      </c>
      <c r="J250" s="31" t="s">
        <v>71</v>
      </c>
      <c r="K250" s="27" t="s">
        <v>282</v>
      </c>
      <c r="L250" s="27" t="s">
        <v>358</v>
      </c>
      <c r="M250" s="32" t="str">
        <f>HYPERLINK("http://slimages.macys.com/is/image/MCY/3931075 ")</f>
        <v xml:space="preserve">http://slimages.macys.com/is/image/MCY/3931075 </v>
      </c>
    </row>
    <row r="251" spans="1:13" ht="15.2" customHeight="1" x14ac:dyDescent="0.2">
      <c r="A251" s="26" t="s">
        <v>359</v>
      </c>
      <c r="B251" s="27" t="s">
        <v>360</v>
      </c>
      <c r="C251" s="28">
        <v>2</v>
      </c>
      <c r="D251" s="29">
        <v>8</v>
      </c>
      <c r="E251" s="29">
        <v>16</v>
      </c>
      <c r="F251" s="30">
        <v>19.989999999999998</v>
      </c>
      <c r="G251" s="29">
        <v>39.979999999999997</v>
      </c>
      <c r="H251" s="28" t="s">
        <v>361</v>
      </c>
      <c r="I251" s="27" t="s">
        <v>215</v>
      </c>
      <c r="J251" s="31" t="s">
        <v>21</v>
      </c>
      <c r="K251" s="27" t="s">
        <v>282</v>
      </c>
      <c r="L251" s="27" t="s">
        <v>358</v>
      </c>
      <c r="M251" s="32" t="str">
        <f>HYPERLINK("http://slimages.macys.com/is/image/MCY/3931075 ")</f>
        <v xml:space="preserve">http://slimages.macys.com/is/image/MCY/3931075 </v>
      </c>
    </row>
    <row r="252" spans="1:13" ht="15.2" customHeight="1" x14ac:dyDescent="0.2">
      <c r="A252" s="26" t="s">
        <v>9881</v>
      </c>
      <c r="B252" s="27" t="s">
        <v>9882</v>
      </c>
      <c r="C252" s="28">
        <v>1</v>
      </c>
      <c r="D252" s="29">
        <v>7.85</v>
      </c>
      <c r="E252" s="29">
        <v>7.85</v>
      </c>
      <c r="F252" s="30">
        <v>27.99</v>
      </c>
      <c r="G252" s="29">
        <v>27.99</v>
      </c>
      <c r="H252" s="28" t="s">
        <v>1419</v>
      </c>
      <c r="I252" s="27" t="s">
        <v>274</v>
      </c>
      <c r="J252" s="31" t="s">
        <v>40</v>
      </c>
      <c r="K252" s="27" t="s">
        <v>224</v>
      </c>
      <c r="L252" s="27" t="s">
        <v>260</v>
      </c>
      <c r="M252" s="32" t="str">
        <f>HYPERLINK("http://slimages.macys.com/is/image/MCY/3798032 ")</f>
        <v xml:space="preserve">http://slimages.macys.com/is/image/MCY/3798032 </v>
      </c>
    </row>
    <row r="253" spans="1:13" ht="15.2" customHeight="1" x14ac:dyDescent="0.2">
      <c r="A253" s="26" t="s">
        <v>8415</v>
      </c>
      <c r="B253" s="27" t="s">
        <v>8416</v>
      </c>
      <c r="C253" s="28">
        <v>1</v>
      </c>
      <c r="D253" s="29">
        <v>7.85</v>
      </c>
      <c r="E253" s="29">
        <v>7.85</v>
      </c>
      <c r="F253" s="30">
        <v>24.99</v>
      </c>
      <c r="G253" s="29">
        <v>24.99</v>
      </c>
      <c r="H253" s="28" t="s">
        <v>367</v>
      </c>
      <c r="I253" s="27" t="s">
        <v>274</v>
      </c>
      <c r="J253" s="31" t="s">
        <v>21</v>
      </c>
      <c r="K253" s="27" t="s">
        <v>224</v>
      </c>
      <c r="L253" s="27" t="s">
        <v>260</v>
      </c>
      <c r="M253" s="32" t="str">
        <f>HYPERLINK("http://slimages.macys.com/is/image/MCY/3853703 ")</f>
        <v xml:space="preserve">http://slimages.macys.com/is/image/MCY/3853703 </v>
      </c>
    </row>
    <row r="254" spans="1:13" ht="15.2" customHeight="1" x14ac:dyDescent="0.2">
      <c r="A254" s="26" t="s">
        <v>4488</v>
      </c>
      <c r="B254" s="27" t="s">
        <v>4489</v>
      </c>
      <c r="C254" s="28">
        <v>1</v>
      </c>
      <c r="D254" s="29">
        <v>7.85</v>
      </c>
      <c r="E254" s="29">
        <v>7.85</v>
      </c>
      <c r="F254" s="30">
        <v>24.99</v>
      </c>
      <c r="G254" s="29">
        <v>24.99</v>
      </c>
      <c r="H254" s="28" t="s">
        <v>367</v>
      </c>
      <c r="I254" s="27" t="s">
        <v>4</v>
      </c>
      <c r="J254" s="31" t="s">
        <v>40</v>
      </c>
      <c r="K254" s="27" t="s">
        <v>224</v>
      </c>
      <c r="L254" s="27" t="s">
        <v>260</v>
      </c>
      <c r="M254" s="32" t="str">
        <f>HYPERLINK("http://slimages.macys.com/is/image/MCY/3853703 ")</f>
        <v xml:space="preserve">http://slimages.macys.com/is/image/MCY/3853703 </v>
      </c>
    </row>
    <row r="255" spans="1:13" ht="15.2" customHeight="1" x14ac:dyDescent="0.2">
      <c r="A255" s="26" t="s">
        <v>857</v>
      </c>
      <c r="B255" s="27" t="s">
        <v>858</v>
      </c>
      <c r="C255" s="28">
        <v>1</v>
      </c>
      <c r="D255" s="29">
        <v>7.85</v>
      </c>
      <c r="E255" s="29">
        <v>7.85</v>
      </c>
      <c r="F255" s="30">
        <v>24.99</v>
      </c>
      <c r="G255" s="29">
        <v>24.99</v>
      </c>
      <c r="H255" s="28" t="s">
        <v>367</v>
      </c>
      <c r="I255" s="27" t="s">
        <v>144</v>
      </c>
      <c r="J255" s="31" t="s">
        <v>52</v>
      </c>
      <c r="K255" s="27" t="s">
        <v>224</v>
      </c>
      <c r="L255" s="27" t="s">
        <v>260</v>
      </c>
      <c r="M255" s="32" t="str">
        <f>HYPERLINK("http://slimages.macys.com/is/image/MCY/3853703 ")</f>
        <v xml:space="preserve">http://slimages.macys.com/is/image/MCY/3853703 </v>
      </c>
    </row>
    <row r="256" spans="1:13" ht="15.2" customHeight="1" x14ac:dyDescent="0.2">
      <c r="A256" s="26" t="s">
        <v>9823</v>
      </c>
      <c r="B256" s="27" t="s">
        <v>9824</v>
      </c>
      <c r="C256" s="28">
        <v>1</v>
      </c>
      <c r="D256" s="29">
        <v>7.85</v>
      </c>
      <c r="E256" s="29">
        <v>7.85</v>
      </c>
      <c r="F256" s="30">
        <v>27.99</v>
      </c>
      <c r="G256" s="29">
        <v>27.99</v>
      </c>
      <c r="H256" s="28" t="s">
        <v>1419</v>
      </c>
      <c r="I256" s="27" t="s">
        <v>144</v>
      </c>
      <c r="J256" s="31" t="s">
        <v>21</v>
      </c>
      <c r="K256" s="27" t="s">
        <v>224</v>
      </c>
      <c r="L256" s="27" t="s">
        <v>260</v>
      </c>
      <c r="M256" s="32" t="str">
        <f>HYPERLINK("http://slimages.macys.com/is/image/MCY/3798032 ")</f>
        <v xml:space="preserve">http://slimages.macys.com/is/image/MCY/3798032 </v>
      </c>
    </row>
    <row r="257" spans="1:13" ht="15.2" customHeight="1" x14ac:dyDescent="0.2">
      <c r="A257" s="26" t="s">
        <v>4486</v>
      </c>
      <c r="B257" s="27" t="s">
        <v>4487</v>
      </c>
      <c r="C257" s="28">
        <v>1</v>
      </c>
      <c r="D257" s="29">
        <v>7.85</v>
      </c>
      <c r="E257" s="29">
        <v>7.85</v>
      </c>
      <c r="F257" s="30">
        <v>24.99</v>
      </c>
      <c r="G257" s="29">
        <v>24.99</v>
      </c>
      <c r="H257" s="28" t="s">
        <v>367</v>
      </c>
      <c r="I257" s="27" t="s">
        <v>274</v>
      </c>
      <c r="J257" s="31" t="s">
        <v>5</v>
      </c>
      <c r="K257" s="27" t="s">
        <v>224</v>
      </c>
      <c r="L257" s="27" t="s">
        <v>260</v>
      </c>
      <c r="M257" s="32" t="str">
        <f>HYPERLINK("http://slimages.macys.com/is/image/MCY/3853703 ")</f>
        <v xml:space="preserve">http://slimages.macys.com/is/image/MCY/3853703 </v>
      </c>
    </row>
    <row r="258" spans="1:13" ht="15.2" customHeight="1" x14ac:dyDescent="0.2">
      <c r="A258" s="26" t="s">
        <v>5112</v>
      </c>
      <c r="B258" s="27" t="s">
        <v>5113</v>
      </c>
      <c r="C258" s="28">
        <v>1</v>
      </c>
      <c r="D258" s="29">
        <v>7.85</v>
      </c>
      <c r="E258" s="29">
        <v>7.85</v>
      </c>
      <c r="F258" s="30">
        <v>24.99</v>
      </c>
      <c r="G258" s="29">
        <v>24.99</v>
      </c>
      <c r="H258" s="28" t="s">
        <v>367</v>
      </c>
      <c r="I258" s="27" t="s">
        <v>4</v>
      </c>
      <c r="J258" s="31" t="s">
        <v>21</v>
      </c>
      <c r="K258" s="27" t="s">
        <v>224</v>
      </c>
      <c r="L258" s="27" t="s">
        <v>260</v>
      </c>
      <c r="M258" s="32" t="str">
        <f>HYPERLINK("http://slimages.macys.com/is/image/MCY/3853703 ")</f>
        <v xml:space="preserve">http://slimages.macys.com/is/image/MCY/3853703 </v>
      </c>
    </row>
    <row r="259" spans="1:13" ht="15.2" customHeight="1" x14ac:dyDescent="0.2">
      <c r="A259" s="26" t="s">
        <v>10133</v>
      </c>
      <c r="B259" s="27" t="s">
        <v>10134</v>
      </c>
      <c r="C259" s="28">
        <v>2</v>
      </c>
      <c r="D259" s="29">
        <v>7.85</v>
      </c>
      <c r="E259" s="29">
        <v>15.7</v>
      </c>
      <c r="F259" s="30">
        <v>24.99</v>
      </c>
      <c r="G259" s="29">
        <v>49.98</v>
      </c>
      <c r="H259" s="28" t="s">
        <v>367</v>
      </c>
      <c r="I259" s="27" t="s">
        <v>2324</v>
      </c>
      <c r="J259" s="31" t="s">
        <v>21</v>
      </c>
      <c r="K259" s="27" t="s">
        <v>224</v>
      </c>
      <c r="L259" s="27" t="s">
        <v>260</v>
      </c>
      <c r="M259" s="32" t="str">
        <f>HYPERLINK("http://slimages.macys.com/is/image/MCY/3853703 ")</f>
        <v xml:space="preserve">http://slimages.macys.com/is/image/MCY/3853703 </v>
      </c>
    </row>
    <row r="260" spans="1:13" ht="15.2" customHeight="1" x14ac:dyDescent="0.2">
      <c r="A260" s="26" t="s">
        <v>7421</v>
      </c>
      <c r="B260" s="27" t="s">
        <v>7422</v>
      </c>
      <c r="C260" s="28">
        <v>1</v>
      </c>
      <c r="D260" s="29">
        <v>7.85</v>
      </c>
      <c r="E260" s="29">
        <v>7.85</v>
      </c>
      <c r="F260" s="30">
        <v>24.99</v>
      </c>
      <c r="G260" s="29">
        <v>24.99</v>
      </c>
      <c r="H260" s="28" t="s">
        <v>367</v>
      </c>
      <c r="I260" s="27" t="s">
        <v>4</v>
      </c>
      <c r="J260" s="31" t="s">
        <v>5</v>
      </c>
      <c r="K260" s="27" t="s">
        <v>224</v>
      </c>
      <c r="L260" s="27" t="s">
        <v>260</v>
      </c>
      <c r="M260" s="32" t="str">
        <f>HYPERLINK("http://slimages.macys.com/is/image/MCY/3853703 ")</f>
        <v xml:space="preserve">http://slimages.macys.com/is/image/MCY/3853703 </v>
      </c>
    </row>
    <row r="261" spans="1:13" ht="15.2" customHeight="1" x14ac:dyDescent="0.2">
      <c r="A261" s="26" t="s">
        <v>859</v>
      </c>
      <c r="B261" s="27" t="s">
        <v>860</v>
      </c>
      <c r="C261" s="28">
        <v>4</v>
      </c>
      <c r="D261" s="29">
        <v>7.85</v>
      </c>
      <c r="E261" s="29">
        <v>31.4</v>
      </c>
      <c r="F261" s="30">
        <v>24.99</v>
      </c>
      <c r="G261" s="29">
        <v>99.96</v>
      </c>
      <c r="H261" s="28" t="s">
        <v>367</v>
      </c>
      <c r="I261" s="27" t="s">
        <v>144</v>
      </c>
      <c r="J261" s="31" t="s">
        <v>5</v>
      </c>
      <c r="K261" s="27" t="s">
        <v>224</v>
      </c>
      <c r="L261" s="27" t="s">
        <v>260</v>
      </c>
      <c r="M261" s="32" t="str">
        <f>HYPERLINK("http://slimages.macys.com/is/image/MCY/3853703 ")</f>
        <v xml:space="preserve">http://slimages.macys.com/is/image/MCY/3853703 </v>
      </c>
    </row>
    <row r="262" spans="1:13" ht="15.2" customHeight="1" x14ac:dyDescent="0.2">
      <c r="A262" s="26" t="s">
        <v>8028</v>
      </c>
      <c r="B262" s="27" t="s">
        <v>8029</v>
      </c>
      <c r="C262" s="28">
        <v>1</v>
      </c>
      <c r="D262" s="29">
        <v>7.82</v>
      </c>
      <c r="E262" s="29">
        <v>7.82</v>
      </c>
      <c r="F262" s="30">
        <v>16.989999999999998</v>
      </c>
      <c r="G262" s="29">
        <v>16.989999999999998</v>
      </c>
      <c r="H262" s="28">
        <v>60450149</v>
      </c>
      <c r="I262" s="27" t="s">
        <v>4</v>
      </c>
      <c r="J262" s="31" t="s">
        <v>21</v>
      </c>
      <c r="K262" s="27" t="s">
        <v>208</v>
      </c>
      <c r="L262" s="27" t="s">
        <v>255</v>
      </c>
      <c r="M262" s="32" t="str">
        <f>HYPERLINK("http://slimages.macys.com/is/image/MCY/3955026 ")</f>
        <v xml:space="preserve">http://slimages.macys.com/is/image/MCY/3955026 </v>
      </c>
    </row>
    <row r="263" spans="1:13" ht="15.2" customHeight="1" x14ac:dyDescent="0.2">
      <c r="A263" s="26" t="s">
        <v>10135</v>
      </c>
      <c r="B263" s="27" t="s">
        <v>10136</v>
      </c>
      <c r="C263" s="28">
        <v>1</v>
      </c>
      <c r="D263" s="29">
        <v>7.82</v>
      </c>
      <c r="E263" s="29">
        <v>7.82</v>
      </c>
      <c r="F263" s="30">
        <v>19.989999999999998</v>
      </c>
      <c r="G263" s="29">
        <v>19.989999999999998</v>
      </c>
      <c r="H263" s="28">
        <v>60450129</v>
      </c>
      <c r="I263" s="27" t="s">
        <v>4</v>
      </c>
      <c r="J263" s="31" t="s">
        <v>65</v>
      </c>
      <c r="K263" s="27" t="s">
        <v>208</v>
      </c>
      <c r="L263" s="27" t="s">
        <v>255</v>
      </c>
      <c r="M263" s="32" t="str">
        <f>HYPERLINK("http://slimages.macys.com/is/image/MCY/3954999 ")</f>
        <v xml:space="preserve">http://slimages.macys.com/is/image/MCY/3954999 </v>
      </c>
    </row>
    <row r="264" spans="1:13" ht="15.2" customHeight="1" x14ac:dyDescent="0.2">
      <c r="A264" s="26" t="s">
        <v>2343</v>
      </c>
      <c r="B264" s="27" t="s">
        <v>2344</v>
      </c>
      <c r="C264" s="28">
        <v>1</v>
      </c>
      <c r="D264" s="29">
        <v>7.63</v>
      </c>
      <c r="E264" s="29">
        <v>7.63</v>
      </c>
      <c r="F264" s="30">
        <v>22.5</v>
      </c>
      <c r="G264" s="29">
        <v>22.5</v>
      </c>
      <c r="H264" s="28" t="s">
        <v>2331</v>
      </c>
      <c r="I264" s="27" t="s">
        <v>4</v>
      </c>
      <c r="J264" s="31" t="s">
        <v>52</v>
      </c>
      <c r="K264" s="27" t="s">
        <v>53</v>
      </c>
      <c r="L264" s="27" t="s">
        <v>372</v>
      </c>
      <c r="M264" s="32" t="str">
        <f>HYPERLINK("http://slimages.macys.com/is/image/MCY/2217104 ")</f>
        <v xml:space="preserve">http://slimages.macys.com/is/image/MCY/2217104 </v>
      </c>
    </row>
    <row r="265" spans="1:13" ht="15.2" customHeight="1" x14ac:dyDescent="0.2">
      <c r="A265" s="26" t="s">
        <v>2345</v>
      </c>
      <c r="B265" s="27" t="s">
        <v>2346</v>
      </c>
      <c r="C265" s="28">
        <v>1</v>
      </c>
      <c r="D265" s="29">
        <v>7.63</v>
      </c>
      <c r="E265" s="29">
        <v>7.63</v>
      </c>
      <c r="F265" s="30">
        <v>22.5</v>
      </c>
      <c r="G265" s="29">
        <v>22.5</v>
      </c>
      <c r="H265" s="28" t="s">
        <v>2331</v>
      </c>
      <c r="I265" s="27" t="s">
        <v>4</v>
      </c>
      <c r="J265" s="31" t="s">
        <v>40</v>
      </c>
      <c r="K265" s="27" t="s">
        <v>53</v>
      </c>
      <c r="L265" s="27" t="s">
        <v>372</v>
      </c>
      <c r="M265" s="32" t="str">
        <f>HYPERLINK("http://slimages.macys.com/is/image/MCY/2217104 ")</f>
        <v xml:space="preserve">http://slimages.macys.com/is/image/MCY/2217104 </v>
      </c>
    </row>
    <row r="266" spans="1:13" ht="15.2" customHeight="1" x14ac:dyDescent="0.2">
      <c r="A266" s="26" t="s">
        <v>10137</v>
      </c>
      <c r="B266" s="27" t="s">
        <v>10138</v>
      </c>
      <c r="C266" s="28">
        <v>2</v>
      </c>
      <c r="D266" s="29">
        <v>7.57</v>
      </c>
      <c r="E266" s="29">
        <v>15.14</v>
      </c>
      <c r="F266" s="30">
        <v>22.5</v>
      </c>
      <c r="G266" s="29">
        <v>45</v>
      </c>
      <c r="H266" s="28" t="s">
        <v>10139</v>
      </c>
      <c r="I266" s="27" t="s">
        <v>4</v>
      </c>
      <c r="J266" s="31" t="s">
        <v>40</v>
      </c>
      <c r="K266" s="27" t="s">
        <v>53</v>
      </c>
      <c r="L266" s="27" t="s">
        <v>372</v>
      </c>
      <c r="M266" s="32" t="str">
        <f>HYPERLINK("http://slimages.macys.com/is/image/MCY/3623154 ")</f>
        <v xml:space="preserve">http://slimages.macys.com/is/image/MCY/3623154 </v>
      </c>
    </row>
    <row r="267" spans="1:13" ht="15.2" customHeight="1" x14ac:dyDescent="0.2">
      <c r="A267" s="26" t="s">
        <v>10140</v>
      </c>
      <c r="B267" s="27" t="s">
        <v>10141</v>
      </c>
      <c r="C267" s="28">
        <v>1</v>
      </c>
      <c r="D267" s="29">
        <v>7.57</v>
      </c>
      <c r="E267" s="29">
        <v>7.57</v>
      </c>
      <c r="F267" s="30">
        <v>22.5</v>
      </c>
      <c r="G267" s="29">
        <v>22.5</v>
      </c>
      <c r="H267" s="28" t="s">
        <v>10139</v>
      </c>
      <c r="I267" s="27" t="s">
        <v>4</v>
      </c>
      <c r="J267" s="31" t="s">
        <v>21</v>
      </c>
      <c r="K267" s="27" t="s">
        <v>53</v>
      </c>
      <c r="L267" s="27" t="s">
        <v>372</v>
      </c>
      <c r="M267" s="32" t="str">
        <f>HYPERLINK("http://slimages.macys.com/is/image/MCY/3623154 ")</f>
        <v xml:space="preserve">http://slimages.macys.com/is/image/MCY/3623154 </v>
      </c>
    </row>
    <row r="268" spans="1:13" ht="15.2" customHeight="1" x14ac:dyDescent="0.2">
      <c r="A268" s="26" t="s">
        <v>8559</v>
      </c>
      <c r="B268" s="27" t="s">
        <v>8560</v>
      </c>
      <c r="C268" s="28">
        <v>1</v>
      </c>
      <c r="D268" s="29">
        <v>7.5</v>
      </c>
      <c r="E268" s="29">
        <v>7.5</v>
      </c>
      <c r="F268" s="30">
        <v>19.989999999999998</v>
      </c>
      <c r="G268" s="29">
        <v>19.989999999999998</v>
      </c>
      <c r="H268" s="28" t="s">
        <v>1433</v>
      </c>
      <c r="I268" s="27" t="s">
        <v>690</v>
      </c>
      <c r="J268" s="31" t="s">
        <v>5</v>
      </c>
      <c r="K268" s="27" t="s">
        <v>196</v>
      </c>
      <c r="L268" s="27" t="s">
        <v>336</v>
      </c>
      <c r="M268" s="32" t="str">
        <f>HYPERLINK("http://slimages.macys.com/is/image/MCY/3821001 ")</f>
        <v xml:space="preserve">http://slimages.macys.com/is/image/MCY/3821001 </v>
      </c>
    </row>
    <row r="269" spans="1:13" ht="15.2" customHeight="1" x14ac:dyDescent="0.2">
      <c r="A269" s="26" t="s">
        <v>7680</v>
      </c>
      <c r="B269" s="27" t="s">
        <v>7681</v>
      </c>
      <c r="C269" s="28">
        <v>1</v>
      </c>
      <c r="D269" s="29">
        <v>7.5</v>
      </c>
      <c r="E269" s="29">
        <v>7.5</v>
      </c>
      <c r="F269" s="30">
        <v>19.989999999999998</v>
      </c>
      <c r="G269" s="29">
        <v>19.989999999999998</v>
      </c>
      <c r="H269" s="28" t="s">
        <v>1427</v>
      </c>
      <c r="I269" s="27" t="s">
        <v>4</v>
      </c>
      <c r="J269" s="31" t="s">
        <v>52</v>
      </c>
      <c r="K269" s="27" t="s">
        <v>196</v>
      </c>
      <c r="L269" s="27" t="s">
        <v>336</v>
      </c>
      <c r="M269" s="32" t="str">
        <f>HYPERLINK("http://slimages.macys.com/is/image/MCY/3852983 ")</f>
        <v xml:space="preserve">http://slimages.macys.com/is/image/MCY/3852983 </v>
      </c>
    </row>
    <row r="270" spans="1:13" ht="15.2" customHeight="1" x14ac:dyDescent="0.2">
      <c r="A270" s="26" t="s">
        <v>10142</v>
      </c>
      <c r="B270" s="27" t="s">
        <v>10143</v>
      </c>
      <c r="C270" s="28">
        <v>1</v>
      </c>
      <c r="D270" s="29">
        <v>7.5</v>
      </c>
      <c r="E270" s="29">
        <v>7.5</v>
      </c>
      <c r="F270" s="30">
        <v>19.989999999999998</v>
      </c>
      <c r="G270" s="29">
        <v>19.989999999999998</v>
      </c>
      <c r="H270" s="28" t="s">
        <v>1427</v>
      </c>
      <c r="I270" s="27" t="s">
        <v>26</v>
      </c>
      <c r="J270" s="31" t="s">
        <v>21</v>
      </c>
      <c r="K270" s="27" t="s">
        <v>196</v>
      </c>
      <c r="L270" s="27" t="s">
        <v>336</v>
      </c>
      <c r="M270" s="32" t="str">
        <f>HYPERLINK("http://slimages.macys.com/is/image/MCY/3852983 ")</f>
        <v xml:space="preserve">http://slimages.macys.com/is/image/MCY/3852983 </v>
      </c>
    </row>
    <row r="271" spans="1:13" ht="15.2" customHeight="1" x14ac:dyDescent="0.2">
      <c r="A271" s="26" t="s">
        <v>10144</v>
      </c>
      <c r="B271" s="27" t="s">
        <v>10145</v>
      </c>
      <c r="C271" s="28">
        <v>1</v>
      </c>
      <c r="D271" s="29">
        <v>7.5</v>
      </c>
      <c r="E271" s="29">
        <v>7.5</v>
      </c>
      <c r="F271" s="30">
        <v>19.989999999999998</v>
      </c>
      <c r="G271" s="29">
        <v>19.989999999999998</v>
      </c>
      <c r="H271" s="28" t="s">
        <v>5121</v>
      </c>
      <c r="I271" s="27" t="s">
        <v>36</v>
      </c>
      <c r="J271" s="31" t="s">
        <v>71</v>
      </c>
      <c r="K271" s="27" t="s">
        <v>196</v>
      </c>
      <c r="L271" s="27" t="s">
        <v>336</v>
      </c>
      <c r="M271" s="32" t="str">
        <f>HYPERLINK("http://slimages.macys.com/is/image/MCY/3705540 ")</f>
        <v xml:space="preserve">http://slimages.macys.com/is/image/MCY/3705540 </v>
      </c>
    </row>
    <row r="272" spans="1:13" ht="15.2" customHeight="1" x14ac:dyDescent="0.2">
      <c r="A272" s="26" t="s">
        <v>3436</v>
      </c>
      <c r="B272" s="27" t="s">
        <v>3437</v>
      </c>
      <c r="C272" s="28">
        <v>1</v>
      </c>
      <c r="D272" s="29">
        <v>7.5</v>
      </c>
      <c r="E272" s="29">
        <v>7.5</v>
      </c>
      <c r="F272" s="30">
        <v>19.989999999999998</v>
      </c>
      <c r="G272" s="29">
        <v>19.989999999999998</v>
      </c>
      <c r="H272" s="28" t="s">
        <v>3438</v>
      </c>
      <c r="I272" s="27" t="s">
        <v>248</v>
      </c>
      <c r="J272" s="31" t="s">
        <v>52</v>
      </c>
      <c r="K272" s="27" t="s">
        <v>196</v>
      </c>
      <c r="L272" s="27" t="s">
        <v>336</v>
      </c>
      <c r="M272" s="32" t="str">
        <f>HYPERLINK("http://slimages.macys.com/is/image/MCY/3660171 ")</f>
        <v xml:space="preserve">http://slimages.macys.com/is/image/MCY/3660171 </v>
      </c>
    </row>
    <row r="273" spans="1:13" ht="15.2" customHeight="1" x14ac:dyDescent="0.2">
      <c r="A273" s="26" t="s">
        <v>5459</v>
      </c>
      <c r="B273" s="27" t="s">
        <v>5460</v>
      </c>
      <c r="C273" s="28">
        <v>1</v>
      </c>
      <c r="D273" s="29">
        <v>7.5</v>
      </c>
      <c r="E273" s="29">
        <v>7.5</v>
      </c>
      <c r="F273" s="30">
        <v>16.989999999999998</v>
      </c>
      <c r="G273" s="29">
        <v>16.989999999999998</v>
      </c>
      <c r="H273" s="28" t="s">
        <v>4355</v>
      </c>
      <c r="I273" s="27" t="s">
        <v>274</v>
      </c>
      <c r="J273" s="31" t="s">
        <v>5</v>
      </c>
      <c r="K273" s="27" t="s">
        <v>282</v>
      </c>
      <c r="L273" s="27" t="s">
        <v>260</v>
      </c>
      <c r="M273" s="32" t="str">
        <f>HYPERLINK("http://slimages.macys.com/is/image/MCY/3798083 ")</f>
        <v xml:space="preserve">http://slimages.macys.com/is/image/MCY/3798083 </v>
      </c>
    </row>
    <row r="274" spans="1:13" ht="15.2" customHeight="1" x14ac:dyDescent="0.2">
      <c r="A274" s="26" t="s">
        <v>4644</v>
      </c>
      <c r="B274" s="27" t="s">
        <v>4645</v>
      </c>
      <c r="C274" s="28">
        <v>1</v>
      </c>
      <c r="D274" s="29">
        <v>7.2</v>
      </c>
      <c r="E274" s="29">
        <v>7.2</v>
      </c>
      <c r="F274" s="30">
        <v>19.989999999999998</v>
      </c>
      <c r="G274" s="29">
        <v>19.989999999999998</v>
      </c>
      <c r="H274" s="28" t="s">
        <v>2354</v>
      </c>
      <c r="I274" s="27" t="s">
        <v>4</v>
      </c>
      <c r="J274" s="31" t="s">
        <v>5</v>
      </c>
      <c r="K274" s="27" t="s">
        <v>282</v>
      </c>
      <c r="L274" s="27" t="s">
        <v>349</v>
      </c>
      <c r="M274" s="32" t="str">
        <f>HYPERLINK("http://slimages.macys.com/is/image/MCY/3799633 ")</f>
        <v xml:space="preserve">http://slimages.macys.com/is/image/MCY/3799633 </v>
      </c>
    </row>
    <row r="275" spans="1:13" ht="15.2" customHeight="1" x14ac:dyDescent="0.2">
      <c r="A275" s="26" t="s">
        <v>8480</v>
      </c>
      <c r="B275" s="27" t="s">
        <v>8481</v>
      </c>
      <c r="C275" s="28">
        <v>1</v>
      </c>
      <c r="D275" s="29">
        <v>7.14</v>
      </c>
      <c r="E275" s="29">
        <v>7.14</v>
      </c>
      <c r="F275" s="30">
        <v>19.989999999999998</v>
      </c>
      <c r="G275" s="29">
        <v>19.989999999999998</v>
      </c>
      <c r="H275" s="28" t="s">
        <v>7430</v>
      </c>
      <c r="I275" s="27" t="s">
        <v>103</v>
      </c>
      <c r="J275" s="31" t="s">
        <v>52</v>
      </c>
      <c r="K275" s="27" t="s">
        <v>159</v>
      </c>
      <c r="L275" s="27" t="s">
        <v>160</v>
      </c>
      <c r="M275" s="32" t="str">
        <f>HYPERLINK("http://slimages.macys.com/is/image/MCY/3187538 ")</f>
        <v xml:space="preserve">http://slimages.macys.com/is/image/MCY/3187538 </v>
      </c>
    </row>
    <row r="276" spans="1:13" ht="15.2" customHeight="1" x14ac:dyDescent="0.2">
      <c r="A276" s="26" t="s">
        <v>10146</v>
      </c>
      <c r="B276" s="27" t="s">
        <v>10147</v>
      </c>
      <c r="C276" s="28">
        <v>1</v>
      </c>
      <c r="D276" s="29">
        <v>7</v>
      </c>
      <c r="E276" s="29">
        <v>7</v>
      </c>
      <c r="F276" s="30">
        <v>19.989999999999998</v>
      </c>
      <c r="G276" s="29">
        <v>19.989999999999998</v>
      </c>
      <c r="H276" s="28" t="s">
        <v>869</v>
      </c>
      <c r="I276" s="27" t="s">
        <v>49</v>
      </c>
      <c r="J276" s="31" t="s">
        <v>5</v>
      </c>
      <c r="K276" s="27" t="s">
        <v>196</v>
      </c>
      <c r="L276" s="27" t="s">
        <v>336</v>
      </c>
      <c r="M276" s="32" t="str">
        <f>HYPERLINK("http://slimages.macys.com/is/image/MCY/3779634 ")</f>
        <v xml:space="preserve">http://slimages.macys.com/is/image/MCY/3779634 </v>
      </c>
    </row>
    <row r="277" spans="1:13" ht="15.2" customHeight="1" x14ac:dyDescent="0.2">
      <c r="A277" s="26" t="s">
        <v>1914</v>
      </c>
      <c r="B277" s="27" t="s">
        <v>1915</v>
      </c>
      <c r="C277" s="28">
        <v>1</v>
      </c>
      <c r="D277" s="29">
        <v>7</v>
      </c>
      <c r="E277" s="29">
        <v>7</v>
      </c>
      <c r="F277" s="30">
        <v>19.989999999999998</v>
      </c>
      <c r="G277" s="29">
        <v>19.989999999999998</v>
      </c>
      <c r="H277" s="28" t="s">
        <v>380</v>
      </c>
      <c r="I277" s="27" t="s">
        <v>39</v>
      </c>
      <c r="J277" s="31" t="s">
        <v>52</v>
      </c>
      <c r="K277" s="27" t="s">
        <v>196</v>
      </c>
      <c r="L277" s="27" t="s">
        <v>260</v>
      </c>
      <c r="M277" s="32" t="str">
        <f>HYPERLINK("http://slimages.macys.com/is/image/MCY/3910801 ")</f>
        <v xml:space="preserve">http://slimages.macys.com/is/image/MCY/3910801 </v>
      </c>
    </row>
    <row r="278" spans="1:13" ht="15.2" customHeight="1" x14ac:dyDescent="0.2">
      <c r="A278" s="26" t="s">
        <v>865</v>
      </c>
      <c r="B278" s="27" t="s">
        <v>866</v>
      </c>
      <c r="C278" s="28">
        <v>3</v>
      </c>
      <c r="D278" s="29">
        <v>7</v>
      </c>
      <c r="E278" s="29">
        <v>21</v>
      </c>
      <c r="F278" s="30">
        <v>19.989999999999998</v>
      </c>
      <c r="G278" s="29">
        <v>59.97</v>
      </c>
      <c r="H278" s="28" t="s">
        <v>380</v>
      </c>
      <c r="I278" s="27" t="s">
        <v>39</v>
      </c>
      <c r="J278" s="31" t="s">
        <v>21</v>
      </c>
      <c r="K278" s="27" t="s">
        <v>196</v>
      </c>
      <c r="L278" s="27" t="s">
        <v>260</v>
      </c>
      <c r="M278" s="32" t="str">
        <f>HYPERLINK("http://slimages.macys.com/is/image/MCY/3910801 ")</f>
        <v xml:space="preserve">http://slimages.macys.com/is/image/MCY/3910801 </v>
      </c>
    </row>
    <row r="279" spans="1:13" ht="15.2" customHeight="1" x14ac:dyDescent="0.2">
      <c r="A279" s="26" t="s">
        <v>2985</v>
      </c>
      <c r="B279" s="27" t="s">
        <v>2986</v>
      </c>
      <c r="C279" s="28">
        <v>1</v>
      </c>
      <c r="D279" s="29">
        <v>7</v>
      </c>
      <c r="E279" s="29">
        <v>7</v>
      </c>
      <c r="F279" s="30">
        <v>19.989999999999998</v>
      </c>
      <c r="G279" s="29">
        <v>19.989999999999998</v>
      </c>
      <c r="H279" s="28" t="s">
        <v>2987</v>
      </c>
      <c r="I279" s="27" t="s">
        <v>94</v>
      </c>
      <c r="J279" s="31" t="s">
        <v>71</v>
      </c>
      <c r="K279" s="27" t="s">
        <v>282</v>
      </c>
      <c r="L279" s="27" t="s">
        <v>358</v>
      </c>
      <c r="M279" s="32" t="str">
        <f>HYPERLINK("http://slimages.macys.com/is/image/MCY/3832156 ")</f>
        <v xml:space="preserve">http://slimages.macys.com/is/image/MCY/3832156 </v>
      </c>
    </row>
    <row r="280" spans="1:13" ht="15.2" customHeight="1" x14ac:dyDescent="0.2">
      <c r="A280" s="26" t="s">
        <v>7567</v>
      </c>
      <c r="B280" s="27" t="s">
        <v>7568</v>
      </c>
      <c r="C280" s="28">
        <v>3</v>
      </c>
      <c r="D280" s="29">
        <v>7</v>
      </c>
      <c r="E280" s="29">
        <v>21</v>
      </c>
      <c r="F280" s="30">
        <v>19.989999999999998</v>
      </c>
      <c r="G280" s="29">
        <v>59.97</v>
      </c>
      <c r="H280" s="28" t="s">
        <v>2987</v>
      </c>
      <c r="I280" s="27" t="s">
        <v>94</v>
      </c>
      <c r="J280" s="31" t="s">
        <v>21</v>
      </c>
      <c r="K280" s="27" t="s">
        <v>282</v>
      </c>
      <c r="L280" s="27" t="s">
        <v>358</v>
      </c>
      <c r="M280" s="32" t="str">
        <f>HYPERLINK("http://slimages.macys.com/is/image/MCY/3832156 ")</f>
        <v xml:space="preserve">http://slimages.macys.com/is/image/MCY/3832156 </v>
      </c>
    </row>
    <row r="281" spans="1:13" ht="15.2" customHeight="1" x14ac:dyDescent="0.2">
      <c r="A281" s="26" t="s">
        <v>867</v>
      </c>
      <c r="B281" s="27" t="s">
        <v>868</v>
      </c>
      <c r="C281" s="28">
        <v>1</v>
      </c>
      <c r="D281" s="29">
        <v>7</v>
      </c>
      <c r="E281" s="29">
        <v>7</v>
      </c>
      <c r="F281" s="30">
        <v>19.989999999999998</v>
      </c>
      <c r="G281" s="29">
        <v>19.989999999999998</v>
      </c>
      <c r="H281" s="28" t="s">
        <v>380</v>
      </c>
      <c r="I281" s="27" t="s">
        <v>4</v>
      </c>
      <c r="J281" s="31" t="s">
        <v>40</v>
      </c>
      <c r="K281" s="27" t="s">
        <v>196</v>
      </c>
      <c r="L281" s="27" t="s">
        <v>260</v>
      </c>
      <c r="M281" s="32" t="str">
        <f>HYPERLINK("http://slimages.macys.com/is/image/MCY/3910801 ")</f>
        <v xml:space="preserve">http://slimages.macys.com/is/image/MCY/3910801 </v>
      </c>
    </row>
    <row r="282" spans="1:13" ht="15.2" customHeight="1" x14ac:dyDescent="0.2">
      <c r="A282" s="26" t="s">
        <v>870</v>
      </c>
      <c r="B282" s="27" t="s">
        <v>871</v>
      </c>
      <c r="C282" s="28">
        <v>2</v>
      </c>
      <c r="D282" s="29">
        <v>7</v>
      </c>
      <c r="E282" s="29">
        <v>14</v>
      </c>
      <c r="F282" s="30">
        <v>19.989999999999998</v>
      </c>
      <c r="G282" s="29">
        <v>39.979999999999997</v>
      </c>
      <c r="H282" s="28" t="s">
        <v>380</v>
      </c>
      <c r="I282" s="27" t="s">
        <v>189</v>
      </c>
      <c r="J282" s="31" t="s">
        <v>71</v>
      </c>
      <c r="K282" s="27" t="s">
        <v>196</v>
      </c>
      <c r="L282" s="27" t="s">
        <v>260</v>
      </c>
      <c r="M282" s="32" t="str">
        <f>HYPERLINK("http://slimages.macys.com/is/image/MCY/3910801 ")</f>
        <v xml:space="preserve">http://slimages.macys.com/is/image/MCY/3910801 </v>
      </c>
    </row>
    <row r="283" spans="1:13" ht="15.2" customHeight="1" x14ac:dyDescent="0.2">
      <c r="A283" s="26" t="s">
        <v>8699</v>
      </c>
      <c r="B283" s="27" t="s">
        <v>8700</v>
      </c>
      <c r="C283" s="28">
        <v>1</v>
      </c>
      <c r="D283" s="29">
        <v>7</v>
      </c>
      <c r="E283" s="29">
        <v>7</v>
      </c>
      <c r="F283" s="30">
        <v>19.989999999999998</v>
      </c>
      <c r="G283" s="29">
        <v>19.989999999999998</v>
      </c>
      <c r="H283" s="28" t="s">
        <v>2984</v>
      </c>
      <c r="I283" s="27" t="s">
        <v>82</v>
      </c>
      <c r="J283" s="31" t="s">
        <v>52</v>
      </c>
      <c r="K283" s="27" t="s">
        <v>196</v>
      </c>
      <c r="L283" s="27" t="s">
        <v>239</v>
      </c>
      <c r="M283" s="32" t="str">
        <f>HYPERLINK("http://slimages.macys.com/is/image/MCY/3685480 ")</f>
        <v xml:space="preserve">http://slimages.macys.com/is/image/MCY/3685480 </v>
      </c>
    </row>
    <row r="284" spans="1:13" ht="15.2" customHeight="1" x14ac:dyDescent="0.2">
      <c r="A284" s="26" t="s">
        <v>5544</v>
      </c>
      <c r="B284" s="27" t="s">
        <v>5545</v>
      </c>
      <c r="C284" s="28">
        <v>1</v>
      </c>
      <c r="D284" s="29">
        <v>7</v>
      </c>
      <c r="E284" s="29">
        <v>7</v>
      </c>
      <c r="F284" s="30">
        <v>19.989999999999998</v>
      </c>
      <c r="G284" s="29">
        <v>19.989999999999998</v>
      </c>
      <c r="H284" s="28" t="s">
        <v>380</v>
      </c>
      <c r="I284" s="27" t="s">
        <v>4</v>
      </c>
      <c r="J284" s="31" t="s">
        <v>52</v>
      </c>
      <c r="K284" s="27" t="s">
        <v>196</v>
      </c>
      <c r="L284" s="27" t="s">
        <v>260</v>
      </c>
      <c r="M284" s="32" t="str">
        <f t="shared" ref="M284:M292" si="0">HYPERLINK("http://slimages.macys.com/is/image/MCY/3910801 ")</f>
        <v xml:space="preserve">http://slimages.macys.com/is/image/MCY/3910801 </v>
      </c>
    </row>
    <row r="285" spans="1:13" ht="15.2" customHeight="1" x14ac:dyDescent="0.2">
      <c r="A285" s="26" t="s">
        <v>2355</v>
      </c>
      <c r="B285" s="27" t="s">
        <v>2356</v>
      </c>
      <c r="C285" s="28">
        <v>1</v>
      </c>
      <c r="D285" s="29">
        <v>7</v>
      </c>
      <c r="E285" s="29">
        <v>7</v>
      </c>
      <c r="F285" s="30">
        <v>19.989999999999998</v>
      </c>
      <c r="G285" s="29">
        <v>19.989999999999998</v>
      </c>
      <c r="H285" s="28" t="s">
        <v>380</v>
      </c>
      <c r="I285" s="27" t="s">
        <v>274</v>
      </c>
      <c r="J285" s="31" t="s">
        <v>21</v>
      </c>
      <c r="K285" s="27" t="s">
        <v>196</v>
      </c>
      <c r="L285" s="27" t="s">
        <v>260</v>
      </c>
      <c r="M285" s="32" t="str">
        <f t="shared" si="0"/>
        <v xml:space="preserve">http://slimages.macys.com/is/image/MCY/3910801 </v>
      </c>
    </row>
    <row r="286" spans="1:13" ht="15.2" customHeight="1" x14ac:dyDescent="0.2">
      <c r="A286" s="26" t="s">
        <v>381</v>
      </c>
      <c r="B286" s="27" t="s">
        <v>382</v>
      </c>
      <c r="C286" s="28">
        <v>1</v>
      </c>
      <c r="D286" s="29">
        <v>7</v>
      </c>
      <c r="E286" s="29">
        <v>7</v>
      </c>
      <c r="F286" s="30">
        <v>19.989999999999998</v>
      </c>
      <c r="G286" s="29">
        <v>19.989999999999998</v>
      </c>
      <c r="H286" s="28" t="s">
        <v>380</v>
      </c>
      <c r="I286" s="27" t="s">
        <v>39</v>
      </c>
      <c r="J286" s="31" t="s">
        <v>5</v>
      </c>
      <c r="K286" s="27" t="s">
        <v>196</v>
      </c>
      <c r="L286" s="27" t="s">
        <v>260</v>
      </c>
      <c r="M286" s="32" t="str">
        <f t="shared" si="0"/>
        <v xml:space="preserve">http://slimages.macys.com/is/image/MCY/3910801 </v>
      </c>
    </row>
    <row r="287" spans="1:13" ht="15.2" customHeight="1" x14ac:dyDescent="0.2">
      <c r="A287" s="26" t="s">
        <v>3902</v>
      </c>
      <c r="B287" s="27" t="s">
        <v>3903</v>
      </c>
      <c r="C287" s="28">
        <v>1</v>
      </c>
      <c r="D287" s="29">
        <v>7</v>
      </c>
      <c r="E287" s="29">
        <v>7</v>
      </c>
      <c r="F287" s="30">
        <v>19.989999999999998</v>
      </c>
      <c r="G287" s="29">
        <v>19.989999999999998</v>
      </c>
      <c r="H287" s="28" t="s">
        <v>380</v>
      </c>
      <c r="I287" s="27" t="s">
        <v>274</v>
      </c>
      <c r="J287" s="31" t="s">
        <v>5</v>
      </c>
      <c r="K287" s="27" t="s">
        <v>196</v>
      </c>
      <c r="L287" s="27" t="s">
        <v>260</v>
      </c>
      <c r="M287" s="32" t="str">
        <f t="shared" si="0"/>
        <v xml:space="preserve">http://slimages.macys.com/is/image/MCY/3910801 </v>
      </c>
    </row>
    <row r="288" spans="1:13" ht="15.2" customHeight="1" x14ac:dyDescent="0.2">
      <c r="A288" s="26" t="s">
        <v>2359</v>
      </c>
      <c r="B288" s="27" t="s">
        <v>2360</v>
      </c>
      <c r="C288" s="28">
        <v>1</v>
      </c>
      <c r="D288" s="29">
        <v>7</v>
      </c>
      <c r="E288" s="29">
        <v>7</v>
      </c>
      <c r="F288" s="30">
        <v>19.989999999999998</v>
      </c>
      <c r="G288" s="29">
        <v>19.989999999999998</v>
      </c>
      <c r="H288" s="28" t="s">
        <v>380</v>
      </c>
      <c r="I288" s="27" t="s">
        <v>189</v>
      </c>
      <c r="J288" s="31" t="s">
        <v>21</v>
      </c>
      <c r="K288" s="27" t="s">
        <v>196</v>
      </c>
      <c r="L288" s="27" t="s">
        <v>260</v>
      </c>
      <c r="M288" s="32" t="str">
        <f t="shared" si="0"/>
        <v xml:space="preserve">http://slimages.macys.com/is/image/MCY/3910801 </v>
      </c>
    </row>
    <row r="289" spans="1:13" ht="15.2" customHeight="1" x14ac:dyDescent="0.2">
      <c r="A289" s="26" t="s">
        <v>384</v>
      </c>
      <c r="B289" s="27" t="s">
        <v>385</v>
      </c>
      <c r="C289" s="28">
        <v>1</v>
      </c>
      <c r="D289" s="29">
        <v>7</v>
      </c>
      <c r="E289" s="29">
        <v>7</v>
      </c>
      <c r="F289" s="30">
        <v>19.989999999999998</v>
      </c>
      <c r="G289" s="29">
        <v>19.989999999999998</v>
      </c>
      <c r="H289" s="28" t="s">
        <v>380</v>
      </c>
      <c r="I289" s="27" t="s">
        <v>189</v>
      </c>
      <c r="J289" s="31" t="s">
        <v>5</v>
      </c>
      <c r="K289" s="27" t="s">
        <v>196</v>
      </c>
      <c r="L289" s="27" t="s">
        <v>260</v>
      </c>
      <c r="M289" s="32" t="str">
        <f t="shared" si="0"/>
        <v xml:space="preserve">http://slimages.macys.com/is/image/MCY/3910801 </v>
      </c>
    </row>
    <row r="290" spans="1:13" ht="15.2" customHeight="1" x14ac:dyDescent="0.2">
      <c r="A290" s="26" t="s">
        <v>2357</v>
      </c>
      <c r="B290" s="27" t="s">
        <v>2358</v>
      </c>
      <c r="C290" s="28">
        <v>2</v>
      </c>
      <c r="D290" s="29">
        <v>7</v>
      </c>
      <c r="E290" s="29">
        <v>14</v>
      </c>
      <c r="F290" s="30">
        <v>19.989999999999998</v>
      </c>
      <c r="G290" s="29">
        <v>39.979999999999997</v>
      </c>
      <c r="H290" s="28" t="s">
        <v>380</v>
      </c>
      <c r="I290" s="27" t="s">
        <v>274</v>
      </c>
      <c r="J290" s="31" t="s">
        <v>52</v>
      </c>
      <c r="K290" s="27" t="s">
        <v>196</v>
      </c>
      <c r="L290" s="27" t="s">
        <v>260</v>
      </c>
      <c r="M290" s="32" t="str">
        <f t="shared" si="0"/>
        <v xml:space="preserve">http://slimages.macys.com/is/image/MCY/3910801 </v>
      </c>
    </row>
    <row r="291" spans="1:13" ht="15.2" customHeight="1" x14ac:dyDescent="0.2">
      <c r="A291" s="26" t="s">
        <v>8482</v>
      </c>
      <c r="B291" s="27" t="s">
        <v>8483</v>
      </c>
      <c r="C291" s="28">
        <v>1</v>
      </c>
      <c r="D291" s="29">
        <v>7</v>
      </c>
      <c r="E291" s="29">
        <v>7</v>
      </c>
      <c r="F291" s="30">
        <v>19.989999999999998</v>
      </c>
      <c r="G291" s="29">
        <v>19.989999999999998</v>
      </c>
      <c r="H291" s="28" t="s">
        <v>380</v>
      </c>
      <c r="I291" s="27" t="s">
        <v>383</v>
      </c>
      <c r="J291" s="31" t="s">
        <v>5</v>
      </c>
      <c r="K291" s="27" t="s">
        <v>196</v>
      </c>
      <c r="L291" s="27" t="s">
        <v>260</v>
      </c>
      <c r="M291" s="32" t="str">
        <f t="shared" si="0"/>
        <v xml:space="preserve">http://slimages.macys.com/is/image/MCY/3910801 </v>
      </c>
    </row>
    <row r="292" spans="1:13" ht="15.2" customHeight="1" x14ac:dyDescent="0.2">
      <c r="A292" s="26" t="s">
        <v>1434</v>
      </c>
      <c r="B292" s="27" t="s">
        <v>1435</v>
      </c>
      <c r="C292" s="28">
        <v>2</v>
      </c>
      <c r="D292" s="29">
        <v>7</v>
      </c>
      <c r="E292" s="29">
        <v>14</v>
      </c>
      <c r="F292" s="30">
        <v>19.989999999999998</v>
      </c>
      <c r="G292" s="29">
        <v>39.979999999999997</v>
      </c>
      <c r="H292" s="28" t="s">
        <v>380</v>
      </c>
      <c r="I292" s="27" t="s">
        <v>383</v>
      </c>
      <c r="J292" s="31" t="s">
        <v>71</v>
      </c>
      <c r="K292" s="27" t="s">
        <v>196</v>
      </c>
      <c r="L292" s="27" t="s">
        <v>260</v>
      </c>
      <c r="M292" s="32" t="str">
        <f t="shared" si="0"/>
        <v xml:space="preserve">http://slimages.macys.com/is/image/MCY/3910801 </v>
      </c>
    </row>
    <row r="293" spans="1:13" ht="15.2" customHeight="1" x14ac:dyDescent="0.2">
      <c r="A293" s="26" t="s">
        <v>872</v>
      </c>
      <c r="B293" s="27" t="s">
        <v>873</v>
      </c>
      <c r="C293" s="28">
        <v>1</v>
      </c>
      <c r="D293" s="29">
        <v>6.75</v>
      </c>
      <c r="E293" s="29">
        <v>6.75</v>
      </c>
      <c r="F293" s="30">
        <v>12.99</v>
      </c>
      <c r="G293" s="29">
        <v>12.99</v>
      </c>
      <c r="H293" s="28" t="s">
        <v>874</v>
      </c>
      <c r="I293" s="27" t="s">
        <v>59</v>
      </c>
      <c r="J293" s="31" t="s">
        <v>21</v>
      </c>
      <c r="K293" s="27" t="s">
        <v>282</v>
      </c>
      <c r="L293" s="27" t="s">
        <v>225</v>
      </c>
      <c r="M293" s="32" t="str">
        <f>HYPERLINK("http://slimages.macys.com/is/image/MCY/3905659 ")</f>
        <v xml:space="preserve">http://slimages.macys.com/is/image/MCY/3905659 </v>
      </c>
    </row>
    <row r="294" spans="1:13" ht="15.2" customHeight="1" x14ac:dyDescent="0.2">
      <c r="A294" s="26" t="s">
        <v>10148</v>
      </c>
      <c r="B294" s="27" t="s">
        <v>10149</v>
      </c>
      <c r="C294" s="28">
        <v>1</v>
      </c>
      <c r="D294" s="29">
        <v>6.75</v>
      </c>
      <c r="E294" s="29">
        <v>6.75</v>
      </c>
      <c r="F294" s="30">
        <v>14.99</v>
      </c>
      <c r="G294" s="29">
        <v>14.99</v>
      </c>
      <c r="H294" s="28">
        <v>60444950</v>
      </c>
      <c r="I294" s="27" t="s">
        <v>33</v>
      </c>
      <c r="J294" s="31" t="s">
        <v>5</v>
      </c>
      <c r="K294" s="27" t="s">
        <v>208</v>
      </c>
      <c r="L294" s="27" t="s">
        <v>255</v>
      </c>
      <c r="M294" s="32" t="str">
        <f>HYPERLINK("http://slimages.macys.com/is/image/MCY/3927794 ")</f>
        <v xml:space="preserve">http://slimages.macys.com/is/image/MCY/3927794 </v>
      </c>
    </row>
    <row r="295" spans="1:13" ht="15.2" customHeight="1" x14ac:dyDescent="0.2">
      <c r="A295" s="26" t="s">
        <v>1440</v>
      </c>
      <c r="B295" s="27" t="s">
        <v>1441</v>
      </c>
      <c r="C295" s="28">
        <v>1</v>
      </c>
      <c r="D295" s="29">
        <v>6.75</v>
      </c>
      <c r="E295" s="29">
        <v>6.75</v>
      </c>
      <c r="F295" s="30">
        <v>12.99</v>
      </c>
      <c r="G295" s="29">
        <v>12.99</v>
      </c>
      <c r="H295" s="28" t="s">
        <v>874</v>
      </c>
      <c r="I295" s="27" t="s">
        <v>59</v>
      </c>
      <c r="J295" s="31" t="s">
        <v>52</v>
      </c>
      <c r="K295" s="27" t="s">
        <v>282</v>
      </c>
      <c r="L295" s="27" t="s">
        <v>225</v>
      </c>
      <c r="M295" s="32" t="str">
        <f>HYPERLINK("http://slimages.macys.com/is/image/MCY/3905659 ")</f>
        <v xml:space="preserve">http://slimages.macys.com/is/image/MCY/3905659 </v>
      </c>
    </row>
    <row r="296" spans="1:13" ht="15.2" customHeight="1" x14ac:dyDescent="0.2">
      <c r="A296" s="26" t="s">
        <v>10150</v>
      </c>
      <c r="B296" s="27" t="s">
        <v>10151</v>
      </c>
      <c r="C296" s="28">
        <v>1</v>
      </c>
      <c r="D296" s="29">
        <v>6.5</v>
      </c>
      <c r="E296" s="29">
        <v>6.5</v>
      </c>
      <c r="F296" s="30">
        <v>13.99</v>
      </c>
      <c r="G296" s="29">
        <v>13.99</v>
      </c>
      <c r="H296" s="28" t="s">
        <v>1446</v>
      </c>
      <c r="I296" s="27" t="s">
        <v>33</v>
      </c>
      <c r="J296" s="31" t="s">
        <v>40</v>
      </c>
      <c r="K296" s="27" t="s">
        <v>282</v>
      </c>
      <c r="L296" s="27" t="s">
        <v>260</v>
      </c>
      <c r="M296" s="32" t="str">
        <f>HYPERLINK("http://slimages.macys.com/is/image/MCY/3947138 ")</f>
        <v xml:space="preserve">http://slimages.macys.com/is/image/MCY/3947138 </v>
      </c>
    </row>
    <row r="297" spans="1:13" ht="15.2" customHeight="1" x14ac:dyDescent="0.2">
      <c r="A297" s="26" t="s">
        <v>1450</v>
      </c>
      <c r="B297" s="27" t="s">
        <v>1451</v>
      </c>
      <c r="C297" s="28">
        <v>1</v>
      </c>
      <c r="D297" s="29">
        <v>6.35</v>
      </c>
      <c r="E297" s="29">
        <v>6.35</v>
      </c>
      <c r="F297" s="30">
        <v>12.99</v>
      </c>
      <c r="G297" s="29">
        <v>12.99</v>
      </c>
      <c r="H297" s="28" t="s">
        <v>1452</v>
      </c>
      <c r="I297" s="27" t="s">
        <v>8</v>
      </c>
      <c r="J297" s="31" t="s">
        <v>52</v>
      </c>
      <c r="K297" s="27" t="s">
        <v>282</v>
      </c>
      <c r="L297" s="27" t="s">
        <v>349</v>
      </c>
      <c r="M297" s="32" t="str">
        <f>HYPERLINK("http://slimages.macys.com/is/image/MCY/3704433 ")</f>
        <v xml:space="preserve">http://slimages.macys.com/is/image/MCY/3704433 </v>
      </c>
    </row>
    <row r="298" spans="1:13" ht="15.2" customHeight="1" x14ac:dyDescent="0.2">
      <c r="A298" s="26" t="s">
        <v>8536</v>
      </c>
      <c r="B298" s="27" t="s">
        <v>8537</v>
      </c>
      <c r="C298" s="28">
        <v>1</v>
      </c>
      <c r="D298" s="29">
        <v>6.3</v>
      </c>
      <c r="E298" s="29">
        <v>6.3</v>
      </c>
      <c r="F298" s="30">
        <v>14.99</v>
      </c>
      <c r="G298" s="29">
        <v>14.99</v>
      </c>
      <c r="H298" s="28" t="s">
        <v>400</v>
      </c>
      <c r="I298" s="27" t="s">
        <v>103</v>
      </c>
      <c r="J298" s="31" t="s">
        <v>71</v>
      </c>
      <c r="K298" s="27" t="s">
        <v>159</v>
      </c>
      <c r="L298" s="27" t="s">
        <v>160</v>
      </c>
      <c r="M298" s="32" t="str">
        <f>HYPERLINK("http://slimages.macys.com/is/image/MCY/3722527 ")</f>
        <v xml:space="preserve">http://slimages.macys.com/is/image/MCY/3722527 </v>
      </c>
    </row>
    <row r="299" spans="1:13" ht="15.2" customHeight="1" x14ac:dyDescent="0.2">
      <c r="A299" s="26" t="s">
        <v>10152</v>
      </c>
      <c r="B299" s="27" t="s">
        <v>10153</v>
      </c>
      <c r="C299" s="28">
        <v>1</v>
      </c>
      <c r="D299" s="29">
        <v>6.3</v>
      </c>
      <c r="E299" s="29">
        <v>6.3</v>
      </c>
      <c r="F299" s="30">
        <v>14.99</v>
      </c>
      <c r="G299" s="29">
        <v>14.99</v>
      </c>
      <c r="H299" s="28" t="s">
        <v>1926</v>
      </c>
      <c r="I299" s="27" t="s">
        <v>4</v>
      </c>
      <c r="J299" s="31" t="s">
        <v>21</v>
      </c>
      <c r="K299" s="27" t="s">
        <v>159</v>
      </c>
      <c r="L299" s="27" t="s">
        <v>376</v>
      </c>
      <c r="M299" s="32" t="str">
        <f>HYPERLINK("http://slimages.macys.com/is/image/MCY/3781231 ")</f>
        <v xml:space="preserve">http://slimages.macys.com/is/image/MCY/3781231 </v>
      </c>
    </row>
    <row r="300" spans="1:13" ht="15.2" customHeight="1" x14ac:dyDescent="0.2">
      <c r="A300" s="26" t="s">
        <v>10154</v>
      </c>
      <c r="B300" s="27" t="s">
        <v>10155</v>
      </c>
      <c r="C300" s="28">
        <v>1</v>
      </c>
      <c r="D300" s="29">
        <v>6.3</v>
      </c>
      <c r="E300" s="29">
        <v>6.3</v>
      </c>
      <c r="F300" s="30">
        <v>14.99</v>
      </c>
      <c r="G300" s="29">
        <v>14.99</v>
      </c>
      <c r="H300" s="28" t="s">
        <v>7135</v>
      </c>
      <c r="I300" s="27" t="s">
        <v>333</v>
      </c>
      <c r="J300" s="31" t="s">
        <v>52</v>
      </c>
      <c r="K300" s="27" t="s">
        <v>159</v>
      </c>
      <c r="L300" s="27" t="s">
        <v>160</v>
      </c>
      <c r="M300" s="32" t="str">
        <f>HYPERLINK("http://slimages.macys.com/is/image/MCY/3597272 ")</f>
        <v xml:space="preserve">http://slimages.macys.com/is/image/MCY/3597272 </v>
      </c>
    </row>
    <row r="301" spans="1:13" ht="15.2" customHeight="1" x14ac:dyDescent="0.2">
      <c r="A301" s="26" t="s">
        <v>885</v>
      </c>
      <c r="B301" s="27" t="s">
        <v>886</v>
      </c>
      <c r="C301" s="28">
        <v>1</v>
      </c>
      <c r="D301" s="29">
        <v>6.25</v>
      </c>
      <c r="E301" s="29">
        <v>6.25</v>
      </c>
      <c r="F301" s="30">
        <v>12.99</v>
      </c>
      <c r="G301" s="29">
        <v>12.99</v>
      </c>
      <c r="H301" s="28" t="s">
        <v>887</v>
      </c>
      <c r="I301" s="27" t="s">
        <v>82</v>
      </c>
      <c r="J301" s="31" t="s">
        <v>40</v>
      </c>
      <c r="K301" s="27" t="s">
        <v>282</v>
      </c>
      <c r="L301" s="27" t="s">
        <v>283</v>
      </c>
      <c r="M301" s="32" t="str">
        <f>HYPERLINK("http://slimages.macys.com/is/image/MCY/3774229 ")</f>
        <v xml:space="preserve">http://slimages.macys.com/is/image/MCY/3774229 </v>
      </c>
    </row>
    <row r="302" spans="1:13" ht="15.2" customHeight="1" x14ac:dyDescent="0.2">
      <c r="A302" s="26" t="s">
        <v>2368</v>
      </c>
      <c r="B302" s="27" t="s">
        <v>2369</v>
      </c>
      <c r="C302" s="28">
        <v>1</v>
      </c>
      <c r="D302" s="29">
        <v>6.25</v>
      </c>
      <c r="E302" s="29">
        <v>6.25</v>
      </c>
      <c r="F302" s="30">
        <v>12.99</v>
      </c>
      <c r="G302" s="29">
        <v>12.99</v>
      </c>
      <c r="H302" s="28" t="s">
        <v>887</v>
      </c>
      <c r="I302" s="27" t="s">
        <v>82</v>
      </c>
      <c r="J302" s="31" t="s">
        <v>5</v>
      </c>
      <c r="K302" s="27" t="s">
        <v>282</v>
      </c>
      <c r="L302" s="27" t="s">
        <v>283</v>
      </c>
      <c r="M302" s="32" t="str">
        <f>HYPERLINK("http://slimages.macys.com/is/image/MCY/3774229 ")</f>
        <v xml:space="preserve">http://slimages.macys.com/is/image/MCY/3774229 </v>
      </c>
    </row>
    <row r="303" spans="1:13" ht="15.2" customHeight="1" x14ac:dyDescent="0.2">
      <c r="A303" s="26" t="s">
        <v>10156</v>
      </c>
      <c r="B303" s="27" t="s">
        <v>10157</v>
      </c>
      <c r="C303" s="28">
        <v>1</v>
      </c>
      <c r="D303" s="29">
        <v>6.25</v>
      </c>
      <c r="E303" s="29">
        <v>6.25</v>
      </c>
      <c r="F303" s="30">
        <v>12.99</v>
      </c>
      <c r="G303" s="29">
        <v>12.99</v>
      </c>
      <c r="H303" s="28" t="s">
        <v>887</v>
      </c>
      <c r="I303" s="27" t="s">
        <v>82</v>
      </c>
      <c r="J303" s="31" t="s">
        <v>52</v>
      </c>
      <c r="K303" s="27" t="s">
        <v>282</v>
      </c>
      <c r="L303" s="27" t="s">
        <v>283</v>
      </c>
      <c r="M303" s="32" t="str">
        <f>HYPERLINK("http://slimages.macys.com/is/image/MCY/3774229 ")</f>
        <v xml:space="preserve">http://slimages.macys.com/is/image/MCY/3774229 </v>
      </c>
    </row>
    <row r="304" spans="1:13" ht="15.2" customHeight="1" x14ac:dyDescent="0.2">
      <c r="A304" s="26" t="s">
        <v>7145</v>
      </c>
      <c r="B304" s="27" t="s">
        <v>7146</v>
      </c>
      <c r="C304" s="28">
        <v>2</v>
      </c>
      <c r="D304" s="29">
        <v>6.25</v>
      </c>
      <c r="E304" s="29">
        <v>12.5</v>
      </c>
      <c r="F304" s="30">
        <v>12.99</v>
      </c>
      <c r="G304" s="29">
        <v>25.98</v>
      </c>
      <c r="H304" s="28" t="s">
        <v>2372</v>
      </c>
      <c r="I304" s="27" t="s">
        <v>10</v>
      </c>
      <c r="J304" s="31" t="s">
        <v>52</v>
      </c>
      <c r="K304" s="27" t="s">
        <v>282</v>
      </c>
      <c r="L304" s="27" t="s">
        <v>283</v>
      </c>
      <c r="M304" s="32" t="str">
        <f>HYPERLINK("http://slimages.macys.com/is/image/MCY/3821010 ")</f>
        <v xml:space="preserve">http://slimages.macys.com/is/image/MCY/3821010 </v>
      </c>
    </row>
    <row r="305" spans="1:13" ht="15.2" customHeight="1" x14ac:dyDescent="0.2">
      <c r="A305" s="26" t="s">
        <v>9938</v>
      </c>
      <c r="B305" s="27" t="s">
        <v>9939</v>
      </c>
      <c r="C305" s="28">
        <v>3</v>
      </c>
      <c r="D305" s="29">
        <v>6.25</v>
      </c>
      <c r="E305" s="29">
        <v>18.75</v>
      </c>
      <c r="F305" s="30">
        <v>12.99</v>
      </c>
      <c r="G305" s="29">
        <v>38.97</v>
      </c>
      <c r="H305" s="28" t="s">
        <v>2372</v>
      </c>
      <c r="I305" s="27" t="s">
        <v>10</v>
      </c>
      <c r="J305" s="31" t="s">
        <v>5</v>
      </c>
      <c r="K305" s="27" t="s">
        <v>282</v>
      </c>
      <c r="L305" s="27" t="s">
        <v>283</v>
      </c>
      <c r="M305" s="32" t="str">
        <f>HYPERLINK("http://slimages.macys.com/is/image/MCY/3821010 ")</f>
        <v xml:space="preserve">http://slimages.macys.com/is/image/MCY/3821010 </v>
      </c>
    </row>
    <row r="306" spans="1:13" ht="15.2" customHeight="1" x14ac:dyDescent="0.2">
      <c r="A306" s="26" t="s">
        <v>10158</v>
      </c>
      <c r="B306" s="27" t="s">
        <v>10159</v>
      </c>
      <c r="C306" s="28">
        <v>1</v>
      </c>
      <c r="D306" s="29">
        <v>6.25</v>
      </c>
      <c r="E306" s="29">
        <v>6.25</v>
      </c>
      <c r="F306" s="30">
        <v>13.99</v>
      </c>
      <c r="G306" s="29">
        <v>13.99</v>
      </c>
      <c r="H306" s="28" t="s">
        <v>2374</v>
      </c>
      <c r="I306" s="27" t="s">
        <v>189</v>
      </c>
      <c r="J306" s="31" t="s">
        <v>5</v>
      </c>
      <c r="K306" s="27" t="s">
        <v>282</v>
      </c>
      <c r="L306" s="27" t="s">
        <v>260</v>
      </c>
      <c r="M306" s="32" t="str">
        <f>HYPERLINK("http://slimages.macys.com/is/image/MCY/3879621 ")</f>
        <v xml:space="preserve">http://slimages.macys.com/is/image/MCY/3879621 </v>
      </c>
    </row>
    <row r="307" spans="1:13" ht="15.2" customHeight="1" x14ac:dyDescent="0.2">
      <c r="A307" s="26" t="s">
        <v>8068</v>
      </c>
      <c r="B307" s="27" t="s">
        <v>8069</v>
      </c>
      <c r="C307" s="28">
        <v>2</v>
      </c>
      <c r="D307" s="29">
        <v>6.25</v>
      </c>
      <c r="E307" s="29">
        <v>12.5</v>
      </c>
      <c r="F307" s="30">
        <v>12.99</v>
      </c>
      <c r="G307" s="29">
        <v>25.98</v>
      </c>
      <c r="H307" s="28" t="s">
        <v>2372</v>
      </c>
      <c r="I307" s="27" t="s">
        <v>10</v>
      </c>
      <c r="J307" s="31" t="s">
        <v>21</v>
      </c>
      <c r="K307" s="27" t="s">
        <v>282</v>
      </c>
      <c r="L307" s="27" t="s">
        <v>283</v>
      </c>
      <c r="M307" s="32" t="str">
        <f>HYPERLINK("http://slimages.macys.com/is/image/MCY/3821010 ")</f>
        <v xml:space="preserve">http://slimages.macys.com/is/image/MCY/3821010 </v>
      </c>
    </row>
    <row r="308" spans="1:13" ht="15.2" customHeight="1" x14ac:dyDescent="0.2">
      <c r="A308" s="26" t="s">
        <v>2370</v>
      </c>
      <c r="B308" s="27" t="s">
        <v>2371</v>
      </c>
      <c r="C308" s="28">
        <v>1</v>
      </c>
      <c r="D308" s="29">
        <v>6.25</v>
      </c>
      <c r="E308" s="29">
        <v>6.25</v>
      </c>
      <c r="F308" s="30">
        <v>12.99</v>
      </c>
      <c r="G308" s="29">
        <v>12.99</v>
      </c>
      <c r="H308" s="28" t="s">
        <v>2372</v>
      </c>
      <c r="I308" s="27" t="s">
        <v>10</v>
      </c>
      <c r="J308" s="31" t="s">
        <v>40</v>
      </c>
      <c r="K308" s="27" t="s">
        <v>282</v>
      </c>
      <c r="L308" s="27" t="s">
        <v>283</v>
      </c>
      <c r="M308" s="32" t="str">
        <f>HYPERLINK("http://slimages.macys.com/is/image/MCY/3821010 ")</f>
        <v xml:space="preserve">http://slimages.macys.com/is/image/MCY/3821010 </v>
      </c>
    </row>
    <row r="309" spans="1:13" ht="15.2" customHeight="1" x14ac:dyDescent="0.2">
      <c r="A309" s="26" t="s">
        <v>2686</v>
      </c>
      <c r="B309" s="27" t="s">
        <v>2687</v>
      </c>
      <c r="C309" s="28">
        <v>1</v>
      </c>
      <c r="D309" s="29">
        <v>6.25</v>
      </c>
      <c r="E309" s="29">
        <v>6.25</v>
      </c>
      <c r="F309" s="30">
        <v>12.99</v>
      </c>
      <c r="G309" s="29">
        <v>12.99</v>
      </c>
      <c r="H309" s="28" t="s">
        <v>887</v>
      </c>
      <c r="I309" s="27" t="s">
        <v>82</v>
      </c>
      <c r="J309" s="31" t="s">
        <v>21</v>
      </c>
      <c r="K309" s="27" t="s">
        <v>282</v>
      </c>
      <c r="L309" s="27" t="s">
        <v>283</v>
      </c>
      <c r="M309" s="32" t="str">
        <f>HYPERLINK("http://slimages.macys.com/is/image/MCY/3774229 ")</f>
        <v xml:space="preserve">http://slimages.macys.com/is/image/MCY/3774229 </v>
      </c>
    </row>
    <row r="310" spans="1:13" ht="15.2" customHeight="1" x14ac:dyDescent="0.2">
      <c r="A310" s="26" t="s">
        <v>10160</v>
      </c>
      <c r="B310" s="27" t="s">
        <v>10161</v>
      </c>
      <c r="C310" s="28">
        <v>1</v>
      </c>
      <c r="D310" s="29">
        <v>6.15</v>
      </c>
      <c r="E310" s="29">
        <v>6.15</v>
      </c>
      <c r="F310" s="30">
        <v>13.99</v>
      </c>
      <c r="G310" s="29">
        <v>13.99</v>
      </c>
      <c r="H310" s="28" t="s">
        <v>407</v>
      </c>
      <c r="I310" s="27" t="s">
        <v>4</v>
      </c>
      <c r="J310" s="31" t="s">
        <v>21</v>
      </c>
      <c r="K310" s="27" t="s">
        <v>282</v>
      </c>
      <c r="L310" s="27" t="s">
        <v>260</v>
      </c>
      <c r="M310" s="32" t="str">
        <f>HYPERLINK("http://slimages.macys.com/is/image/MCY/2510761 ")</f>
        <v xml:space="preserve">http://slimages.macys.com/is/image/MCY/2510761 </v>
      </c>
    </row>
    <row r="311" spans="1:13" ht="15.2" customHeight="1" x14ac:dyDescent="0.2">
      <c r="A311" s="26" t="s">
        <v>10162</v>
      </c>
      <c r="B311" s="27" t="s">
        <v>10163</v>
      </c>
      <c r="C311" s="28">
        <v>1</v>
      </c>
      <c r="D311" s="29">
        <v>6.15</v>
      </c>
      <c r="E311" s="29">
        <v>6.15</v>
      </c>
      <c r="F311" s="30">
        <v>12.99</v>
      </c>
      <c r="G311" s="29">
        <v>12.99</v>
      </c>
      <c r="H311" s="28" t="s">
        <v>407</v>
      </c>
      <c r="I311" s="27"/>
      <c r="J311" s="31" t="s">
        <v>5</v>
      </c>
      <c r="K311" s="27" t="s">
        <v>282</v>
      </c>
      <c r="L311" s="27" t="s">
        <v>260</v>
      </c>
      <c r="M311" s="32" t="str">
        <f>HYPERLINK("http://slimages.macys.com/is/image/MCY/3232979 ")</f>
        <v xml:space="preserve">http://slimages.macys.com/is/image/MCY/3232979 </v>
      </c>
    </row>
    <row r="312" spans="1:13" ht="15.2" customHeight="1" x14ac:dyDescent="0.2">
      <c r="A312" s="26" t="s">
        <v>10164</v>
      </c>
      <c r="B312" s="27" t="s">
        <v>10165</v>
      </c>
      <c r="C312" s="28">
        <v>1</v>
      </c>
      <c r="D312" s="29">
        <v>6</v>
      </c>
      <c r="E312" s="29">
        <v>6</v>
      </c>
      <c r="F312" s="30">
        <v>12.99</v>
      </c>
      <c r="G312" s="29">
        <v>12.99</v>
      </c>
      <c r="H312" s="28" t="s">
        <v>894</v>
      </c>
      <c r="I312" s="27" t="s">
        <v>343</v>
      </c>
      <c r="J312" s="31" t="s">
        <v>71</v>
      </c>
      <c r="K312" s="27" t="s">
        <v>282</v>
      </c>
      <c r="L312" s="27" t="s">
        <v>312</v>
      </c>
      <c r="M312" s="32" t="str">
        <f>HYPERLINK("http://slimages.macys.com/is/image/MCY/3947468 ")</f>
        <v xml:space="preserve">http://slimages.macys.com/is/image/MCY/3947468 </v>
      </c>
    </row>
    <row r="313" spans="1:13" ht="15.2" customHeight="1" x14ac:dyDescent="0.2">
      <c r="A313" s="26" t="s">
        <v>10166</v>
      </c>
      <c r="B313" s="27" t="s">
        <v>10167</v>
      </c>
      <c r="C313" s="28">
        <v>1</v>
      </c>
      <c r="D313" s="29">
        <v>6</v>
      </c>
      <c r="E313" s="29">
        <v>6</v>
      </c>
      <c r="F313" s="30">
        <v>12.99</v>
      </c>
      <c r="G313" s="29">
        <v>12.99</v>
      </c>
      <c r="H313" s="28" t="s">
        <v>8224</v>
      </c>
      <c r="I313" s="27" t="s">
        <v>82</v>
      </c>
      <c r="J313" s="31" t="s">
        <v>5</v>
      </c>
      <c r="K313" s="27" t="s">
        <v>282</v>
      </c>
      <c r="L313" s="27" t="s">
        <v>393</v>
      </c>
      <c r="M313" s="32" t="str">
        <f>HYPERLINK("http://slimages.macys.com/is/image/MCY/3336154 ")</f>
        <v xml:space="preserve">http://slimages.macys.com/is/image/MCY/3336154 </v>
      </c>
    </row>
    <row r="314" spans="1:13" ht="15.2" customHeight="1" x14ac:dyDescent="0.2">
      <c r="A314" s="26" t="s">
        <v>412</v>
      </c>
      <c r="B314" s="27" t="s">
        <v>413</v>
      </c>
      <c r="C314" s="28">
        <v>1</v>
      </c>
      <c r="D314" s="29">
        <v>6</v>
      </c>
      <c r="E314" s="29">
        <v>6</v>
      </c>
      <c r="F314" s="30">
        <v>13.99</v>
      </c>
      <c r="G314" s="29">
        <v>13.99</v>
      </c>
      <c r="H314" s="28" t="s">
        <v>407</v>
      </c>
      <c r="I314" s="27" t="s">
        <v>26</v>
      </c>
      <c r="J314" s="31" t="s">
        <v>71</v>
      </c>
      <c r="K314" s="27" t="s">
        <v>282</v>
      </c>
      <c r="L314" s="27" t="s">
        <v>260</v>
      </c>
      <c r="M314" s="32" t="str">
        <f>HYPERLINK("http://slimages.macys.com/is/image/MCY/3910835 ")</f>
        <v xml:space="preserve">http://slimages.macys.com/is/image/MCY/3910835 </v>
      </c>
    </row>
    <row r="315" spans="1:13" ht="15.2" customHeight="1" x14ac:dyDescent="0.2">
      <c r="A315" s="26" t="s">
        <v>892</v>
      </c>
      <c r="B315" s="27" t="s">
        <v>893</v>
      </c>
      <c r="C315" s="28">
        <v>1</v>
      </c>
      <c r="D315" s="29">
        <v>6</v>
      </c>
      <c r="E315" s="29">
        <v>6</v>
      </c>
      <c r="F315" s="30">
        <v>12.99</v>
      </c>
      <c r="G315" s="29">
        <v>12.99</v>
      </c>
      <c r="H315" s="28" t="s">
        <v>894</v>
      </c>
      <c r="I315" s="27" t="s">
        <v>343</v>
      </c>
      <c r="J315" s="31" t="s">
        <v>5</v>
      </c>
      <c r="K315" s="27" t="s">
        <v>282</v>
      </c>
      <c r="L315" s="27" t="s">
        <v>312</v>
      </c>
      <c r="M315" s="32" t="str">
        <f>HYPERLINK("http://slimages.macys.com/is/image/MCY/3947468 ")</f>
        <v xml:space="preserve">http://slimages.macys.com/is/image/MCY/3947468 </v>
      </c>
    </row>
    <row r="316" spans="1:13" ht="15.2" customHeight="1" x14ac:dyDescent="0.2">
      <c r="A316" s="26" t="s">
        <v>2383</v>
      </c>
      <c r="B316" s="27" t="s">
        <v>2384</v>
      </c>
      <c r="C316" s="28">
        <v>1</v>
      </c>
      <c r="D316" s="29">
        <v>6</v>
      </c>
      <c r="E316" s="29">
        <v>6</v>
      </c>
      <c r="F316" s="30">
        <v>12.99</v>
      </c>
      <c r="G316" s="29">
        <v>12.99</v>
      </c>
      <c r="H316" s="28" t="s">
        <v>891</v>
      </c>
      <c r="I316" s="27" t="s">
        <v>478</v>
      </c>
      <c r="J316" s="31" t="s">
        <v>40</v>
      </c>
      <c r="K316" s="27" t="s">
        <v>282</v>
      </c>
      <c r="L316" s="27" t="s">
        <v>327</v>
      </c>
      <c r="M316" s="32" t="str">
        <f>HYPERLINK("http://slimages.macys.com/is/image/MCY/3773739 ")</f>
        <v xml:space="preserve">http://slimages.macys.com/is/image/MCY/3773739 </v>
      </c>
    </row>
    <row r="317" spans="1:13" ht="15.2" customHeight="1" x14ac:dyDescent="0.2">
      <c r="A317" s="26" t="s">
        <v>10168</v>
      </c>
      <c r="B317" s="27" t="s">
        <v>10169</v>
      </c>
      <c r="C317" s="28">
        <v>1</v>
      </c>
      <c r="D317" s="29">
        <v>6</v>
      </c>
      <c r="E317" s="29">
        <v>6</v>
      </c>
      <c r="F317" s="30">
        <v>12.99</v>
      </c>
      <c r="G317" s="29">
        <v>12.99</v>
      </c>
      <c r="H317" s="28" t="s">
        <v>890</v>
      </c>
      <c r="I317" s="27" t="s">
        <v>82</v>
      </c>
      <c r="J317" s="31" t="s">
        <v>52</v>
      </c>
      <c r="K317" s="27" t="s">
        <v>282</v>
      </c>
      <c r="L317" s="27" t="s">
        <v>283</v>
      </c>
      <c r="M317" s="32" t="str">
        <f>HYPERLINK("http://slimages.macys.com/is/image/MCY/3875958 ")</f>
        <v xml:space="preserve">http://slimages.macys.com/is/image/MCY/3875958 </v>
      </c>
    </row>
    <row r="318" spans="1:13" ht="15.2" customHeight="1" x14ac:dyDescent="0.2">
      <c r="A318" s="26" t="s">
        <v>1933</v>
      </c>
      <c r="B318" s="27" t="s">
        <v>1934</v>
      </c>
      <c r="C318" s="28">
        <v>1</v>
      </c>
      <c r="D318" s="29">
        <v>6</v>
      </c>
      <c r="E318" s="29">
        <v>6</v>
      </c>
      <c r="F318" s="30">
        <v>12.99</v>
      </c>
      <c r="G318" s="29">
        <v>12.99</v>
      </c>
      <c r="H318" s="28" t="s">
        <v>898</v>
      </c>
      <c r="I318" s="27" t="s">
        <v>215</v>
      </c>
      <c r="J318" s="31" t="s">
        <v>21</v>
      </c>
      <c r="K318" s="27" t="s">
        <v>282</v>
      </c>
      <c r="L318" s="27" t="s">
        <v>283</v>
      </c>
      <c r="M318" s="32" t="str">
        <f>HYPERLINK("http://slimages.macys.com/is/image/MCY/3875957 ")</f>
        <v xml:space="preserve">http://slimages.macys.com/is/image/MCY/3875957 </v>
      </c>
    </row>
    <row r="319" spans="1:13" ht="15.2" customHeight="1" x14ac:dyDescent="0.2">
      <c r="A319" s="26" t="s">
        <v>2387</v>
      </c>
      <c r="B319" s="27" t="s">
        <v>2388</v>
      </c>
      <c r="C319" s="28">
        <v>1</v>
      </c>
      <c r="D319" s="29">
        <v>6</v>
      </c>
      <c r="E319" s="29">
        <v>6</v>
      </c>
      <c r="F319" s="30">
        <v>12.99</v>
      </c>
      <c r="G319" s="29">
        <v>12.99</v>
      </c>
      <c r="H319" s="28" t="s">
        <v>890</v>
      </c>
      <c r="I319" s="27" t="s">
        <v>82</v>
      </c>
      <c r="J319" s="31" t="s">
        <v>21</v>
      </c>
      <c r="K319" s="27" t="s">
        <v>282</v>
      </c>
      <c r="L319" s="27" t="s">
        <v>283</v>
      </c>
      <c r="M319" s="32" t="str">
        <f>HYPERLINK("http://slimages.macys.com/is/image/MCY/3875958 ")</f>
        <v xml:space="preserve">http://slimages.macys.com/is/image/MCY/3875958 </v>
      </c>
    </row>
    <row r="320" spans="1:13" ht="15.2" customHeight="1" x14ac:dyDescent="0.2">
      <c r="A320" s="26" t="s">
        <v>2379</v>
      </c>
      <c r="B320" s="27" t="s">
        <v>2380</v>
      </c>
      <c r="C320" s="28">
        <v>2</v>
      </c>
      <c r="D320" s="29">
        <v>6</v>
      </c>
      <c r="E320" s="29">
        <v>12</v>
      </c>
      <c r="F320" s="30">
        <v>12.99</v>
      </c>
      <c r="G320" s="29">
        <v>25.98</v>
      </c>
      <c r="H320" s="28" t="s">
        <v>890</v>
      </c>
      <c r="I320" s="27" t="s">
        <v>82</v>
      </c>
      <c r="J320" s="31" t="s">
        <v>40</v>
      </c>
      <c r="K320" s="27" t="s">
        <v>282</v>
      </c>
      <c r="L320" s="27" t="s">
        <v>283</v>
      </c>
      <c r="M320" s="32" t="str">
        <f>HYPERLINK("http://slimages.macys.com/is/image/MCY/3875958 ")</f>
        <v xml:space="preserve">http://slimages.macys.com/is/image/MCY/3875958 </v>
      </c>
    </row>
    <row r="321" spans="1:13" ht="15.2" customHeight="1" x14ac:dyDescent="0.2">
      <c r="A321" s="26" t="s">
        <v>2381</v>
      </c>
      <c r="B321" s="27" t="s">
        <v>2382</v>
      </c>
      <c r="C321" s="28">
        <v>1</v>
      </c>
      <c r="D321" s="29">
        <v>6</v>
      </c>
      <c r="E321" s="29">
        <v>6</v>
      </c>
      <c r="F321" s="30">
        <v>12.99</v>
      </c>
      <c r="G321" s="29">
        <v>12.99</v>
      </c>
      <c r="H321" s="28" t="s">
        <v>1502</v>
      </c>
      <c r="I321" s="27" t="s">
        <v>82</v>
      </c>
      <c r="J321" s="31" t="s">
        <v>5</v>
      </c>
      <c r="K321" s="27" t="s">
        <v>282</v>
      </c>
      <c r="L321" s="27" t="s">
        <v>283</v>
      </c>
      <c r="M321" s="32" t="str">
        <f>HYPERLINK("http://slimages.macys.com/is/image/MCY/3910978 ")</f>
        <v xml:space="preserve">http://slimages.macys.com/is/image/MCY/3910978 </v>
      </c>
    </row>
    <row r="322" spans="1:13" ht="15.2" customHeight="1" x14ac:dyDescent="0.2">
      <c r="A322" s="26" t="s">
        <v>7438</v>
      </c>
      <c r="B322" s="27" t="s">
        <v>7439</v>
      </c>
      <c r="C322" s="28">
        <v>1</v>
      </c>
      <c r="D322" s="29">
        <v>5.95</v>
      </c>
      <c r="E322" s="29">
        <v>5.95</v>
      </c>
      <c r="F322" s="30">
        <v>12.99</v>
      </c>
      <c r="G322" s="29">
        <v>12.99</v>
      </c>
      <c r="H322" s="28" t="s">
        <v>6055</v>
      </c>
      <c r="I322" s="27" t="s">
        <v>94</v>
      </c>
      <c r="J322" s="31" t="s">
        <v>40</v>
      </c>
      <c r="K322" s="27" t="s">
        <v>282</v>
      </c>
      <c r="L322" s="27" t="s">
        <v>358</v>
      </c>
      <c r="M322" s="32" t="str">
        <f>HYPERLINK("http://slimages.macys.com/is/image/MCY/3773690 ")</f>
        <v xml:space="preserve">http://slimages.macys.com/is/image/MCY/3773690 </v>
      </c>
    </row>
    <row r="323" spans="1:13" ht="15.2" customHeight="1" x14ac:dyDescent="0.2">
      <c r="A323" s="26" t="s">
        <v>5479</v>
      </c>
      <c r="B323" s="27" t="s">
        <v>5480</v>
      </c>
      <c r="C323" s="28">
        <v>1</v>
      </c>
      <c r="D323" s="29">
        <v>5.95</v>
      </c>
      <c r="E323" s="29">
        <v>5.95</v>
      </c>
      <c r="F323" s="30">
        <v>12.99</v>
      </c>
      <c r="G323" s="29">
        <v>12.99</v>
      </c>
      <c r="H323" s="28" t="s">
        <v>1519</v>
      </c>
      <c r="I323" s="27" t="s">
        <v>82</v>
      </c>
      <c r="J323" s="31" t="s">
        <v>5</v>
      </c>
      <c r="K323" s="27" t="s">
        <v>282</v>
      </c>
      <c r="L323" s="27" t="s">
        <v>358</v>
      </c>
      <c r="M323" s="32" t="str">
        <f>HYPERLINK("http://slimages.macys.com/is/image/MCY/3773921 ")</f>
        <v xml:space="preserve">http://slimages.macys.com/is/image/MCY/3773921 </v>
      </c>
    </row>
    <row r="324" spans="1:13" ht="15.2" customHeight="1" x14ac:dyDescent="0.2">
      <c r="A324" s="26" t="s">
        <v>7806</v>
      </c>
      <c r="B324" s="27" t="s">
        <v>7807</v>
      </c>
      <c r="C324" s="28">
        <v>1</v>
      </c>
      <c r="D324" s="29">
        <v>5.95</v>
      </c>
      <c r="E324" s="29">
        <v>5.95</v>
      </c>
      <c r="F324" s="30">
        <v>12.99</v>
      </c>
      <c r="G324" s="29">
        <v>12.99</v>
      </c>
      <c r="H324" s="28" t="s">
        <v>6055</v>
      </c>
      <c r="I324" s="27" t="s">
        <v>94</v>
      </c>
      <c r="J324" s="31" t="s">
        <v>5</v>
      </c>
      <c r="K324" s="27" t="s">
        <v>282</v>
      </c>
      <c r="L324" s="27" t="s">
        <v>358</v>
      </c>
      <c r="M324" s="32" t="str">
        <f>HYPERLINK("http://slimages.macys.com/is/image/MCY/3773690 ")</f>
        <v xml:space="preserve">http://slimages.macys.com/is/image/MCY/3773690 </v>
      </c>
    </row>
    <row r="325" spans="1:13" ht="15.2" customHeight="1" x14ac:dyDescent="0.2">
      <c r="A325" s="26" t="s">
        <v>10170</v>
      </c>
      <c r="B325" s="27" t="s">
        <v>10171</v>
      </c>
      <c r="C325" s="28">
        <v>1</v>
      </c>
      <c r="D325" s="29">
        <v>5.95</v>
      </c>
      <c r="E325" s="29">
        <v>5.95</v>
      </c>
      <c r="F325" s="30">
        <v>12.99</v>
      </c>
      <c r="G325" s="29">
        <v>12.99</v>
      </c>
      <c r="H325" s="28" t="s">
        <v>901</v>
      </c>
      <c r="I325" s="27" t="s">
        <v>271</v>
      </c>
      <c r="J325" s="31" t="s">
        <v>40</v>
      </c>
      <c r="K325" s="27" t="s">
        <v>282</v>
      </c>
      <c r="L325" s="27" t="s">
        <v>358</v>
      </c>
      <c r="M325" s="32" t="str">
        <f>HYPERLINK("http://slimages.macys.com/is/image/MCY/3832158 ")</f>
        <v xml:space="preserve">http://slimages.macys.com/is/image/MCY/3832158 </v>
      </c>
    </row>
    <row r="326" spans="1:13" ht="15.2" customHeight="1" x14ac:dyDescent="0.2">
      <c r="A326" s="26" t="s">
        <v>10172</v>
      </c>
      <c r="B326" s="27" t="s">
        <v>10173</v>
      </c>
      <c r="C326" s="28">
        <v>2</v>
      </c>
      <c r="D326" s="29">
        <v>5.75</v>
      </c>
      <c r="E326" s="29">
        <v>11.5</v>
      </c>
      <c r="F326" s="30">
        <v>12.99</v>
      </c>
      <c r="G326" s="29">
        <v>25.98</v>
      </c>
      <c r="H326" s="28" t="s">
        <v>1536</v>
      </c>
      <c r="I326" s="27" t="s">
        <v>22</v>
      </c>
      <c r="J326" s="31" t="s">
        <v>40</v>
      </c>
      <c r="K326" s="27" t="s">
        <v>282</v>
      </c>
      <c r="L326" s="27" t="s">
        <v>349</v>
      </c>
      <c r="M326" s="32" t="str">
        <f>HYPERLINK("http://slimages.macys.com/is/image/MCY/3755122 ")</f>
        <v xml:space="preserve">http://slimages.macys.com/is/image/MCY/3755122 </v>
      </c>
    </row>
    <row r="327" spans="1:13" ht="15.2" customHeight="1" x14ac:dyDescent="0.2">
      <c r="A327" s="26" t="s">
        <v>8086</v>
      </c>
      <c r="B327" s="27" t="s">
        <v>8087</v>
      </c>
      <c r="C327" s="28">
        <v>2</v>
      </c>
      <c r="D327" s="29">
        <v>5.75</v>
      </c>
      <c r="E327" s="29">
        <v>11.5</v>
      </c>
      <c r="F327" s="30">
        <v>12.99</v>
      </c>
      <c r="G327" s="29">
        <v>25.98</v>
      </c>
      <c r="H327" s="28" t="s">
        <v>1536</v>
      </c>
      <c r="I327" s="27" t="s">
        <v>22</v>
      </c>
      <c r="J327" s="31" t="s">
        <v>52</v>
      </c>
      <c r="K327" s="27" t="s">
        <v>282</v>
      </c>
      <c r="L327" s="27" t="s">
        <v>349</v>
      </c>
      <c r="M327" s="32" t="str">
        <f>HYPERLINK("http://slimages.macys.com/is/image/MCY/3755122 ")</f>
        <v xml:space="preserve">http://slimages.macys.com/is/image/MCY/3755122 </v>
      </c>
    </row>
    <row r="328" spans="1:13" ht="15.2" customHeight="1" x14ac:dyDescent="0.2">
      <c r="A328" s="26" t="s">
        <v>9943</v>
      </c>
      <c r="B328" s="27" t="s">
        <v>9944</v>
      </c>
      <c r="C328" s="28">
        <v>2</v>
      </c>
      <c r="D328" s="29">
        <v>5.75</v>
      </c>
      <c r="E328" s="29">
        <v>11.5</v>
      </c>
      <c r="F328" s="30">
        <v>12.99</v>
      </c>
      <c r="G328" s="29">
        <v>25.98</v>
      </c>
      <c r="H328" s="28" t="s">
        <v>1536</v>
      </c>
      <c r="I328" s="27" t="s">
        <v>22</v>
      </c>
      <c r="J328" s="31" t="s">
        <v>21</v>
      </c>
      <c r="K328" s="27" t="s">
        <v>282</v>
      </c>
      <c r="L328" s="27" t="s">
        <v>349</v>
      </c>
      <c r="M328" s="32" t="str">
        <f>HYPERLINK("http://slimages.macys.com/is/image/MCY/3755122 ")</f>
        <v xml:space="preserve">http://slimages.macys.com/is/image/MCY/3755122 </v>
      </c>
    </row>
    <row r="329" spans="1:13" ht="15.2" customHeight="1" x14ac:dyDescent="0.2">
      <c r="A329" s="26" t="s">
        <v>909</v>
      </c>
      <c r="B329" s="27" t="s">
        <v>910</v>
      </c>
      <c r="C329" s="28">
        <v>2</v>
      </c>
      <c r="D329" s="29">
        <v>5.75</v>
      </c>
      <c r="E329" s="29">
        <v>11.5</v>
      </c>
      <c r="F329" s="30">
        <v>12.99</v>
      </c>
      <c r="G329" s="29">
        <v>25.98</v>
      </c>
      <c r="H329" s="28" t="s">
        <v>906</v>
      </c>
      <c r="I329" s="27" t="s">
        <v>189</v>
      </c>
      <c r="J329" s="31" t="s">
        <v>21</v>
      </c>
      <c r="K329" s="27" t="s">
        <v>282</v>
      </c>
      <c r="L329" s="27" t="s">
        <v>283</v>
      </c>
      <c r="M329" s="32" t="str">
        <f>HYPERLINK("http://slimages.macys.com/is/image/MCY/3832194 ")</f>
        <v xml:space="preserve">http://slimages.macys.com/is/image/MCY/3832194 </v>
      </c>
    </row>
    <row r="330" spans="1:13" ht="15.2" customHeight="1" x14ac:dyDescent="0.2">
      <c r="A330" s="26" t="s">
        <v>426</v>
      </c>
      <c r="B330" s="27" t="s">
        <v>427</v>
      </c>
      <c r="C330" s="28">
        <v>1</v>
      </c>
      <c r="D330" s="29">
        <v>5.75</v>
      </c>
      <c r="E330" s="29">
        <v>5.75</v>
      </c>
      <c r="F330" s="30">
        <v>12.99</v>
      </c>
      <c r="G330" s="29">
        <v>12.99</v>
      </c>
      <c r="H330" s="28" t="s">
        <v>428</v>
      </c>
      <c r="I330" s="27" t="s">
        <v>82</v>
      </c>
      <c r="J330" s="31" t="s">
        <v>52</v>
      </c>
      <c r="K330" s="27" t="s">
        <v>282</v>
      </c>
      <c r="L330" s="27" t="s">
        <v>283</v>
      </c>
      <c r="M330" s="32" t="str">
        <f>HYPERLINK("http://slimages.macys.com/is/image/MCY/3773484 ")</f>
        <v xml:space="preserve">http://slimages.macys.com/is/image/MCY/3773484 </v>
      </c>
    </row>
    <row r="331" spans="1:13" ht="15.2" customHeight="1" x14ac:dyDescent="0.2">
      <c r="A331" s="26" t="s">
        <v>2398</v>
      </c>
      <c r="B331" s="27" t="s">
        <v>2399</v>
      </c>
      <c r="C331" s="28">
        <v>1</v>
      </c>
      <c r="D331" s="29">
        <v>5.75</v>
      </c>
      <c r="E331" s="29">
        <v>5.75</v>
      </c>
      <c r="F331" s="30">
        <v>12.99</v>
      </c>
      <c r="G331" s="29">
        <v>12.99</v>
      </c>
      <c r="H331" s="28" t="s">
        <v>428</v>
      </c>
      <c r="I331" s="27" t="s">
        <v>82</v>
      </c>
      <c r="J331" s="31" t="s">
        <v>71</v>
      </c>
      <c r="K331" s="27" t="s">
        <v>282</v>
      </c>
      <c r="L331" s="27" t="s">
        <v>283</v>
      </c>
      <c r="M331" s="32" t="str">
        <f>HYPERLINK("http://slimages.macys.com/is/image/MCY/3773484 ")</f>
        <v xml:space="preserve">http://slimages.macys.com/is/image/MCY/3773484 </v>
      </c>
    </row>
    <row r="332" spans="1:13" ht="15.2" customHeight="1" x14ac:dyDescent="0.2">
      <c r="A332" s="26" t="s">
        <v>904</v>
      </c>
      <c r="B332" s="27" t="s">
        <v>905</v>
      </c>
      <c r="C332" s="28">
        <v>1</v>
      </c>
      <c r="D332" s="29">
        <v>5.75</v>
      </c>
      <c r="E332" s="29">
        <v>5.75</v>
      </c>
      <c r="F332" s="30">
        <v>12.99</v>
      </c>
      <c r="G332" s="29">
        <v>12.99</v>
      </c>
      <c r="H332" s="28" t="s">
        <v>906</v>
      </c>
      <c r="I332" s="27" t="s">
        <v>189</v>
      </c>
      <c r="J332" s="31" t="s">
        <v>5</v>
      </c>
      <c r="K332" s="27" t="s">
        <v>282</v>
      </c>
      <c r="L332" s="27" t="s">
        <v>283</v>
      </c>
      <c r="M332" s="32" t="str">
        <f>HYPERLINK("http://slimages.macys.com/is/image/MCY/3832194 ")</f>
        <v xml:space="preserve">http://slimages.macys.com/is/image/MCY/3832194 </v>
      </c>
    </row>
    <row r="333" spans="1:13" ht="15.2" customHeight="1" x14ac:dyDescent="0.2">
      <c r="A333" s="26" t="s">
        <v>1534</v>
      </c>
      <c r="B333" s="27" t="s">
        <v>1535</v>
      </c>
      <c r="C333" s="28">
        <v>1</v>
      </c>
      <c r="D333" s="29">
        <v>5.75</v>
      </c>
      <c r="E333" s="29">
        <v>5.75</v>
      </c>
      <c r="F333" s="30">
        <v>12.99</v>
      </c>
      <c r="G333" s="29">
        <v>12.99</v>
      </c>
      <c r="H333" s="28" t="s">
        <v>1536</v>
      </c>
      <c r="I333" s="27" t="s">
        <v>22</v>
      </c>
      <c r="J333" s="31" t="s">
        <v>5</v>
      </c>
      <c r="K333" s="27" t="s">
        <v>282</v>
      </c>
      <c r="L333" s="27" t="s">
        <v>349</v>
      </c>
      <c r="M333" s="32" t="str">
        <f>HYPERLINK("http://slimages.macys.com/is/image/MCY/3755122 ")</f>
        <v xml:space="preserve">http://slimages.macys.com/is/image/MCY/3755122 </v>
      </c>
    </row>
    <row r="334" spans="1:13" ht="15.2" customHeight="1" x14ac:dyDescent="0.2">
      <c r="A334" s="26" t="s">
        <v>907</v>
      </c>
      <c r="B334" s="27" t="s">
        <v>908</v>
      </c>
      <c r="C334" s="28">
        <v>1</v>
      </c>
      <c r="D334" s="29">
        <v>5.75</v>
      </c>
      <c r="E334" s="29">
        <v>5.75</v>
      </c>
      <c r="F334" s="30">
        <v>12.99</v>
      </c>
      <c r="G334" s="29">
        <v>12.99</v>
      </c>
      <c r="H334" s="28" t="s">
        <v>428</v>
      </c>
      <c r="I334" s="27" t="s">
        <v>82</v>
      </c>
      <c r="J334" s="31" t="s">
        <v>21</v>
      </c>
      <c r="K334" s="27" t="s">
        <v>282</v>
      </c>
      <c r="L334" s="27" t="s">
        <v>283</v>
      </c>
      <c r="M334" s="32" t="str">
        <f>HYPERLINK("http://slimages.macys.com/is/image/MCY/3773484 ")</f>
        <v xml:space="preserve">http://slimages.macys.com/is/image/MCY/3773484 </v>
      </c>
    </row>
    <row r="335" spans="1:13" ht="15.2" customHeight="1" x14ac:dyDescent="0.2">
      <c r="A335" s="26" t="s">
        <v>9333</v>
      </c>
      <c r="B335" s="27" t="s">
        <v>9334</v>
      </c>
      <c r="C335" s="28">
        <v>1</v>
      </c>
      <c r="D335" s="29">
        <v>5.75</v>
      </c>
      <c r="E335" s="29">
        <v>5.75</v>
      </c>
      <c r="F335" s="30">
        <v>12.99</v>
      </c>
      <c r="G335" s="29">
        <v>12.99</v>
      </c>
      <c r="H335" s="28" t="s">
        <v>9335</v>
      </c>
      <c r="I335" s="27" t="s">
        <v>2496</v>
      </c>
      <c r="J335" s="31" t="s">
        <v>5</v>
      </c>
      <c r="K335" s="27" t="s">
        <v>282</v>
      </c>
      <c r="L335" s="27" t="s">
        <v>225</v>
      </c>
      <c r="M335" s="32" t="str">
        <f>HYPERLINK("http://slimages.macys.com/is/image/MCY/3652630 ")</f>
        <v xml:space="preserve">http://slimages.macys.com/is/image/MCY/3652630 </v>
      </c>
    </row>
    <row r="336" spans="1:13" ht="15.2" customHeight="1" x14ac:dyDescent="0.2">
      <c r="A336" s="26" t="s">
        <v>2400</v>
      </c>
      <c r="B336" s="27" t="s">
        <v>2401</v>
      </c>
      <c r="C336" s="28">
        <v>3</v>
      </c>
      <c r="D336" s="29">
        <v>5.75</v>
      </c>
      <c r="E336" s="29">
        <v>17.25</v>
      </c>
      <c r="F336" s="30">
        <v>12.99</v>
      </c>
      <c r="G336" s="29">
        <v>38.97</v>
      </c>
      <c r="H336" s="28" t="s">
        <v>428</v>
      </c>
      <c r="I336" s="27" t="s">
        <v>82</v>
      </c>
      <c r="J336" s="31" t="s">
        <v>5</v>
      </c>
      <c r="K336" s="27" t="s">
        <v>282</v>
      </c>
      <c r="L336" s="27" t="s">
        <v>283</v>
      </c>
      <c r="M336" s="32" t="str">
        <f>HYPERLINK("http://slimages.macys.com/is/image/MCY/3773484 ")</f>
        <v xml:space="preserve">http://slimages.macys.com/is/image/MCY/3773484 </v>
      </c>
    </row>
    <row r="337" spans="1:13" ht="15.2" customHeight="1" x14ac:dyDescent="0.2">
      <c r="A337" s="26" t="s">
        <v>440</v>
      </c>
      <c r="B337" s="27" t="s">
        <v>441</v>
      </c>
      <c r="C337" s="28">
        <v>1</v>
      </c>
      <c r="D337" s="29">
        <v>5.5</v>
      </c>
      <c r="E337" s="29">
        <v>5.5</v>
      </c>
      <c r="F337" s="30">
        <v>12.99</v>
      </c>
      <c r="G337" s="29">
        <v>12.99</v>
      </c>
      <c r="H337" s="28" t="s">
        <v>442</v>
      </c>
      <c r="I337" s="27" t="s">
        <v>144</v>
      </c>
      <c r="J337" s="31" t="s">
        <v>40</v>
      </c>
      <c r="K337" s="27" t="s">
        <v>282</v>
      </c>
      <c r="L337" s="27" t="s">
        <v>312</v>
      </c>
      <c r="M337" s="32" t="str">
        <f>HYPERLINK("http://slimages.macys.com/is/image/MCY/3777671 ")</f>
        <v xml:space="preserve">http://slimages.macys.com/is/image/MCY/3777671 </v>
      </c>
    </row>
    <row r="338" spans="1:13" ht="15.2" customHeight="1" x14ac:dyDescent="0.2">
      <c r="A338" s="26" t="s">
        <v>1942</v>
      </c>
      <c r="B338" s="27" t="s">
        <v>1943</v>
      </c>
      <c r="C338" s="28">
        <v>2</v>
      </c>
      <c r="D338" s="29">
        <v>5.5</v>
      </c>
      <c r="E338" s="29">
        <v>11</v>
      </c>
      <c r="F338" s="30">
        <v>12.99</v>
      </c>
      <c r="G338" s="29">
        <v>25.98</v>
      </c>
      <c r="H338" s="28" t="s">
        <v>1553</v>
      </c>
      <c r="I338" s="27" t="s">
        <v>4</v>
      </c>
      <c r="J338" s="31" t="s">
        <v>5</v>
      </c>
      <c r="K338" s="27" t="s">
        <v>282</v>
      </c>
      <c r="L338" s="27" t="s">
        <v>283</v>
      </c>
      <c r="M338" s="32" t="str">
        <f>HYPERLINK("http://slimages.macys.com/is/image/MCY/3755046 ")</f>
        <v xml:space="preserve">http://slimages.macys.com/is/image/MCY/3755046 </v>
      </c>
    </row>
    <row r="339" spans="1:13" ht="15.2" customHeight="1" x14ac:dyDescent="0.2">
      <c r="A339" s="26" t="s">
        <v>8566</v>
      </c>
      <c r="B339" s="27" t="s">
        <v>8567</v>
      </c>
      <c r="C339" s="28">
        <v>1</v>
      </c>
      <c r="D339" s="29">
        <v>5.5</v>
      </c>
      <c r="E339" s="29">
        <v>5.5</v>
      </c>
      <c r="F339" s="30">
        <v>12.99</v>
      </c>
      <c r="G339" s="29">
        <v>12.99</v>
      </c>
      <c r="H339" s="28" t="s">
        <v>8568</v>
      </c>
      <c r="I339" s="27" t="s">
        <v>82</v>
      </c>
      <c r="J339" s="31" t="s">
        <v>5</v>
      </c>
      <c r="K339" s="27" t="s">
        <v>282</v>
      </c>
      <c r="L339" s="27" t="s">
        <v>283</v>
      </c>
      <c r="M339" s="32" t="str">
        <f>HYPERLINK("http://slimages.macys.com/is/image/MCY/3755041 ")</f>
        <v xml:space="preserve">http://slimages.macys.com/is/image/MCY/3755041 </v>
      </c>
    </row>
    <row r="340" spans="1:13" ht="15.2" customHeight="1" x14ac:dyDescent="0.2">
      <c r="A340" s="26" t="s">
        <v>7813</v>
      </c>
      <c r="B340" s="27" t="s">
        <v>7814</v>
      </c>
      <c r="C340" s="28">
        <v>1</v>
      </c>
      <c r="D340" s="29">
        <v>5.5</v>
      </c>
      <c r="E340" s="29">
        <v>5.5</v>
      </c>
      <c r="F340" s="30">
        <v>12.99</v>
      </c>
      <c r="G340" s="29">
        <v>12.99</v>
      </c>
      <c r="H340" s="28" t="s">
        <v>7812</v>
      </c>
      <c r="I340" s="27" t="s">
        <v>4</v>
      </c>
      <c r="J340" s="31" t="s">
        <v>71</v>
      </c>
      <c r="K340" s="27" t="s">
        <v>282</v>
      </c>
      <c r="L340" s="27" t="s">
        <v>349</v>
      </c>
      <c r="M340" s="32" t="str">
        <f>HYPERLINK("http://slimages.macys.com/is/image/MCY/3755097 ")</f>
        <v xml:space="preserve">http://slimages.macys.com/is/image/MCY/3755097 </v>
      </c>
    </row>
    <row r="341" spans="1:13" ht="15.2" customHeight="1" x14ac:dyDescent="0.2">
      <c r="A341" s="26" t="s">
        <v>6607</v>
      </c>
      <c r="B341" s="27" t="s">
        <v>6608</v>
      </c>
      <c r="C341" s="28">
        <v>1</v>
      </c>
      <c r="D341" s="29">
        <v>5.5</v>
      </c>
      <c r="E341" s="29">
        <v>5.5</v>
      </c>
      <c r="F341" s="30">
        <v>12.99</v>
      </c>
      <c r="G341" s="29">
        <v>12.99</v>
      </c>
      <c r="H341" s="28" t="s">
        <v>4852</v>
      </c>
      <c r="I341" s="27" t="s">
        <v>4</v>
      </c>
      <c r="J341" s="31" t="s">
        <v>40</v>
      </c>
      <c r="K341" s="27" t="s">
        <v>282</v>
      </c>
      <c r="L341" s="27" t="s">
        <v>283</v>
      </c>
      <c r="M341" s="32" t="str">
        <f>HYPERLINK("http://slimages.macys.com/is/image/MCY/3755655 ")</f>
        <v xml:space="preserve">http://slimages.macys.com/is/image/MCY/3755655 </v>
      </c>
    </row>
    <row r="342" spans="1:13" ht="15.2" customHeight="1" x14ac:dyDescent="0.2">
      <c r="A342" s="26" t="s">
        <v>6617</v>
      </c>
      <c r="B342" s="27" t="s">
        <v>6618</v>
      </c>
      <c r="C342" s="28">
        <v>1</v>
      </c>
      <c r="D342" s="29">
        <v>5.5</v>
      </c>
      <c r="E342" s="29">
        <v>5.5</v>
      </c>
      <c r="F342" s="30">
        <v>12.99</v>
      </c>
      <c r="G342" s="29">
        <v>12.99</v>
      </c>
      <c r="H342" s="28" t="s">
        <v>5486</v>
      </c>
      <c r="I342" s="27" t="s">
        <v>144</v>
      </c>
      <c r="J342" s="31" t="s">
        <v>71</v>
      </c>
      <c r="K342" s="27" t="s">
        <v>282</v>
      </c>
      <c r="L342" s="27" t="s">
        <v>312</v>
      </c>
      <c r="M342" s="32" t="str">
        <f>HYPERLINK("http://slimages.macys.com/is/image/MCY/3777674 ")</f>
        <v xml:space="preserve">http://slimages.macys.com/is/image/MCY/3777674 </v>
      </c>
    </row>
    <row r="343" spans="1:13" ht="15.2" customHeight="1" x14ac:dyDescent="0.2">
      <c r="A343" s="26" t="s">
        <v>6386</v>
      </c>
      <c r="B343" s="27" t="s">
        <v>6387</v>
      </c>
      <c r="C343" s="28">
        <v>1</v>
      </c>
      <c r="D343" s="29">
        <v>5.5</v>
      </c>
      <c r="E343" s="29">
        <v>5.5</v>
      </c>
      <c r="F343" s="30">
        <v>12.99</v>
      </c>
      <c r="G343" s="29">
        <v>12.99</v>
      </c>
      <c r="H343" s="28" t="s">
        <v>4852</v>
      </c>
      <c r="I343" s="27" t="s">
        <v>4</v>
      </c>
      <c r="J343" s="31" t="s">
        <v>71</v>
      </c>
      <c r="K343" s="27" t="s">
        <v>282</v>
      </c>
      <c r="L343" s="27" t="s">
        <v>283</v>
      </c>
      <c r="M343" s="32" t="str">
        <f>HYPERLINK("http://slimages.macys.com/is/image/MCY/3755655 ")</f>
        <v xml:space="preserve">http://slimages.macys.com/is/image/MCY/3755655 </v>
      </c>
    </row>
    <row r="344" spans="1:13" ht="15.2" customHeight="1" x14ac:dyDescent="0.2">
      <c r="A344" s="26" t="s">
        <v>10174</v>
      </c>
      <c r="B344" s="27" t="s">
        <v>1552</v>
      </c>
      <c r="C344" s="28">
        <v>3</v>
      </c>
      <c r="D344" s="29">
        <v>5.5</v>
      </c>
      <c r="E344" s="29">
        <v>16.5</v>
      </c>
      <c r="F344" s="30">
        <v>12.99</v>
      </c>
      <c r="G344" s="29">
        <v>38.97</v>
      </c>
      <c r="H344" s="28" t="s">
        <v>1554</v>
      </c>
      <c r="I344" s="27" t="s">
        <v>4</v>
      </c>
      <c r="J344" s="31" t="s">
        <v>40</v>
      </c>
      <c r="K344" s="27" t="s">
        <v>282</v>
      </c>
      <c r="L344" s="27" t="s">
        <v>283</v>
      </c>
      <c r="M344" s="32" t="str">
        <f>HYPERLINK("http://slimages.macys.com/is/image/MCY/3755062 ")</f>
        <v xml:space="preserve">http://slimages.macys.com/is/image/MCY/3755062 </v>
      </c>
    </row>
    <row r="345" spans="1:13" ht="15.2" customHeight="1" x14ac:dyDescent="0.2">
      <c r="A345" s="26" t="s">
        <v>5173</v>
      </c>
      <c r="B345" s="27" t="s">
        <v>5174</v>
      </c>
      <c r="C345" s="28">
        <v>1</v>
      </c>
      <c r="D345" s="29">
        <v>5.35</v>
      </c>
      <c r="E345" s="29">
        <v>5.35</v>
      </c>
      <c r="F345" s="30">
        <v>12.99</v>
      </c>
      <c r="G345" s="29">
        <v>12.99</v>
      </c>
      <c r="H345" s="28" t="s">
        <v>5175</v>
      </c>
      <c r="I345" s="27" t="s">
        <v>4</v>
      </c>
      <c r="J345" s="31" t="s">
        <v>52</v>
      </c>
      <c r="K345" s="27" t="s">
        <v>159</v>
      </c>
      <c r="L345" s="27" t="s">
        <v>160</v>
      </c>
      <c r="M345" s="32" t="str">
        <f>HYPERLINK("http://slimages.macys.com/is/image/MCY/3451733 ")</f>
        <v xml:space="preserve">http://slimages.macys.com/is/image/MCY/3451733 </v>
      </c>
    </row>
    <row r="346" spans="1:13" ht="15.2" customHeight="1" x14ac:dyDescent="0.2">
      <c r="A346" s="26" t="s">
        <v>10175</v>
      </c>
      <c r="B346" s="27" t="s">
        <v>10176</v>
      </c>
      <c r="C346" s="28">
        <v>1</v>
      </c>
      <c r="D346" s="29">
        <v>5.35</v>
      </c>
      <c r="E346" s="29">
        <v>5.35</v>
      </c>
      <c r="F346" s="30">
        <v>12.99</v>
      </c>
      <c r="G346" s="29">
        <v>12.99</v>
      </c>
      <c r="H346" s="28" t="s">
        <v>10177</v>
      </c>
      <c r="I346" s="27" t="s">
        <v>103</v>
      </c>
      <c r="J346" s="31" t="s">
        <v>5</v>
      </c>
      <c r="K346" s="27" t="s">
        <v>159</v>
      </c>
      <c r="L346" s="27" t="s">
        <v>160</v>
      </c>
      <c r="M346" s="32" t="str">
        <f>HYPERLINK("http://slimages.macys.com/is/image/MCY/3450724 ")</f>
        <v xml:space="preserve">http://slimages.macys.com/is/image/MCY/3450724 </v>
      </c>
    </row>
    <row r="347" spans="1:13" ht="15.2" customHeight="1" x14ac:dyDescent="0.2">
      <c r="A347" s="26" t="s">
        <v>1588</v>
      </c>
      <c r="B347" s="27" t="s">
        <v>1589</v>
      </c>
      <c r="C347" s="28">
        <v>1</v>
      </c>
      <c r="D347" s="29">
        <v>4.6500000000000004</v>
      </c>
      <c r="E347" s="29">
        <v>4.6500000000000004</v>
      </c>
      <c r="F347" s="30">
        <v>10.99</v>
      </c>
      <c r="G347" s="29">
        <v>10.99</v>
      </c>
      <c r="H347" s="28">
        <v>60359814</v>
      </c>
      <c r="I347" s="27" t="s">
        <v>22</v>
      </c>
      <c r="J347" s="31" t="s">
        <v>40</v>
      </c>
      <c r="K347" s="27" t="s">
        <v>282</v>
      </c>
      <c r="L347" s="27" t="s">
        <v>255</v>
      </c>
      <c r="M347" s="32" t="str">
        <f>HYPERLINK("http://slimages.macys.com/is/image/MCY/2308510 ")</f>
        <v xml:space="preserve">http://slimages.macys.com/is/image/MCY/2308510 </v>
      </c>
    </row>
    <row r="348" spans="1:13" ht="15.2" customHeight="1" x14ac:dyDescent="0.2">
      <c r="A348" s="26" t="s">
        <v>7193</v>
      </c>
      <c r="B348" s="27" t="s">
        <v>7194</v>
      </c>
      <c r="C348" s="28">
        <v>1</v>
      </c>
      <c r="D348" s="29">
        <v>4.6500000000000004</v>
      </c>
      <c r="E348" s="29">
        <v>4.6500000000000004</v>
      </c>
      <c r="F348" s="30">
        <v>10.99</v>
      </c>
      <c r="G348" s="29">
        <v>10.99</v>
      </c>
      <c r="H348" s="28">
        <v>60359814</v>
      </c>
      <c r="I348" s="27" t="s">
        <v>22</v>
      </c>
      <c r="J348" s="31" t="s">
        <v>5</v>
      </c>
      <c r="K348" s="27" t="s">
        <v>282</v>
      </c>
      <c r="L348" s="27" t="s">
        <v>255</v>
      </c>
      <c r="M348" s="32" t="str">
        <f>HYPERLINK("http://slimages.macys.com/is/image/MCY/2308510 ")</f>
        <v xml:space="preserve">http://slimages.macys.com/is/image/MCY/2308510 </v>
      </c>
    </row>
    <row r="349" spans="1:13" ht="15.2" customHeight="1" x14ac:dyDescent="0.2">
      <c r="A349" s="26" t="s">
        <v>7815</v>
      </c>
      <c r="B349" s="27" t="s">
        <v>7816</v>
      </c>
      <c r="C349" s="28">
        <v>1</v>
      </c>
      <c r="D349" s="29">
        <v>4.6500000000000004</v>
      </c>
      <c r="E349" s="29">
        <v>4.6500000000000004</v>
      </c>
      <c r="F349" s="30">
        <v>10.99</v>
      </c>
      <c r="G349" s="29">
        <v>10.99</v>
      </c>
      <c r="H349" s="28">
        <v>60359814</v>
      </c>
      <c r="I349" s="27" t="s">
        <v>59</v>
      </c>
      <c r="J349" s="31" t="s">
        <v>21</v>
      </c>
      <c r="K349" s="27" t="s">
        <v>282</v>
      </c>
      <c r="L349" s="27" t="s">
        <v>255</v>
      </c>
      <c r="M349" s="32" t="str">
        <f>HYPERLINK("http://slimages.macys.com/is/image/MCY/3841046 ")</f>
        <v xml:space="preserve">http://slimages.macys.com/is/image/MCY/3841046 </v>
      </c>
    </row>
    <row r="350" spans="1:13" ht="15.2" customHeight="1" x14ac:dyDescent="0.2">
      <c r="A350" s="26" t="s">
        <v>940</v>
      </c>
      <c r="B350" s="27" t="s">
        <v>941</v>
      </c>
      <c r="C350" s="28">
        <v>1</v>
      </c>
      <c r="D350" s="29">
        <v>4.6500000000000004</v>
      </c>
      <c r="E350" s="29">
        <v>4.6500000000000004</v>
      </c>
      <c r="F350" s="30">
        <v>10.99</v>
      </c>
      <c r="G350" s="29">
        <v>10.99</v>
      </c>
      <c r="H350" s="28">
        <v>60359814</v>
      </c>
      <c r="I350" s="27" t="s">
        <v>22</v>
      </c>
      <c r="J350" s="31" t="s">
        <v>21</v>
      </c>
      <c r="K350" s="27" t="s">
        <v>282</v>
      </c>
      <c r="L350" s="27" t="s">
        <v>255</v>
      </c>
      <c r="M350" s="32" t="str">
        <f>HYPERLINK("http://slimages.macys.com/is/image/MCY/2308510 ")</f>
        <v xml:space="preserve">http://slimages.macys.com/is/image/MCY/2308510 </v>
      </c>
    </row>
    <row r="351" spans="1:13" ht="15.2" customHeight="1" x14ac:dyDescent="0.2">
      <c r="A351" s="26" t="s">
        <v>5557</v>
      </c>
      <c r="B351" s="27" t="s">
        <v>5558</v>
      </c>
      <c r="C351" s="28">
        <v>2</v>
      </c>
      <c r="D351" s="29">
        <v>4.6500000000000004</v>
      </c>
      <c r="E351" s="29">
        <v>9.3000000000000007</v>
      </c>
      <c r="F351" s="30">
        <v>10.99</v>
      </c>
      <c r="G351" s="29">
        <v>21.98</v>
      </c>
      <c r="H351" s="28">
        <v>60359814</v>
      </c>
      <c r="I351" s="27" t="s">
        <v>59</v>
      </c>
      <c r="J351" s="31" t="s">
        <v>40</v>
      </c>
      <c r="K351" s="27" t="s">
        <v>282</v>
      </c>
      <c r="L351" s="27" t="s">
        <v>255</v>
      </c>
      <c r="M351" s="32" t="str">
        <f>HYPERLINK("http://slimages.macys.com/is/image/MCY/2308510 ")</f>
        <v xml:space="preserve">http://slimages.macys.com/is/image/MCY/2308510 </v>
      </c>
    </row>
    <row r="352" spans="1:13" ht="15.2" customHeight="1" x14ac:dyDescent="0.2">
      <c r="A352" s="26" t="s">
        <v>10178</v>
      </c>
      <c r="B352" s="27" t="s">
        <v>10179</v>
      </c>
      <c r="C352" s="28">
        <v>3</v>
      </c>
      <c r="D352" s="29">
        <v>4.6500000000000004</v>
      </c>
      <c r="E352" s="29">
        <v>13.95</v>
      </c>
      <c r="F352" s="30">
        <v>10.99</v>
      </c>
      <c r="G352" s="29">
        <v>32.97</v>
      </c>
      <c r="H352" s="28">
        <v>60359814</v>
      </c>
      <c r="I352" s="27" t="s">
        <v>82</v>
      </c>
      <c r="J352" s="31" t="s">
        <v>40</v>
      </c>
      <c r="K352" s="27" t="s">
        <v>282</v>
      </c>
      <c r="L352" s="27" t="s">
        <v>255</v>
      </c>
      <c r="M352" s="32" t="str">
        <f>HYPERLINK("http://slimages.macys.com/is/image/MCY/2308510 ")</f>
        <v xml:space="preserve">http://slimages.macys.com/is/image/MCY/2308510 </v>
      </c>
    </row>
    <row r="353" spans="1:13" ht="15.2" customHeight="1" x14ac:dyDescent="0.2">
      <c r="A353" s="26" t="s">
        <v>2412</v>
      </c>
      <c r="B353" s="27" t="s">
        <v>2413</v>
      </c>
      <c r="C353" s="28">
        <v>1</v>
      </c>
      <c r="D353" s="29">
        <v>4.6500000000000004</v>
      </c>
      <c r="E353" s="29">
        <v>4.6500000000000004</v>
      </c>
      <c r="F353" s="30">
        <v>10.99</v>
      </c>
      <c r="G353" s="29">
        <v>10.99</v>
      </c>
      <c r="H353" s="28">
        <v>60359814</v>
      </c>
      <c r="I353" s="27" t="s">
        <v>59</v>
      </c>
      <c r="J353" s="31" t="s">
        <v>65</v>
      </c>
      <c r="K353" s="27" t="s">
        <v>282</v>
      </c>
      <c r="L353" s="27" t="s">
        <v>255</v>
      </c>
      <c r="M353" s="32" t="str">
        <f>HYPERLINK("http://slimages.macys.com/is/image/MCY/2308510 ")</f>
        <v xml:space="preserve">http://slimages.macys.com/is/image/MCY/2308510 </v>
      </c>
    </row>
    <row r="354" spans="1:13" ht="15.2" customHeight="1" x14ac:dyDescent="0.2">
      <c r="A354" s="26" t="s">
        <v>10180</v>
      </c>
      <c r="B354" s="27" t="s">
        <v>10181</v>
      </c>
      <c r="C354" s="28">
        <v>2</v>
      </c>
      <c r="D354" s="29">
        <v>4.6500000000000004</v>
      </c>
      <c r="E354" s="29">
        <v>9.3000000000000007</v>
      </c>
      <c r="F354" s="30">
        <v>10.99</v>
      </c>
      <c r="G354" s="29">
        <v>21.98</v>
      </c>
      <c r="H354" s="28">
        <v>60359814</v>
      </c>
      <c r="I354" s="27" t="s">
        <v>22</v>
      </c>
      <c r="J354" s="31" t="s">
        <v>71</v>
      </c>
      <c r="K354" s="27" t="s">
        <v>282</v>
      </c>
      <c r="L354" s="27" t="s">
        <v>255</v>
      </c>
      <c r="M354" s="32" t="str">
        <f>HYPERLINK("http://slimages.macys.com/is/image/MCY/2308510 ")</f>
        <v xml:space="preserve">http://slimages.macys.com/is/image/MCY/2308510 </v>
      </c>
    </row>
    <row r="355" spans="1:13" ht="15.2" customHeight="1" x14ac:dyDescent="0.2">
      <c r="A355" s="26" t="s">
        <v>9889</v>
      </c>
      <c r="B355" s="27" t="s">
        <v>9890</v>
      </c>
      <c r="C355" s="28">
        <v>1</v>
      </c>
      <c r="D355" s="29">
        <v>4.6500000000000004</v>
      </c>
      <c r="E355" s="29">
        <v>4.6500000000000004</v>
      </c>
      <c r="F355" s="30">
        <v>10.99</v>
      </c>
      <c r="G355" s="29">
        <v>10.99</v>
      </c>
      <c r="H355" s="28">
        <v>60359814</v>
      </c>
      <c r="I355" s="27" t="s">
        <v>59</v>
      </c>
      <c r="J355" s="31" t="s">
        <v>52</v>
      </c>
      <c r="K355" s="27" t="s">
        <v>282</v>
      </c>
      <c r="L355" s="27" t="s">
        <v>255</v>
      </c>
      <c r="M355" s="32" t="str">
        <f>HYPERLINK("http://slimages.macys.com/is/image/MCY/3841046 ")</f>
        <v xml:space="preserve">http://slimages.macys.com/is/image/MCY/3841046 </v>
      </c>
    </row>
    <row r="356" spans="1:13" ht="15.2" customHeight="1" x14ac:dyDescent="0.2">
      <c r="A356" s="26" t="s">
        <v>7465</v>
      </c>
      <c r="B356" s="27" t="s">
        <v>7466</v>
      </c>
      <c r="C356" s="28">
        <v>1</v>
      </c>
      <c r="D356" s="29">
        <v>4.5</v>
      </c>
      <c r="E356" s="29">
        <v>4.5</v>
      </c>
      <c r="F356" s="30">
        <v>12.99</v>
      </c>
      <c r="G356" s="29">
        <v>12.99</v>
      </c>
      <c r="H356" s="28" t="s">
        <v>5559</v>
      </c>
      <c r="I356" s="27" t="s">
        <v>59</v>
      </c>
      <c r="J356" s="31" t="s">
        <v>71</v>
      </c>
      <c r="K356" s="27" t="s">
        <v>282</v>
      </c>
      <c r="L356" s="27" t="s">
        <v>283</v>
      </c>
      <c r="M356" s="32" t="str">
        <f>HYPERLINK("http://slimages.macys.com/is/image/MCY/3875942 ")</f>
        <v xml:space="preserve">http://slimages.macys.com/is/image/MCY/3875942 </v>
      </c>
    </row>
    <row r="357" spans="1:13" ht="15.2" customHeight="1" x14ac:dyDescent="0.2">
      <c r="A357" s="26" t="s">
        <v>10182</v>
      </c>
      <c r="B357" s="27" t="s">
        <v>10183</v>
      </c>
      <c r="C357" s="28">
        <v>1</v>
      </c>
      <c r="D357" s="29">
        <v>3.65</v>
      </c>
      <c r="E357" s="29">
        <v>3.65</v>
      </c>
      <c r="F357" s="30">
        <v>12.99</v>
      </c>
      <c r="G357" s="29">
        <v>12.99</v>
      </c>
      <c r="H357" s="28" t="s">
        <v>950</v>
      </c>
      <c r="I357" s="27" t="s">
        <v>22</v>
      </c>
      <c r="J357" s="31" t="s">
        <v>21</v>
      </c>
      <c r="K357" s="27" t="s">
        <v>200</v>
      </c>
      <c r="L357" s="27" t="s">
        <v>325</v>
      </c>
      <c r="M357" s="32" t="str">
        <f>HYPERLINK("http://slimages.macys.com/is/image/MCY/3937163 ")</f>
        <v xml:space="preserve">http://slimages.macys.com/is/image/MCY/3937163 </v>
      </c>
    </row>
    <row r="358" spans="1:13" ht="15.2" customHeight="1" x14ac:dyDescent="0.2">
      <c r="A358" s="26" t="s">
        <v>7209</v>
      </c>
      <c r="B358" s="27" t="s">
        <v>7210</v>
      </c>
      <c r="C358" s="28">
        <v>1</v>
      </c>
      <c r="D358" s="29">
        <v>3.65</v>
      </c>
      <c r="E358" s="29">
        <v>3.65</v>
      </c>
      <c r="F358" s="30">
        <v>12.99</v>
      </c>
      <c r="G358" s="29">
        <v>12.99</v>
      </c>
      <c r="H358" s="28" t="s">
        <v>950</v>
      </c>
      <c r="I358" s="27" t="s">
        <v>29</v>
      </c>
      <c r="J358" s="31" t="s">
        <v>5</v>
      </c>
      <c r="K358" s="27" t="s">
        <v>200</v>
      </c>
      <c r="L358" s="27" t="s">
        <v>325</v>
      </c>
      <c r="M358" s="32" t="str">
        <f>HYPERLINK("http://slimages.macys.com/is/image/MCY/3937123 ")</f>
        <v xml:space="preserve">http://slimages.macys.com/is/image/MCY/3937123 </v>
      </c>
    </row>
    <row r="359" spans="1:13" ht="15.2" customHeight="1" x14ac:dyDescent="0.2">
      <c r="A359" s="26" t="s">
        <v>3036</v>
      </c>
      <c r="B359" s="27" t="s">
        <v>3037</v>
      </c>
      <c r="C359" s="28">
        <v>1</v>
      </c>
      <c r="D359" s="29">
        <v>3.45</v>
      </c>
      <c r="E359" s="29">
        <v>3.45</v>
      </c>
      <c r="F359" s="30">
        <v>7.99</v>
      </c>
      <c r="G359" s="29">
        <v>7.99</v>
      </c>
      <c r="H359" s="28">
        <v>60423445</v>
      </c>
      <c r="I359" s="27" t="s">
        <v>661</v>
      </c>
      <c r="J359" s="31" t="s">
        <v>5</v>
      </c>
      <c r="K359" s="27" t="s">
        <v>282</v>
      </c>
      <c r="L359" s="27" t="s">
        <v>255</v>
      </c>
      <c r="M359" s="32" t="str">
        <f>HYPERLINK("http://slimages.macys.com/is/image/MCY/3663800 ")</f>
        <v xml:space="preserve">http://slimages.macys.com/is/image/MCY/3663800 </v>
      </c>
    </row>
    <row r="360" spans="1:13" ht="15.2" customHeight="1" x14ac:dyDescent="0.2">
      <c r="A360" s="26" t="s">
        <v>1970</v>
      </c>
      <c r="B360" s="27" t="s">
        <v>1971</v>
      </c>
      <c r="C360" s="28">
        <v>1</v>
      </c>
      <c r="D360" s="29">
        <v>3.45</v>
      </c>
      <c r="E360" s="29">
        <v>3.45</v>
      </c>
      <c r="F360" s="30">
        <v>7.99</v>
      </c>
      <c r="G360" s="29">
        <v>7.99</v>
      </c>
      <c r="H360" s="28">
        <v>60423445</v>
      </c>
      <c r="I360" s="27" t="s">
        <v>75</v>
      </c>
      <c r="J360" s="31" t="s">
        <v>21</v>
      </c>
      <c r="K360" s="27" t="s">
        <v>282</v>
      </c>
      <c r="L360" s="27" t="s">
        <v>255</v>
      </c>
      <c r="M360" s="32" t="str">
        <f>HYPERLINK("http://slimages.macys.com/is/image/MCY/3663800 ")</f>
        <v xml:space="preserve">http://slimages.macys.com/is/image/MCY/3663800 </v>
      </c>
    </row>
    <row r="361" spans="1:13" ht="15.2" customHeight="1" x14ac:dyDescent="0.2">
      <c r="A361" s="26" t="s">
        <v>3030</v>
      </c>
      <c r="B361" s="27" t="s">
        <v>3031</v>
      </c>
      <c r="C361" s="28">
        <v>1</v>
      </c>
      <c r="D361" s="29">
        <v>3.45</v>
      </c>
      <c r="E361" s="29">
        <v>3.45</v>
      </c>
      <c r="F361" s="30">
        <v>7.99</v>
      </c>
      <c r="G361" s="29">
        <v>7.99</v>
      </c>
      <c r="H361" s="28">
        <v>60423445</v>
      </c>
      <c r="I361" s="27" t="s">
        <v>75</v>
      </c>
      <c r="J361" s="31" t="s">
        <v>71</v>
      </c>
      <c r="K361" s="27" t="s">
        <v>282</v>
      </c>
      <c r="L361" s="27" t="s">
        <v>255</v>
      </c>
      <c r="M361" s="32" t="str">
        <f>HYPERLINK("http://slimages.macys.com/is/image/MCY/3663800 ")</f>
        <v xml:space="preserve">http://slimages.macys.com/is/image/MCY/3663800 </v>
      </c>
    </row>
    <row r="362" spans="1:13" ht="15.2" customHeight="1" x14ac:dyDescent="0.2">
      <c r="A362" s="26" t="s">
        <v>10184</v>
      </c>
      <c r="B362" s="27" t="s">
        <v>8424</v>
      </c>
      <c r="C362" s="28">
        <v>1</v>
      </c>
      <c r="D362" s="29">
        <v>59.75</v>
      </c>
      <c r="E362" s="29">
        <v>59.75</v>
      </c>
      <c r="F362" s="30">
        <v>179</v>
      </c>
      <c r="G362" s="29">
        <v>179</v>
      </c>
      <c r="H362" s="28">
        <v>56748</v>
      </c>
      <c r="I362" s="27" t="s">
        <v>4</v>
      </c>
      <c r="J362" s="31" t="s">
        <v>230</v>
      </c>
      <c r="K362" s="27" t="s">
        <v>24</v>
      </c>
      <c r="L362" s="27" t="s">
        <v>1972</v>
      </c>
      <c r="M362" s="32"/>
    </row>
    <row r="363" spans="1:13" ht="15.2" customHeight="1" x14ac:dyDescent="0.2">
      <c r="A363" s="26" t="s">
        <v>10185</v>
      </c>
      <c r="B363" s="27" t="s">
        <v>10186</v>
      </c>
      <c r="C363" s="28">
        <v>1</v>
      </c>
      <c r="D363" s="29">
        <v>59.75</v>
      </c>
      <c r="E363" s="29">
        <v>59.75</v>
      </c>
      <c r="F363" s="30">
        <v>179</v>
      </c>
      <c r="G363" s="29">
        <v>179</v>
      </c>
      <c r="H363" s="28">
        <v>56782</v>
      </c>
      <c r="I363" s="27" t="s">
        <v>267</v>
      </c>
      <c r="J363" s="31" t="s">
        <v>69</v>
      </c>
      <c r="K363" s="27" t="s">
        <v>24</v>
      </c>
      <c r="L363" s="27" t="s">
        <v>1972</v>
      </c>
      <c r="M363" s="32"/>
    </row>
    <row r="364" spans="1:13" ht="15.2" customHeight="1" x14ac:dyDescent="0.2">
      <c r="A364" s="26" t="s">
        <v>951</v>
      </c>
      <c r="B364" s="27" t="s">
        <v>952</v>
      </c>
      <c r="C364" s="28">
        <v>1</v>
      </c>
      <c r="D364" s="29">
        <v>34</v>
      </c>
      <c r="E364" s="29">
        <v>34</v>
      </c>
      <c r="F364" s="30">
        <v>89.5</v>
      </c>
      <c r="G364" s="29">
        <v>89.5</v>
      </c>
      <c r="H364" s="28" t="s">
        <v>464</v>
      </c>
      <c r="I364" s="27" t="s">
        <v>1</v>
      </c>
      <c r="J364" s="31" t="s">
        <v>71</v>
      </c>
      <c r="K364" s="27" t="s">
        <v>17</v>
      </c>
      <c r="L364" s="27" t="s">
        <v>18</v>
      </c>
      <c r="M364" s="32"/>
    </row>
    <row r="365" spans="1:13" ht="15.2" customHeight="1" x14ac:dyDescent="0.2">
      <c r="A365" s="26" t="s">
        <v>10187</v>
      </c>
      <c r="B365" s="27" t="s">
        <v>10188</v>
      </c>
      <c r="C365" s="28">
        <v>1</v>
      </c>
      <c r="D365" s="29">
        <v>30</v>
      </c>
      <c r="E365" s="29">
        <v>30</v>
      </c>
      <c r="F365" s="30">
        <v>79.5</v>
      </c>
      <c r="G365" s="29">
        <v>79.5</v>
      </c>
      <c r="H365" s="28" t="s">
        <v>9891</v>
      </c>
      <c r="I365" s="27"/>
      <c r="J365" s="31" t="s">
        <v>21</v>
      </c>
      <c r="K365" s="27" t="s">
        <v>17</v>
      </c>
      <c r="L365" s="27" t="s">
        <v>18</v>
      </c>
      <c r="M365" s="32"/>
    </row>
    <row r="366" spans="1:13" ht="15.2" customHeight="1" x14ac:dyDescent="0.2">
      <c r="A366" s="26" t="s">
        <v>7690</v>
      </c>
      <c r="B366" s="27" t="s">
        <v>7691</v>
      </c>
      <c r="C366" s="28">
        <v>1</v>
      </c>
      <c r="D366" s="29">
        <v>30</v>
      </c>
      <c r="E366" s="29">
        <v>30</v>
      </c>
      <c r="F366" s="30">
        <v>79.5</v>
      </c>
      <c r="G366" s="29">
        <v>79.5</v>
      </c>
      <c r="H366" s="28" t="s">
        <v>2712</v>
      </c>
      <c r="I366" s="27" t="s">
        <v>1</v>
      </c>
      <c r="J366" s="31" t="s">
        <v>21</v>
      </c>
      <c r="K366" s="27" t="s">
        <v>17</v>
      </c>
      <c r="L366" s="27" t="s">
        <v>18</v>
      </c>
      <c r="M366" s="32"/>
    </row>
    <row r="367" spans="1:13" ht="15.2" customHeight="1" x14ac:dyDescent="0.2">
      <c r="A367" s="26" t="s">
        <v>10189</v>
      </c>
      <c r="B367" s="27" t="s">
        <v>10190</v>
      </c>
      <c r="C367" s="28">
        <v>1</v>
      </c>
      <c r="D367" s="29">
        <v>27</v>
      </c>
      <c r="E367" s="29">
        <v>27</v>
      </c>
      <c r="F367" s="30">
        <v>69.5</v>
      </c>
      <c r="G367" s="29">
        <v>69.5</v>
      </c>
      <c r="H367" s="28" t="s">
        <v>7467</v>
      </c>
      <c r="I367" s="27" t="s">
        <v>661</v>
      </c>
      <c r="J367" s="31"/>
      <c r="K367" s="27" t="s">
        <v>17</v>
      </c>
      <c r="L367" s="27" t="s">
        <v>18</v>
      </c>
      <c r="M367" s="32"/>
    </row>
    <row r="368" spans="1:13" ht="15.2" customHeight="1" x14ac:dyDescent="0.2">
      <c r="A368" s="26" t="s">
        <v>10191</v>
      </c>
      <c r="B368" s="27" t="s">
        <v>10192</v>
      </c>
      <c r="C368" s="28">
        <v>1</v>
      </c>
      <c r="D368" s="29">
        <v>27</v>
      </c>
      <c r="E368" s="29">
        <v>27</v>
      </c>
      <c r="F368" s="30">
        <v>69.5</v>
      </c>
      <c r="G368" s="29">
        <v>69.5</v>
      </c>
      <c r="H368" s="28" t="s">
        <v>1983</v>
      </c>
      <c r="I368" s="27" t="s">
        <v>661</v>
      </c>
      <c r="J368" s="31"/>
      <c r="K368" s="27" t="s">
        <v>17</v>
      </c>
      <c r="L368" s="27" t="s">
        <v>18</v>
      </c>
      <c r="M368" s="32"/>
    </row>
    <row r="369" spans="1:13" ht="15.2" customHeight="1" x14ac:dyDescent="0.2">
      <c r="A369" s="26" t="s">
        <v>7698</v>
      </c>
      <c r="B369" s="27" t="s">
        <v>7699</v>
      </c>
      <c r="C369" s="28">
        <v>1</v>
      </c>
      <c r="D369" s="29">
        <v>27</v>
      </c>
      <c r="E369" s="29">
        <v>27</v>
      </c>
      <c r="F369" s="30">
        <v>69.5</v>
      </c>
      <c r="G369" s="29">
        <v>69.5</v>
      </c>
      <c r="H369" s="28" t="s">
        <v>7467</v>
      </c>
      <c r="I369" s="27" t="s">
        <v>661</v>
      </c>
      <c r="J369" s="31" t="s">
        <v>161</v>
      </c>
      <c r="K369" s="27" t="s">
        <v>17</v>
      </c>
      <c r="L369" s="27" t="s">
        <v>18</v>
      </c>
      <c r="M369" s="32"/>
    </row>
    <row r="370" spans="1:13" ht="15.2" customHeight="1" x14ac:dyDescent="0.2">
      <c r="A370" s="26" t="s">
        <v>2719</v>
      </c>
      <c r="B370" s="27" t="s">
        <v>2720</v>
      </c>
      <c r="C370" s="28">
        <v>1</v>
      </c>
      <c r="D370" s="29">
        <v>23</v>
      </c>
      <c r="E370" s="29">
        <v>23</v>
      </c>
      <c r="F370" s="30">
        <v>59.5</v>
      </c>
      <c r="G370" s="29">
        <v>59.5</v>
      </c>
      <c r="H370" s="28" t="s">
        <v>1606</v>
      </c>
      <c r="I370" s="27" t="s">
        <v>152</v>
      </c>
      <c r="J370" s="31" t="s">
        <v>71</v>
      </c>
      <c r="K370" s="27" t="s">
        <v>17</v>
      </c>
      <c r="L370" s="27" t="s">
        <v>18</v>
      </c>
      <c r="M370" s="32"/>
    </row>
    <row r="371" spans="1:13" ht="15.2" customHeight="1" x14ac:dyDescent="0.2">
      <c r="A371" s="26" t="s">
        <v>9945</v>
      </c>
      <c r="B371" s="27" t="s">
        <v>9946</v>
      </c>
      <c r="C371" s="28">
        <v>1</v>
      </c>
      <c r="D371" s="29">
        <v>23</v>
      </c>
      <c r="E371" s="29">
        <v>23</v>
      </c>
      <c r="F371" s="30">
        <v>59.5</v>
      </c>
      <c r="G371" s="29">
        <v>59.5</v>
      </c>
      <c r="H371" s="28" t="s">
        <v>1606</v>
      </c>
      <c r="I371" s="27" t="s">
        <v>152</v>
      </c>
      <c r="J371" s="31" t="s">
        <v>21</v>
      </c>
      <c r="K371" s="27" t="s">
        <v>17</v>
      </c>
      <c r="L371" s="27" t="s">
        <v>18</v>
      </c>
      <c r="M371" s="32"/>
    </row>
    <row r="372" spans="1:13" ht="15.2" customHeight="1" x14ac:dyDescent="0.2">
      <c r="A372" s="26" t="s">
        <v>8133</v>
      </c>
      <c r="B372" s="27" t="s">
        <v>8134</v>
      </c>
      <c r="C372" s="28">
        <v>2</v>
      </c>
      <c r="D372" s="29">
        <v>21.5</v>
      </c>
      <c r="E372" s="29">
        <v>43</v>
      </c>
      <c r="F372" s="30">
        <v>69</v>
      </c>
      <c r="G372" s="29">
        <v>138</v>
      </c>
      <c r="H372" s="28" t="s">
        <v>3060</v>
      </c>
      <c r="I372" s="27" t="s">
        <v>4</v>
      </c>
      <c r="J372" s="31" t="s">
        <v>40</v>
      </c>
      <c r="K372" s="27" t="s">
        <v>24</v>
      </c>
      <c r="L372" s="27" t="s">
        <v>999</v>
      </c>
      <c r="M372" s="32"/>
    </row>
    <row r="373" spans="1:13" ht="15.2" customHeight="1" x14ac:dyDescent="0.2">
      <c r="A373" s="26" t="s">
        <v>5509</v>
      </c>
      <c r="B373" s="27" t="s">
        <v>5510</v>
      </c>
      <c r="C373" s="28">
        <v>1</v>
      </c>
      <c r="D373" s="29">
        <v>19</v>
      </c>
      <c r="E373" s="29">
        <v>19</v>
      </c>
      <c r="F373" s="30">
        <v>49.5</v>
      </c>
      <c r="G373" s="29">
        <v>49.5</v>
      </c>
      <c r="H373" s="28" t="s">
        <v>978</v>
      </c>
      <c r="I373" s="27" t="s">
        <v>20</v>
      </c>
      <c r="J373" s="31" t="s">
        <v>21</v>
      </c>
      <c r="K373" s="27" t="s">
        <v>17</v>
      </c>
      <c r="L373" s="27" t="s">
        <v>18</v>
      </c>
      <c r="M373" s="32"/>
    </row>
    <row r="374" spans="1:13" ht="15.2" customHeight="1" x14ac:dyDescent="0.2">
      <c r="A374" s="26" t="s">
        <v>10193</v>
      </c>
      <c r="B374" s="27" t="s">
        <v>10194</v>
      </c>
      <c r="C374" s="28">
        <v>3</v>
      </c>
      <c r="D374" s="29">
        <v>19</v>
      </c>
      <c r="E374" s="29">
        <v>57</v>
      </c>
      <c r="F374" s="30">
        <v>49.5</v>
      </c>
      <c r="G374" s="29">
        <v>148.5</v>
      </c>
      <c r="H374" s="28" t="s">
        <v>1614</v>
      </c>
      <c r="I374" s="27" t="s">
        <v>215</v>
      </c>
      <c r="J374" s="31" t="s">
        <v>21</v>
      </c>
      <c r="K374" s="27" t="s">
        <v>17</v>
      </c>
      <c r="L374" s="27" t="s">
        <v>18</v>
      </c>
      <c r="M374" s="32"/>
    </row>
    <row r="375" spans="1:13" ht="15.2" customHeight="1" x14ac:dyDescent="0.2">
      <c r="A375" s="26" t="s">
        <v>3068</v>
      </c>
      <c r="B375" s="27" t="s">
        <v>979</v>
      </c>
      <c r="C375" s="28">
        <v>1</v>
      </c>
      <c r="D375" s="29">
        <v>18.829999999999998</v>
      </c>
      <c r="E375" s="29">
        <v>18.829999999999998</v>
      </c>
      <c r="F375" s="30">
        <v>43.5</v>
      </c>
      <c r="G375" s="29">
        <v>43.5</v>
      </c>
      <c r="H375" s="28" t="s">
        <v>980</v>
      </c>
      <c r="I375" s="27" t="s">
        <v>82</v>
      </c>
      <c r="J375" s="31" t="s">
        <v>113</v>
      </c>
      <c r="K375" s="27" t="s">
        <v>41</v>
      </c>
      <c r="L375" s="27" t="s">
        <v>45</v>
      </c>
      <c r="M375" s="32"/>
    </row>
    <row r="376" spans="1:13" ht="15.2" customHeight="1" x14ac:dyDescent="0.2">
      <c r="A376" s="26" t="s">
        <v>10195</v>
      </c>
      <c r="B376" s="27" t="s">
        <v>10196</v>
      </c>
      <c r="C376" s="28">
        <v>2</v>
      </c>
      <c r="D376" s="29">
        <v>17.7</v>
      </c>
      <c r="E376" s="29">
        <v>35.4</v>
      </c>
      <c r="F376" s="30">
        <v>59</v>
      </c>
      <c r="G376" s="29">
        <v>118</v>
      </c>
      <c r="H376" s="28">
        <v>49007737</v>
      </c>
      <c r="I376" s="27" t="s">
        <v>29</v>
      </c>
      <c r="J376" s="31" t="s">
        <v>161</v>
      </c>
      <c r="K376" s="27" t="s">
        <v>6</v>
      </c>
      <c r="L376" s="27" t="s">
        <v>7</v>
      </c>
      <c r="M376" s="32"/>
    </row>
    <row r="377" spans="1:13" ht="15.2" customHeight="1" x14ac:dyDescent="0.2">
      <c r="A377" s="26" t="s">
        <v>10197</v>
      </c>
      <c r="B377" s="27" t="s">
        <v>10198</v>
      </c>
      <c r="C377" s="28">
        <v>1</v>
      </c>
      <c r="D377" s="29">
        <v>17</v>
      </c>
      <c r="E377" s="29">
        <v>17</v>
      </c>
      <c r="F377" s="30">
        <v>44.5</v>
      </c>
      <c r="G377" s="29">
        <v>44.5</v>
      </c>
      <c r="H377" s="28" t="s">
        <v>8147</v>
      </c>
      <c r="I377" s="27" t="s">
        <v>295</v>
      </c>
      <c r="J377" s="31" t="s">
        <v>71</v>
      </c>
      <c r="K377" s="27" t="s">
        <v>17</v>
      </c>
      <c r="L377" s="27" t="s">
        <v>18</v>
      </c>
      <c r="M377" s="32"/>
    </row>
    <row r="378" spans="1:13" ht="15.2" customHeight="1" x14ac:dyDescent="0.2">
      <c r="A378" s="26" t="s">
        <v>7276</v>
      </c>
      <c r="B378" s="27" t="s">
        <v>7277</v>
      </c>
      <c r="C378" s="28">
        <v>1</v>
      </c>
      <c r="D378" s="29">
        <v>17</v>
      </c>
      <c r="E378" s="29">
        <v>17</v>
      </c>
      <c r="F378" s="30">
        <v>54.99</v>
      </c>
      <c r="G378" s="29">
        <v>54.99</v>
      </c>
      <c r="H378" s="28" t="s">
        <v>4662</v>
      </c>
      <c r="I378" s="27" t="s">
        <v>4</v>
      </c>
      <c r="J378" s="31" t="s">
        <v>21</v>
      </c>
      <c r="K378" s="27" t="s">
        <v>70</v>
      </c>
      <c r="L378" s="27" t="s">
        <v>999</v>
      </c>
      <c r="M378" s="32"/>
    </row>
    <row r="379" spans="1:13" ht="15.2" customHeight="1" x14ac:dyDescent="0.2">
      <c r="A379" s="26" t="s">
        <v>7825</v>
      </c>
      <c r="B379" s="27" t="s">
        <v>7826</v>
      </c>
      <c r="C379" s="28">
        <v>1</v>
      </c>
      <c r="D379" s="29">
        <v>15</v>
      </c>
      <c r="E379" s="29">
        <v>15</v>
      </c>
      <c r="F379" s="30">
        <v>39.5</v>
      </c>
      <c r="G379" s="29">
        <v>39.5</v>
      </c>
      <c r="H379" s="28" t="s">
        <v>1634</v>
      </c>
      <c r="I379" s="27" t="s">
        <v>280</v>
      </c>
      <c r="J379" s="31" t="s">
        <v>40</v>
      </c>
      <c r="K379" s="27" t="s">
        <v>17</v>
      </c>
      <c r="L379" s="27" t="s">
        <v>18</v>
      </c>
      <c r="M379" s="32"/>
    </row>
    <row r="380" spans="1:13" ht="15.2" customHeight="1" x14ac:dyDescent="0.2">
      <c r="A380" s="26" t="s">
        <v>6075</v>
      </c>
      <c r="B380" s="27" t="s">
        <v>6076</v>
      </c>
      <c r="C380" s="28">
        <v>1</v>
      </c>
      <c r="D380" s="29">
        <v>15</v>
      </c>
      <c r="E380" s="29">
        <v>15</v>
      </c>
      <c r="F380" s="30">
        <v>39.5</v>
      </c>
      <c r="G380" s="29">
        <v>39.5</v>
      </c>
      <c r="H380" s="28" t="s">
        <v>1634</v>
      </c>
      <c r="I380" s="27" t="s">
        <v>690</v>
      </c>
      <c r="J380" s="31" t="s">
        <v>71</v>
      </c>
      <c r="K380" s="27" t="s">
        <v>17</v>
      </c>
      <c r="L380" s="27" t="s">
        <v>18</v>
      </c>
      <c r="M380" s="32"/>
    </row>
    <row r="381" spans="1:13" ht="15.2" customHeight="1" x14ac:dyDescent="0.2">
      <c r="A381" s="26" t="s">
        <v>10199</v>
      </c>
      <c r="B381" s="27" t="s">
        <v>10200</v>
      </c>
      <c r="C381" s="28">
        <v>1</v>
      </c>
      <c r="D381" s="29">
        <v>15</v>
      </c>
      <c r="E381" s="29">
        <v>15</v>
      </c>
      <c r="F381" s="30">
        <v>49</v>
      </c>
      <c r="G381" s="29">
        <v>49</v>
      </c>
      <c r="H381" s="28" t="s">
        <v>10201</v>
      </c>
      <c r="I381" s="27" t="s">
        <v>4</v>
      </c>
      <c r="J381" s="31" t="s">
        <v>40</v>
      </c>
      <c r="K381" s="27" t="s">
        <v>24</v>
      </c>
      <c r="L381" s="27" t="s">
        <v>101</v>
      </c>
      <c r="M381" s="32"/>
    </row>
    <row r="382" spans="1:13" ht="15.2" customHeight="1" x14ac:dyDescent="0.2">
      <c r="A382" s="26" t="s">
        <v>548</v>
      </c>
      <c r="B382" s="27" t="s">
        <v>549</v>
      </c>
      <c r="C382" s="28">
        <v>1</v>
      </c>
      <c r="D382" s="29">
        <v>14.4</v>
      </c>
      <c r="E382" s="29">
        <v>14.4</v>
      </c>
      <c r="F382" s="30">
        <v>39.5</v>
      </c>
      <c r="G382" s="29">
        <v>39.5</v>
      </c>
      <c r="H382" s="28" t="s">
        <v>550</v>
      </c>
      <c r="I382" s="27" t="s">
        <v>4</v>
      </c>
      <c r="J382" s="31" t="s">
        <v>5</v>
      </c>
      <c r="K382" s="27" t="s">
        <v>41</v>
      </c>
      <c r="L382" s="27" t="s">
        <v>45</v>
      </c>
      <c r="M382" s="32"/>
    </row>
    <row r="383" spans="1:13" ht="15.2" customHeight="1" x14ac:dyDescent="0.2">
      <c r="A383" s="26" t="s">
        <v>5252</v>
      </c>
      <c r="B383" s="27" t="s">
        <v>5253</v>
      </c>
      <c r="C383" s="28">
        <v>1</v>
      </c>
      <c r="D383" s="29">
        <v>14.25</v>
      </c>
      <c r="E383" s="29">
        <v>14.25</v>
      </c>
      <c r="F383" s="30">
        <v>29.99</v>
      </c>
      <c r="G383" s="29">
        <v>29.99</v>
      </c>
      <c r="H383" s="28" t="s">
        <v>551</v>
      </c>
      <c r="I383" s="27" t="s">
        <v>59</v>
      </c>
      <c r="J383" s="31" t="s">
        <v>216</v>
      </c>
      <c r="K383" s="27" t="s">
        <v>200</v>
      </c>
      <c r="L383" s="27" t="s">
        <v>552</v>
      </c>
      <c r="M383" s="32"/>
    </row>
    <row r="384" spans="1:13" ht="15.2" customHeight="1" x14ac:dyDescent="0.2">
      <c r="A384" s="26" t="s">
        <v>10202</v>
      </c>
      <c r="B384" s="27" t="s">
        <v>10203</v>
      </c>
      <c r="C384" s="28">
        <v>1</v>
      </c>
      <c r="D384" s="29">
        <v>12.65</v>
      </c>
      <c r="E384" s="29">
        <v>12.65</v>
      </c>
      <c r="F384" s="30">
        <v>29</v>
      </c>
      <c r="G384" s="29">
        <v>29</v>
      </c>
      <c r="H384" s="28" t="s">
        <v>1020</v>
      </c>
      <c r="I384" s="27" t="s">
        <v>29</v>
      </c>
      <c r="J384" s="31" t="s">
        <v>216</v>
      </c>
      <c r="K384" s="27" t="s">
        <v>200</v>
      </c>
      <c r="L384" s="27" t="s">
        <v>765</v>
      </c>
      <c r="M384" s="32"/>
    </row>
    <row r="385" spans="1:13" ht="15.2" customHeight="1" x14ac:dyDescent="0.2">
      <c r="A385" s="26" t="s">
        <v>1023</v>
      </c>
      <c r="B385" s="27" t="s">
        <v>1024</v>
      </c>
      <c r="C385" s="28">
        <v>1</v>
      </c>
      <c r="D385" s="29">
        <v>12.65</v>
      </c>
      <c r="E385" s="29">
        <v>12.65</v>
      </c>
      <c r="F385" s="30">
        <v>29</v>
      </c>
      <c r="G385" s="29">
        <v>29</v>
      </c>
      <c r="H385" s="28" t="s">
        <v>1020</v>
      </c>
      <c r="I385" s="27" t="s">
        <v>29</v>
      </c>
      <c r="J385" s="31" t="s">
        <v>214</v>
      </c>
      <c r="K385" s="27" t="s">
        <v>200</v>
      </c>
      <c r="L385" s="27" t="s">
        <v>765</v>
      </c>
      <c r="M385" s="32"/>
    </row>
    <row r="386" spans="1:13" ht="15.2" customHeight="1" x14ac:dyDescent="0.2">
      <c r="A386" s="26" t="s">
        <v>10204</v>
      </c>
      <c r="B386" s="27" t="s">
        <v>10205</v>
      </c>
      <c r="C386" s="28">
        <v>1</v>
      </c>
      <c r="D386" s="29">
        <v>12.5</v>
      </c>
      <c r="E386" s="29">
        <v>12.5</v>
      </c>
      <c r="F386" s="30">
        <v>34.99</v>
      </c>
      <c r="G386" s="29">
        <v>34.99</v>
      </c>
      <c r="H386" s="28" t="s">
        <v>10206</v>
      </c>
      <c r="I386" s="27" t="s">
        <v>1</v>
      </c>
      <c r="J386" s="31" t="s">
        <v>210</v>
      </c>
      <c r="K386" s="27" t="s">
        <v>200</v>
      </c>
      <c r="L386" s="27" t="s">
        <v>287</v>
      </c>
      <c r="M386" s="32"/>
    </row>
    <row r="387" spans="1:13" ht="15.2" customHeight="1" x14ac:dyDescent="0.2">
      <c r="A387" s="26" t="s">
        <v>10207</v>
      </c>
      <c r="B387" s="27" t="s">
        <v>4086</v>
      </c>
      <c r="C387" s="28">
        <v>1</v>
      </c>
      <c r="D387" s="29">
        <v>12.5</v>
      </c>
      <c r="E387" s="29">
        <v>12.5</v>
      </c>
      <c r="F387" s="30">
        <v>34.99</v>
      </c>
      <c r="G387" s="29">
        <v>34.99</v>
      </c>
      <c r="H387" s="28" t="s">
        <v>4087</v>
      </c>
      <c r="I387" s="27" t="s">
        <v>4</v>
      </c>
      <c r="J387" s="31" t="s">
        <v>216</v>
      </c>
      <c r="K387" s="27" t="s">
        <v>200</v>
      </c>
      <c r="L387" s="27" t="s">
        <v>287</v>
      </c>
      <c r="M387" s="32"/>
    </row>
    <row r="388" spans="1:13" ht="15.2" customHeight="1" x14ac:dyDescent="0.2">
      <c r="A388" s="26" t="s">
        <v>10208</v>
      </c>
      <c r="B388" s="27" t="s">
        <v>10209</v>
      </c>
      <c r="C388" s="28">
        <v>1</v>
      </c>
      <c r="D388" s="29">
        <v>11.5</v>
      </c>
      <c r="E388" s="29">
        <v>11.5</v>
      </c>
      <c r="F388" s="30">
        <v>25.99</v>
      </c>
      <c r="G388" s="29">
        <v>25.99</v>
      </c>
      <c r="H388" s="28" t="s">
        <v>229</v>
      </c>
      <c r="I388" s="27" t="s">
        <v>343</v>
      </c>
      <c r="J388" s="31" t="s">
        <v>234</v>
      </c>
      <c r="K388" s="27" t="s">
        <v>200</v>
      </c>
      <c r="L388" s="27" t="s">
        <v>133</v>
      </c>
      <c r="M388" s="32"/>
    </row>
    <row r="389" spans="1:13" ht="15.2" customHeight="1" x14ac:dyDescent="0.2">
      <c r="A389" s="26" t="s">
        <v>10210</v>
      </c>
      <c r="B389" s="27" t="s">
        <v>10211</v>
      </c>
      <c r="C389" s="28">
        <v>1</v>
      </c>
      <c r="D389" s="29">
        <v>11.5</v>
      </c>
      <c r="E389" s="29">
        <v>11.5</v>
      </c>
      <c r="F389" s="30">
        <v>25.99</v>
      </c>
      <c r="G389" s="29">
        <v>25.99</v>
      </c>
      <c r="H389" s="28" t="s">
        <v>229</v>
      </c>
      <c r="I389" s="27" t="s">
        <v>1311</v>
      </c>
      <c r="J389" s="31" t="s">
        <v>230</v>
      </c>
      <c r="K389" s="27" t="s">
        <v>200</v>
      </c>
      <c r="L389" s="27" t="s">
        <v>133</v>
      </c>
      <c r="M389" s="32"/>
    </row>
    <row r="390" spans="1:13" ht="15.2" customHeight="1" x14ac:dyDescent="0.2">
      <c r="A390" s="26" t="s">
        <v>5870</v>
      </c>
      <c r="B390" s="27" t="s">
        <v>5871</v>
      </c>
      <c r="C390" s="28">
        <v>1</v>
      </c>
      <c r="D390" s="29">
        <v>11.5</v>
      </c>
      <c r="E390" s="29">
        <v>11.5</v>
      </c>
      <c r="F390" s="30">
        <v>25.99</v>
      </c>
      <c r="G390" s="29">
        <v>25.99</v>
      </c>
      <c r="H390" s="28" t="s">
        <v>229</v>
      </c>
      <c r="I390" s="27" t="s">
        <v>1311</v>
      </c>
      <c r="J390" s="31" t="s">
        <v>216</v>
      </c>
      <c r="K390" s="27" t="s">
        <v>200</v>
      </c>
      <c r="L390" s="27" t="s">
        <v>133</v>
      </c>
      <c r="M390" s="32"/>
    </row>
    <row r="391" spans="1:13" ht="15.2" customHeight="1" x14ac:dyDescent="0.2">
      <c r="A391" s="26" t="s">
        <v>10212</v>
      </c>
      <c r="B391" s="27" t="s">
        <v>10213</v>
      </c>
      <c r="C391" s="28">
        <v>2</v>
      </c>
      <c r="D391" s="29">
        <v>11</v>
      </c>
      <c r="E391" s="29">
        <v>22</v>
      </c>
      <c r="F391" s="30">
        <v>39</v>
      </c>
      <c r="G391" s="29">
        <v>78</v>
      </c>
      <c r="H391" s="28">
        <v>1024287</v>
      </c>
      <c r="I391" s="27"/>
      <c r="J391" s="31" t="s">
        <v>40</v>
      </c>
      <c r="K391" s="27" t="s">
        <v>154</v>
      </c>
      <c r="L391" s="27" t="s">
        <v>155</v>
      </c>
      <c r="M391" s="32"/>
    </row>
    <row r="392" spans="1:13" ht="15.2" customHeight="1" x14ac:dyDescent="0.2">
      <c r="A392" s="26" t="s">
        <v>2491</v>
      </c>
      <c r="B392" s="27" t="s">
        <v>2492</v>
      </c>
      <c r="C392" s="28">
        <v>1</v>
      </c>
      <c r="D392" s="29">
        <v>10.5</v>
      </c>
      <c r="E392" s="29">
        <v>10.5</v>
      </c>
      <c r="F392" s="30">
        <v>24.99</v>
      </c>
      <c r="G392" s="29">
        <v>24.99</v>
      </c>
      <c r="H392" s="28" t="s">
        <v>1043</v>
      </c>
      <c r="I392" s="27" t="s">
        <v>238</v>
      </c>
      <c r="J392" s="31" t="s">
        <v>5</v>
      </c>
      <c r="K392" s="27" t="s">
        <v>224</v>
      </c>
      <c r="L392" s="27" t="s">
        <v>239</v>
      </c>
      <c r="M392" s="32"/>
    </row>
    <row r="393" spans="1:13" ht="15.2" customHeight="1" x14ac:dyDescent="0.2">
      <c r="A393" s="26" t="s">
        <v>2026</v>
      </c>
      <c r="B393" s="27" t="s">
        <v>2027</v>
      </c>
      <c r="C393" s="28">
        <v>1</v>
      </c>
      <c r="D393" s="29">
        <v>10.5</v>
      </c>
      <c r="E393" s="29">
        <v>10.5</v>
      </c>
      <c r="F393" s="30">
        <v>24.99</v>
      </c>
      <c r="G393" s="29">
        <v>24.99</v>
      </c>
      <c r="H393" s="28" t="s">
        <v>573</v>
      </c>
      <c r="I393" s="27" t="s">
        <v>36</v>
      </c>
      <c r="J393" s="31" t="s">
        <v>5</v>
      </c>
      <c r="K393" s="27" t="s">
        <v>159</v>
      </c>
      <c r="L393" s="27" t="s">
        <v>160</v>
      </c>
      <c r="M393" s="32"/>
    </row>
    <row r="394" spans="1:13" ht="15.2" customHeight="1" x14ac:dyDescent="0.2">
      <c r="A394" s="26" t="s">
        <v>8747</v>
      </c>
      <c r="B394" s="27" t="s">
        <v>8748</v>
      </c>
      <c r="C394" s="28">
        <v>1</v>
      </c>
      <c r="D394" s="29">
        <v>9.5</v>
      </c>
      <c r="E394" s="29">
        <v>9.5</v>
      </c>
      <c r="F394" s="30">
        <v>19.989999999999998</v>
      </c>
      <c r="G394" s="29">
        <v>19.989999999999998</v>
      </c>
      <c r="H394" s="28" t="s">
        <v>8746</v>
      </c>
      <c r="I394" s="27" t="s">
        <v>144</v>
      </c>
      <c r="J394" s="31" t="s">
        <v>52</v>
      </c>
      <c r="K394" s="27" t="s">
        <v>200</v>
      </c>
      <c r="L394" s="27" t="s">
        <v>243</v>
      </c>
      <c r="M394" s="32"/>
    </row>
    <row r="395" spans="1:13" ht="15.2" customHeight="1" x14ac:dyDescent="0.2">
      <c r="A395" s="26" t="s">
        <v>1672</v>
      </c>
      <c r="B395" s="27" t="s">
        <v>1673</v>
      </c>
      <c r="C395" s="28">
        <v>1</v>
      </c>
      <c r="D395" s="29">
        <v>9.1999999999999993</v>
      </c>
      <c r="E395" s="29">
        <v>9.1999999999999993</v>
      </c>
      <c r="F395" s="30">
        <v>21.99</v>
      </c>
      <c r="G395" s="29">
        <v>21.99</v>
      </c>
      <c r="H395" s="28" t="s">
        <v>1674</v>
      </c>
      <c r="I395" s="27" t="s">
        <v>82</v>
      </c>
      <c r="J395" s="31" t="s">
        <v>21</v>
      </c>
      <c r="K395" s="27" t="s">
        <v>159</v>
      </c>
      <c r="L395" s="27" t="s">
        <v>160</v>
      </c>
      <c r="M395" s="32"/>
    </row>
    <row r="396" spans="1:13" ht="15.2" customHeight="1" x14ac:dyDescent="0.2">
      <c r="A396" s="26" t="s">
        <v>10214</v>
      </c>
      <c r="B396" s="27" t="s">
        <v>10215</v>
      </c>
      <c r="C396" s="28">
        <v>1</v>
      </c>
      <c r="D396" s="29">
        <v>9</v>
      </c>
      <c r="E396" s="29">
        <v>9</v>
      </c>
      <c r="F396" s="30">
        <v>22.99</v>
      </c>
      <c r="G396" s="29">
        <v>22.99</v>
      </c>
      <c r="H396" s="28" t="s">
        <v>10216</v>
      </c>
      <c r="I396" s="27" t="s">
        <v>10</v>
      </c>
      <c r="J396" s="31" t="s">
        <v>71</v>
      </c>
      <c r="K396" s="27" t="s">
        <v>200</v>
      </c>
      <c r="L396" s="27" t="s">
        <v>243</v>
      </c>
      <c r="M396" s="32"/>
    </row>
    <row r="397" spans="1:13" ht="15.2" customHeight="1" x14ac:dyDescent="0.2">
      <c r="A397" s="26" t="s">
        <v>2517</v>
      </c>
      <c r="B397" s="27" t="s">
        <v>2518</v>
      </c>
      <c r="C397" s="28">
        <v>2</v>
      </c>
      <c r="D397" s="29">
        <v>8.9</v>
      </c>
      <c r="E397" s="29">
        <v>17.8</v>
      </c>
      <c r="F397" s="30">
        <v>19.989999999999998</v>
      </c>
      <c r="G397" s="29">
        <v>39.979999999999997</v>
      </c>
      <c r="H397" s="28" t="s">
        <v>1362</v>
      </c>
      <c r="I397" s="27" t="s">
        <v>248</v>
      </c>
      <c r="J397" s="31" t="s">
        <v>52</v>
      </c>
      <c r="K397" s="27" t="s">
        <v>224</v>
      </c>
      <c r="L397" s="27" t="s">
        <v>276</v>
      </c>
      <c r="M397" s="32"/>
    </row>
    <row r="398" spans="1:13" ht="15.2" customHeight="1" x14ac:dyDescent="0.2">
      <c r="A398" s="26" t="s">
        <v>1678</v>
      </c>
      <c r="B398" s="27" t="s">
        <v>1679</v>
      </c>
      <c r="C398" s="28">
        <v>1</v>
      </c>
      <c r="D398" s="29">
        <v>8.25</v>
      </c>
      <c r="E398" s="29">
        <v>8.25</v>
      </c>
      <c r="F398" s="30">
        <v>22.99</v>
      </c>
      <c r="G398" s="29">
        <v>22.99</v>
      </c>
      <c r="H398" s="28" t="s">
        <v>1680</v>
      </c>
      <c r="I398" s="27" t="s">
        <v>1</v>
      </c>
      <c r="J398" s="31" t="s">
        <v>214</v>
      </c>
      <c r="K398" s="27" t="s">
        <v>200</v>
      </c>
      <c r="L398" s="27" t="s">
        <v>1201</v>
      </c>
      <c r="M398" s="32"/>
    </row>
    <row r="399" spans="1:13" ht="15.2" customHeight="1" x14ac:dyDescent="0.2">
      <c r="A399" s="26" t="s">
        <v>1689</v>
      </c>
      <c r="B399" s="27" t="s">
        <v>1690</v>
      </c>
      <c r="C399" s="28">
        <v>1</v>
      </c>
      <c r="D399" s="29">
        <v>8.25</v>
      </c>
      <c r="E399" s="29">
        <v>8.25</v>
      </c>
      <c r="F399" s="30">
        <v>22.99</v>
      </c>
      <c r="G399" s="29">
        <v>22.99</v>
      </c>
      <c r="H399" s="28" t="s">
        <v>1680</v>
      </c>
      <c r="I399" s="27" t="s">
        <v>1</v>
      </c>
      <c r="J399" s="31" t="s">
        <v>216</v>
      </c>
      <c r="K399" s="27" t="s">
        <v>200</v>
      </c>
      <c r="L399" s="27" t="s">
        <v>1201</v>
      </c>
      <c r="M399" s="32"/>
    </row>
    <row r="400" spans="1:13" ht="15.2" customHeight="1" x14ac:dyDescent="0.2">
      <c r="A400" s="26" t="s">
        <v>2795</v>
      </c>
      <c r="B400" s="27" t="s">
        <v>2796</v>
      </c>
      <c r="C400" s="28">
        <v>1</v>
      </c>
      <c r="D400" s="29">
        <v>6.3</v>
      </c>
      <c r="E400" s="29">
        <v>6.3</v>
      </c>
      <c r="F400" s="30">
        <v>14.99</v>
      </c>
      <c r="G400" s="29">
        <v>14.99</v>
      </c>
      <c r="H400" s="28" t="s">
        <v>2066</v>
      </c>
      <c r="I400" s="27" t="s">
        <v>103</v>
      </c>
      <c r="J400" s="31" t="s">
        <v>71</v>
      </c>
      <c r="K400" s="27" t="s">
        <v>159</v>
      </c>
      <c r="L400" s="27" t="s">
        <v>160</v>
      </c>
      <c r="M400" s="32"/>
    </row>
    <row r="401" spans="1:13" ht="15.2" customHeight="1" x14ac:dyDescent="0.2">
      <c r="A401" s="26" t="s">
        <v>2065</v>
      </c>
      <c r="B401" s="27" t="s">
        <v>1694</v>
      </c>
      <c r="C401" s="28">
        <v>1</v>
      </c>
      <c r="D401" s="29">
        <v>6.3</v>
      </c>
      <c r="E401" s="29">
        <v>6.3</v>
      </c>
      <c r="F401" s="30">
        <v>14.99</v>
      </c>
      <c r="G401" s="29">
        <v>14.99</v>
      </c>
      <c r="H401" s="28" t="s">
        <v>1695</v>
      </c>
      <c r="I401" s="27" t="s">
        <v>4</v>
      </c>
      <c r="J401" s="31" t="s">
        <v>40</v>
      </c>
      <c r="K401" s="27" t="s">
        <v>159</v>
      </c>
      <c r="L401" s="27" t="s">
        <v>160</v>
      </c>
      <c r="M401" s="32"/>
    </row>
    <row r="402" spans="1:13" ht="15.2" customHeight="1" x14ac:dyDescent="0.2">
      <c r="A402" s="26" t="s">
        <v>8178</v>
      </c>
      <c r="B402" s="27" t="s">
        <v>2067</v>
      </c>
      <c r="C402" s="28">
        <v>1</v>
      </c>
      <c r="D402" s="29">
        <v>6.3</v>
      </c>
      <c r="E402" s="29">
        <v>6.3</v>
      </c>
      <c r="F402" s="30">
        <v>14.99</v>
      </c>
      <c r="G402" s="29">
        <v>14.99</v>
      </c>
      <c r="H402" s="28" t="s">
        <v>2068</v>
      </c>
      <c r="I402" s="27" t="s">
        <v>82</v>
      </c>
      <c r="J402" s="31" t="s">
        <v>21</v>
      </c>
      <c r="K402" s="27" t="s">
        <v>159</v>
      </c>
      <c r="L402" s="27" t="s">
        <v>160</v>
      </c>
      <c r="M402" s="32"/>
    </row>
    <row r="403" spans="1:13" ht="15.2" customHeight="1" x14ac:dyDescent="0.2">
      <c r="A403" s="26" t="s">
        <v>1698</v>
      </c>
      <c r="B403" s="27" t="s">
        <v>1699</v>
      </c>
      <c r="C403" s="28">
        <v>3</v>
      </c>
      <c r="D403" s="29">
        <v>5.75</v>
      </c>
      <c r="E403" s="29">
        <v>17.25</v>
      </c>
      <c r="F403" s="30">
        <v>12.99</v>
      </c>
      <c r="G403" s="29">
        <v>38.97</v>
      </c>
      <c r="H403" s="28" t="s">
        <v>1700</v>
      </c>
      <c r="I403" s="27" t="s">
        <v>82</v>
      </c>
      <c r="J403" s="31" t="s">
        <v>5</v>
      </c>
      <c r="K403" s="27" t="s">
        <v>282</v>
      </c>
      <c r="L403" s="27" t="s">
        <v>386</v>
      </c>
      <c r="M403" s="32"/>
    </row>
    <row r="404" spans="1:13" ht="15.2" customHeight="1" x14ac:dyDescent="0.2">
      <c r="A404" s="26" t="s">
        <v>2540</v>
      </c>
      <c r="B404" s="27" t="s">
        <v>2537</v>
      </c>
      <c r="C404" s="28">
        <v>2</v>
      </c>
      <c r="D404" s="29">
        <v>5.65</v>
      </c>
      <c r="E404" s="29">
        <v>11.3</v>
      </c>
      <c r="F404" s="30">
        <v>12.99</v>
      </c>
      <c r="G404" s="29">
        <v>25.98</v>
      </c>
      <c r="H404" s="28" t="s">
        <v>2538</v>
      </c>
      <c r="I404" s="27" t="s">
        <v>280</v>
      </c>
      <c r="J404" s="31" t="s">
        <v>5</v>
      </c>
      <c r="K404" s="27" t="s">
        <v>282</v>
      </c>
      <c r="L404" s="27" t="s">
        <v>393</v>
      </c>
      <c r="M404" s="32"/>
    </row>
    <row r="405" spans="1:13" ht="15.2" customHeight="1" x14ac:dyDescent="0.2">
      <c r="A405" s="26" t="s">
        <v>2536</v>
      </c>
      <c r="B405" s="27" t="s">
        <v>2537</v>
      </c>
      <c r="C405" s="28">
        <v>2</v>
      </c>
      <c r="D405" s="29">
        <v>5.65</v>
      </c>
      <c r="E405" s="29">
        <v>11.3</v>
      </c>
      <c r="F405" s="30">
        <v>12.99</v>
      </c>
      <c r="G405" s="29">
        <v>25.98</v>
      </c>
      <c r="H405" s="28" t="s">
        <v>2538</v>
      </c>
      <c r="I405" s="27" t="s">
        <v>280</v>
      </c>
      <c r="J405" s="31" t="s">
        <v>40</v>
      </c>
      <c r="K405" s="27" t="s">
        <v>282</v>
      </c>
      <c r="L405" s="27" t="s">
        <v>393</v>
      </c>
      <c r="M405" s="32"/>
    </row>
    <row r="406" spans="1:13" ht="15.2" customHeight="1" x14ac:dyDescent="0.2">
      <c r="A406" s="26" t="s">
        <v>7828</v>
      </c>
      <c r="B406" s="27" t="s">
        <v>7829</v>
      </c>
      <c r="C406" s="28">
        <v>3</v>
      </c>
      <c r="D406" s="29">
        <v>5</v>
      </c>
      <c r="E406" s="29">
        <v>15</v>
      </c>
      <c r="F406" s="30">
        <v>12.99</v>
      </c>
      <c r="G406" s="29">
        <v>38.97</v>
      </c>
      <c r="H406" s="28" t="s">
        <v>1075</v>
      </c>
      <c r="I406" s="27" t="s">
        <v>36</v>
      </c>
      <c r="J406" s="31" t="s">
        <v>5</v>
      </c>
      <c r="K406" s="27" t="s">
        <v>282</v>
      </c>
      <c r="L406" s="27" t="s">
        <v>325</v>
      </c>
      <c r="M406" s="3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437"/>
  <sheetViews>
    <sheetView workbookViewId="0">
      <selection activeCell="B18" sqref="B18"/>
    </sheetView>
  </sheetViews>
  <sheetFormatPr defaultRowHeight="15.2" customHeight="1" x14ac:dyDescent="0.2"/>
  <cols>
    <col min="1" max="1" width="14.85546875" style="1" bestFit="1" customWidth="1"/>
    <col min="2" max="2" width="77.28515625" style="1" bestFit="1" customWidth="1"/>
    <col min="3" max="3" width="6.42578125" style="1" bestFit="1" customWidth="1"/>
    <col min="4" max="4" width="7.5703125" style="1" bestFit="1" customWidth="1"/>
    <col min="5" max="5" width="9.5703125" style="1" bestFit="1" customWidth="1"/>
    <col min="6" max="6" width="8.7109375" style="1" bestFit="1" customWidth="1"/>
    <col min="7" max="7" width="11.140625" style="1" bestFit="1" customWidth="1"/>
    <col min="8" max="8" width="22.5703125" style="1" bestFit="1" customWidth="1"/>
    <col min="9" max="9" width="14.7109375" style="1" bestFit="1" customWidth="1"/>
    <col min="10" max="10" width="12.85546875" style="1" bestFit="1" customWidth="1"/>
    <col min="11" max="11" width="19" style="1" bestFit="1" customWidth="1"/>
    <col min="12" max="12" width="45" style="1" bestFit="1" customWidth="1"/>
    <col min="13" max="13" width="49.42578125" style="1" bestFit="1" customWidth="1"/>
    <col min="14" max="16384" width="9.140625" style="1"/>
  </cols>
  <sheetData>
    <row r="1" spans="1:13" ht="15.2" customHeight="1" x14ac:dyDescent="0.2">
      <c r="A1" s="25" t="s">
        <v>0</v>
      </c>
      <c r="B1" s="25" t="s">
        <v>11929</v>
      </c>
      <c r="C1" s="25" t="s">
        <v>11915</v>
      </c>
      <c r="D1" s="25" t="s">
        <v>11927</v>
      </c>
      <c r="E1" s="25" t="s">
        <v>11928</v>
      </c>
      <c r="F1" s="25" t="s">
        <v>11919</v>
      </c>
      <c r="G1" s="25" t="s">
        <v>11920</v>
      </c>
      <c r="H1" s="25" t="s">
        <v>11921</v>
      </c>
      <c r="I1" s="25" t="s">
        <v>11922</v>
      </c>
      <c r="J1" s="25" t="s">
        <v>11923</v>
      </c>
      <c r="K1" s="25" t="s">
        <v>11924</v>
      </c>
      <c r="L1" s="25" t="s">
        <v>11925</v>
      </c>
      <c r="M1" s="25" t="s">
        <v>11926</v>
      </c>
    </row>
    <row r="2" spans="1:13" ht="15.2" customHeight="1" x14ac:dyDescent="0.2">
      <c r="A2" s="26" t="s">
        <v>10346</v>
      </c>
      <c r="B2" s="27" t="s">
        <v>10347</v>
      </c>
      <c r="C2" s="28">
        <v>1</v>
      </c>
      <c r="D2" s="29">
        <v>55</v>
      </c>
      <c r="E2" s="29">
        <v>55</v>
      </c>
      <c r="F2" s="30">
        <v>169</v>
      </c>
      <c r="G2" s="29">
        <v>169</v>
      </c>
      <c r="H2" s="28" t="s">
        <v>10348</v>
      </c>
      <c r="I2" s="27" t="s">
        <v>146</v>
      </c>
      <c r="J2" s="31" t="s">
        <v>69</v>
      </c>
      <c r="K2" s="27" t="s">
        <v>24</v>
      </c>
      <c r="L2" s="27" t="s">
        <v>485</v>
      </c>
      <c r="M2" s="32" t="str">
        <f>HYPERLINK("http://slimages.macys.com/is/image/MCY/3404765 ")</f>
        <v xml:space="preserve">http://slimages.macys.com/is/image/MCY/3404765 </v>
      </c>
    </row>
    <row r="3" spans="1:13" ht="15.2" customHeight="1" x14ac:dyDescent="0.2">
      <c r="A3" s="26" t="s">
        <v>10349</v>
      </c>
      <c r="B3" s="27" t="s">
        <v>10350</v>
      </c>
      <c r="C3" s="28">
        <v>1</v>
      </c>
      <c r="D3" s="29">
        <v>52.12</v>
      </c>
      <c r="E3" s="29">
        <v>52.12</v>
      </c>
      <c r="F3" s="30">
        <v>139</v>
      </c>
      <c r="G3" s="29">
        <v>139</v>
      </c>
      <c r="H3" s="28">
        <v>7056913</v>
      </c>
      <c r="I3" s="27" t="s">
        <v>189</v>
      </c>
      <c r="J3" s="31" t="s">
        <v>8334</v>
      </c>
      <c r="K3" s="27" t="s">
        <v>462</v>
      </c>
      <c r="L3" s="27" t="s">
        <v>463</v>
      </c>
      <c r="M3" s="32" t="str">
        <f>HYPERLINK("http://slimages.macys.com/is/image/MCY/3699417 ")</f>
        <v xml:space="preserve">http://slimages.macys.com/is/image/MCY/3699417 </v>
      </c>
    </row>
    <row r="4" spans="1:13" ht="15.2" customHeight="1" x14ac:dyDescent="0.2">
      <c r="A4" s="26" t="s">
        <v>8350</v>
      </c>
      <c r="B4" s="27" t="s">
        <v>8351</v>
      </c>
      <c r="C4" s="28">
        <v>1</v>
      </c>
      <c r="D4" s="29">
        <v>49</v>
      </c>
      <c r="E4" s="29">
        <v>49</v>
      </c>
      <c r="F4" s="30">
        <v>149</v>
      </c>
      <c r="G4" s="29">
        <v>149</v>
      </c>
      <c r="H4" s="28" t="s">
        <v>8352</v>
      </c>
      <c r="I4" s="27" t="s">
        <v>4</v>
      </c>
      <c r="J4" s="31" t="s">
        <v>69</v>
      </c>
      <c r="K4" s="27" t="s">
        <v>24</v>
      </c>
      <c r="L4" s="27" t="s">
        <v>25</v>
      </c>
      <c r="M4" s="32" t="str">
        <f>HYPERLINK("http://slimages.macys.com/is/image/MCY/3471207 ")</f>
        <v xml:space="preserve">http://slimages.macys.com/is/image/MCY/3471207 </v>
      </c>
    </row>
    <row r="5" spans="1:13" ht="15.2" customHeight="1" x14ac:dyDescent="0.2">
      <c r="A5" s="26" t="s">
        <v>10351</v>
      </c>
      <c r="B5" s="27" t="s">
        <v>10352</v>
      </c>
      <c r="C5" s="28">
        <v>1</v>
      </c>
      <c r="D5" s="29">
        <v>37</v>
      </c>
      <c r="E5" s="29">
        <v>37</v>
      </c>
      <c r="F5" s="30">
        <v>89</v>
      </c>
      <c r="G5" s="29">
        <v>89</v>
      </c>
      <c r="H5" s="28">
        <v>2033</v>
      </c>
      <c r="I5" s="27" t="s">
        <v>29</v>
      </c>
      <c r="J5" s="31" t="s">
        <v>10353</v>
      </c>
      <c r="K5" s="27" t="s">
        <v>1089</v>
      </c>
      <c r="L5" s="27" t="s">
        <v>4432</v>
      </c>
      <c r="M5" s="32" t="str">
        <f>HYPERLINK("http://slimages.macys.com/is/image/MCY/3848522 ")</f>
        <v xml:space="preserve">http://slimages.macys.com/is/image/MCY/3848522 </v>
      </c>
    </row>
    <row r="6" spans="1:13" ht="15.2" customHeight="1" x14ac:dyDescent="0.2">
      <c r="A6" s="26" t="s">
        <v>10354</v>
      </c>
      <c r="B6" s="27" t="s">
        <v>10355</v>
      </c>
      <c r="C6" s="28">
        <v>1</v>
      </c>
      <c r="D6" s="29">
        <v>30</v>
      </c>
      <c r="E6" s="29">
        <v>30</v>
      </c>
      <c r="F6" s="30">
        <v>79.5</v>
      </c>
      <c r="G6" s="29">
        <v>79.5</v>
      </c>
      <c r="H6" s="28" t="s">
        <v>5982</v>
      </c>
      <c r="I6" s="27"/>
      <c r="J6" s="31"/>
      <c r="K6" s="27" t="s">
        <v>17</v>
      </c>
      <c r="L6" s="27" t="s">
        <v>18</v>
      </c>
      <c r="M6" s="32" t="str">
        <f>HYPERLINK("http://slimages.macys.com/is/image/MCY/3876472 ")</f>
        <v xml:space="preserve">http://slimages.macys.com/is/image/MCY/3876472 </v>
      </c>
    </row>
    <row r="7" spans="1:13" ht="15.2" customHeight="1" x14ac:dyDescent="0.2">
      <c r="A7" s="26" t="s">
        <v>1715</v>
      </c>
      <c r="B7" s="27" t="s">
        <v>1716</v>
      </c>
      <c r="C7" s="28">
        <v>1</v>
      </c>
      <c r="D7" s="29">
        <v>30</v>
      </c>
      <c r="E7" s="29">
        <v>30</v>
      </c>
      <c r="F7" s="30">
        <v>79.5</v>
      </c>
      <c r="G7" s="29">
        <v>79.5</v>
      </c>
      <c r="H7" s="28" t="s">
        <v>1717</v>
      </c>
      <c r="I7" s="27"/>
      <c r="J7" s="31"/>
      <c r="K7" s="27" t="s">
        <v>17</v>
      </c>
      <c r="L7" s="27" t="s">
        <v>18</v>
      </c>
      <c r="M7" s="32" t="str">
        <f>HYPERLINK("http://slimages.macys.com/is/image/MCY/3750300 ")</f>
        <v xml:space="preserve">http://slimages.macys.com/is/image/MCY/3750300 </v>
      </c>
    </row>
    <row r="8" spans="1:13" ht="15.2" customHeight="1" x14ac:dyDescent="0.2">
      <c r="A8" s="26" t="s">
        <v>10356</v>
      </c>
      <c r="B8" s="27" t="s">
        <v>10357</v>
      </c>
      <c r="C8" s="28">
        <v>1</v>
      </c>
      <c r="D8" s="29">
        <v>28.5</v>
      </c>
      <c r="E8" s="29">
        <v>28.5</v>
      </c>
      <c r="F8" s="30">
        <v>89</v>
      </c>
      <c r="G8" s="29">
        <v>89</v>
      </c>
      <c r="H8" s="28" t="s">
        <v>10358</v>
      </c>
      <c r="I8" s="27" t="s">
        <v>144</v>
      </c>
      <c r="J8" s="31" t="s">
        <v>234</v>
      </c>
      <c r="K8" s="27" t="s">
        <v>24</v>
      </c>
      <c r="L8" s="27" t="s">
        <v>25</v>
      </c>
      <c r="M8" s="32" t="str">
        <f>HYPERLINK("http://slimages.macys.com/is/image/MCY/3532004 ")</f>
        <v xml:space="preserve">http://slimages.macys.com/is/image/MCY/3532004 </v>
      </c>
    </row>
    <row r="9" spans="1:13" ht="15.2" customHeight="1" x14ac:dyDescent="0.2">
      <c r="A9" s="26" t="s">
        <v>8756</v>
      </c>
      <c r="B9" s="27" t="s">
        <v>8757</v>
      </c>
      <c r="C9" s="28">
        <v>1</v>
      </c>
      <c r="D9" s="29">
        <v>27.5</v>
      </c>
      <c r="E9" s="29">
        <v>27.5</v>
      </c>
      <c r="F9" s="30">
        <v>79</v>
      </c>
      <c r="G9" s="29">
        <v>79</v>
      </c>
      <c r="H9" s="28" t="s">
        <v>8758</v>
      </c>
      <c r="I9" s="27" t="s">
        <v>248</v>
      </c>
      <c r="J9" s="31" t="s">
        <v>21</v>
      </c>
      <c r="K9" s="27" t="s">
        <v>37</v>
      </c>
      <c r="L9" s="27" t="s">
        <v>38</v>
      </c>
      <c r="M9" s="32" t="str">
        <f>HYPERLINK("http://slimages.macys.com/is/image/MCY/3717666 ")</f>
        <v xml:space="preserve">http://slimages.macys.com/is/image/MCY/3717666 </v>
      </c>
    </row>
    <row r="10" spans="1:13" ht="15.2" customHeight="1" x14ac:dyDescent="0.2">
      <c r="A10" s="26" t="s">
        <v>10359</v>
      </c>
      <c r="B10" s="27" t="s">
        <v>10360</v>
      </c>
      <c r="C10" s="28">
        <v>1</v>
      </c>
      <c r="D10" s="29">
        <v>27</v>
      </c>
      <c r="E10" s="29">
        <v>27</v>
      </c>
      <c r="F10" s="30">
        <v>69.5</v>
      </c>
      <c r="G10" s="29">
        <v>69.5</v>
      </c>
      <c r="H10" s="28" t="s">
        <v>19</v>
      </c>
      <c r="I10" s="27" t="s">
        <v>20</v>
      </c>
      <c r="J10" s="31" t="s">
        <v>5</v>
      </c>
      <c r="K10" s="27" t="s">
        <v>17</v>
      </c>
      <c r="L10" s="27" t="s">
        <v>18</v>
      </c>
      <c r="M10" s="32" t="str">
        <f>HYPERLINK("http://slimages.macys.com/is/image/MCY/3971150 ")</f>
        <v xml:space="preserve">http://slimages.macys.com/is/image/MCY/3971150 </v>
      </c>
    </row>
    <row r="11" spans="1:13" ht="15.2" customHeight="1" x14ac:dyDescent="0.2">
      <c r="A11" s="26" t="s">
        <v>1727</v>
      </c>
      <c r="B11" s="27" t="s">
        <v>1728</v>
      </c>
      <c r="C11" s="28">
        <v>1</v>
      </c>
      <c r="D11" s="29">
        <v>27</v>
      </c>
      <c r="E11" s="29">
        <v>27</v>
      </c>
      <c r="F11" s="30">
        <v>69.5</v>
      </c>
      <c r="G11" s="29">
        <v>69.5</v>
      </c>
      <c r="H11" s="28" t="s">
        <v>19</v>
      </c>
      <c r="I11" s="27" t="s">
        <v>20</v>
      </c>
      <c r="J11" s="31" t="s">
        <v>71</v>
      </c>
      <c r="K11" s="27" t="s">
        <v>17</v>
      </c>
      <c r="L11" s="27" t="s">
        <v>18</v>
      </c>
      <c r="M11" s="32" t="str">
        <f>HYPERLINK("http://slimages.macys.com/is/image/MCY/3971150 ")</f>
        <v xml:space="preserve">http://slimages.macys.com/is/image/MCY/3971150 </v>
      </c>
    </row>
    <row r="12" spans="1:13" ht="15.2" customHeight="1" x14ac:dyDescent="0.2">
      <c r="A12" s="26" t="s">
        <v>7711</v>
      </c>
      <c r="B12" s="27" t="s">
        <v>7712</v>
      </c>
      <c r="C12" s="28">
        <v>1</v>
      </c>
      <c r="D12" s="29">
        <v>27</v>
      </c>
      <c r="E12" s="29">
        <v>27</v>
      </c>
      <c r="F12" s="30">
        <v>69.5</v>
      </c>
      <c r="G12" s="29">
        <v>69.5</v>
      </c>
      <c r="H12" s="28" t="s">
        <v>19</v>
      </c>
      <c r="I12" s="27" t="s">
        <v>20</v>
      </c>
      <c r="J12" s="31" t="s">
        <v>40</v>
      </c>
      <c r="K12" s="27" t="s">
        <v>17</v>
      </c>
      <c r="L12" s="27" t="s">
        <v>18</v>
      </c>
      <c r="M12" s="32" t="str">
        <f>HYPERLINK("http://slimages.macys.com/is/image/MCY/3971150 ")</f>
        <v xml:space="preserve">http://slimages.macys.com/is/image/MCY/3971150 </v>
      </c>
    </row>
    <row r="13" spans="1:13" ht="15.2" customHeight="1" x14ac:dyDescent="0.2">
      <c r="A13" s="26" t="s">
        <v>2803</v>
      </c>
      <c r="B13" s="27" t="s">
        <v>2804</v>
      </c>
      <c r="C13" s="28">
        <v>1</v>
      </c>
      <c r="D13" s="29">
        <v>26</v>
      </c>
      <c r="E13" s="29">
        <v>26</v>
      </c>
      <c r="F13" s="30">
        <v>79</v>
      </c>
      <c r="G13" s="29">
        <v>79</v>
      </c>
      <c r="H13" s="28" t="s">
        <v>2805</v>
      </c>
      <c r="I13" s="27" t="s">
        <v>4</v>
      </c>
      <c r="J13" s="31"/>
      <c r="K13" s="27" t="s">
        <v>24</v>
      </c>
      <c r="L13" s="27" t="s">
        <v>67</v>
      </c>
      <c r="M13" s="32" t="str">
        <f>HYPERLINK("http://slimages.macys.com/is/image/MCY/3817400 ")</f>
        <v xml:space="preserve">http://slimages.macys.com/is/image/MCY/3817400 </v>
      </c>
    </row>
    <row r="14" spans="1:13" ht="15.2" customHeight="1" x14ac:dyDescent="0.2">
      <c r="A14" s="26" t="s">
        <v>4922</v>
      </c>
      <c r="B14" s="27" t="s">
        <v>4923</v>
      </c>
      <c r="C14" s="28">
        <v>1</v>
      </c>
      <c r="D14" s="29">
        <v>26</v>
      </c>
      <c r="E14" s="29">
        <v>26</v>
      </c>
      <c r="F14" s="30">
        <v>79</v>
      </c>
      <c r="G14" s="29">
        <v>79</v>
      </c>
      <c r="H14" s="28" t="s">
        <v>2805</v>
      </c>
      <c r="I14" s="27" t="s">
        <v>4</v>
      </c>
      <c r="J14" s="31"/>
      <c r="K14" s="27" t="s">
        <v>24</v>
      </c>
      <c r="L14" s="27" t="s">
        <v>67</v>
      </c>
      <c r="M14" s="32" t="str">
        <f>HYPERLINK("http://slimages.macys.com/is/image/MCY/3817400 ")</f>
        <v xml:space="preserve">http://slimages.macys.com/is/image/MCY/3817400 </v>
      </c>
    </row>
    <row r="15" spans="1:13" ht="15.2" customHeight="1" x14ac:dyDescent="0.2">
      <c r="A15" s="26" t="s">
        <v>10217</v>
      </c>
      <c r="B15" s="27" t="s">
        <v>10218</v>
      </c>
      <c r="C15" s="28">
        <v>1</v>
      </c>
      <c r="D15" s="29">
        <v>26</v>
      </c>
      <c r="E15" s="29">
        <v>26</v>
      </c>
      <c r="F15" s="30">
        <v>79</v>
      </c>
      <c r="G15" s="29">
        <v>79</v>
      </c>
      <c r="H15" s="28" t="s">
        <v>2805</v>
      </c>
      <c r="I15" s="27" t="s">
        <v>4</v>
      </c>
      <c r="J15" s="31"/>
      <c r="K15" s="27" t="s">
        <v>24</v>
      </c>
      <c r="L15" s="27" t="s">
        <v>67</v>
      </c>
      <c r="M15" s="32" t="str">
        <f>HYPERLINK("http://slimages.macys.com/is/image/MCY/3817400 ")</f>
        <v xml:space="preserve">http://slimages.macys.com/is/image/MCY/3817400 </v>
      </c>
    </row>
    <row r="16" spans="1:13" ht="15.2" customHeight="1" x14ac:dyDescent="0.2">
      <c r="A16" s="26" t="s">
        <v>4924</v>
      </c>
      <c r="B16" s="27" t="s">
        <v>4925</v>
      </c>
      <c r="C16" s="28">
        <v>1</v>
      </c>
      <c r="D16" s="29">
        <v>25.34</v>
      </c>
      <c r="E16" s="29">
        <v>25.34</v>
      </c>
      <c r="F16" s="30">
        <v>69.5</v>
      </c>
      <c r="G16" s="29">
        <v>69.5</v>
      </c>
      <c r="H16" s="28" t="s">
        <v>4926</v>
      </c>
      <c r="I16" s="27" t="s">
        <v>10</v>
      </c>
      <c r="J16" s="31" t="s">
        <v>21</v>
      </c>
      <c r="K16" s="27" t="s">
        <v>41</v>
      </c>
      <c r="L16" s="27" t="s">
        <v>45</v>
      </c>
      <c r="M16" s="32" t="str">
        <f>HYPERLINK("http://slimages.macys.com/is/image/MCY/3802135 ")</f>
        <v xml:space="preserve">http://slimages.macys.com/is/image/MCY/3802135 </v>
      </c>
    </row>
    <row r="17" spans="1:13" ht="15.2" customHeight="1" x14ac:dyDescent="0.2">
      <c r="A17" s="26" t="s">
        <v>9962</v>
      </c>
      <c r="B17" s="27" t="s">
        <v>9963</v>
      </c>
      <c r="C17" s="28">
        <v>1</v>
      </c>
      <c r="D17" s="29">
        <v>25.34</v>
      </c>
      <c r="E17" s="29">
        <v>25.34</v>
      </c>
      <c r="F17" s="30">
        <v>69.5</v>
      </c>
      <c r="G17" s="29">
        <v>69.5</v>
      </c>
      <c r="H17" s="28" t="s">
        <v>4926</v>
      </c>
      <c r="I17" s="27" t="s">
        <v>10</v>
      </c>
      <c r="J17" s="31" t="s">
        <v>52</v>
      </c>
      <c r="K17" s="27" t="s">
        <v>41</v>
      </c>
      <c r="L17" s="27" t="s">
        <v>45</v>
      </c>
      <c r="M17" s="32" t="str">
        <f>HYPERLINK("http://slimages.macys.com/is/image/MCY/3802135 ")</f>
        <v xml:space="preserve">http://slimages.macys.com/is/image/MCY/3802135 </v>
      </c>
    </row>
    <row r="18" spans="1:13" ht="15.2" customHeight="1" x14ac:dyDescent="0.2">
      <c r="A18" s="26" t="s">
        <v>10361</v>
      </c>
      <c r="B18" s="27" t="s">
        <v>10362</v>
      </c>
      <c r="C18" s="28">
        <v>1</v>
      </c>
      <c r="D18" s="29">
        <v>25.25</v>
      </c>
      <c r="E18" s="29">
        <v>25.25</v>
      </c>
      <c r="F18" s="30">
        <v>79</v>
      </c>
      <c r="G18" s="29">
        <v>79</v>
      </c>
      <c r="H18" s="28" t="s">
        <v>10363</v>
      </c>
      <c r="I18" s="27" t="s">
        <v>82</v>
      </c>
      <c r="J18" s="31" t="s">
        <v>71</v>
      </c>
      <c r="K18" s="27" t="s">
        <v>37</v>
      </c>
      <c r="L18" s="27" t="s">
        <v>38</v>
      </c>
      <c r="M18" s="32" t="str">
        <f>HYPERLINK("http://slimages.macys.com/is/image/MCY/3265405 ")</f>
        <v xml:space="preserve">http://slimages.macys.com/is/image/MCY/3265405 </v>
      </c>
    </row>
    <row r="19" spans="1:13" ht="15.2" customHeight="1" x14ac:dyDescent="0.2">
      <c r="A19" s="26" t="s">
        <v>10364</v>
      </c>
      <c r="B19" s="27" t="s">
        <v>10365</v>
      </c>
      <c r="C19" s="28">
        <v>1</v>
      </c>
      <c r="D19" s="29">
        <v>24.34</v>
      </c>
      <c r="E19" s="29">
        <v>24.34</v>
      </c>
      <c r="F19" s="30">
        <v>39.99</v>
      </c>
      <c r="G19" s="29">
        <v>39.99</v>
      </c>
      <c r="H19" s="28">
        <v>177780038</v>
      </c>
      <c r="I19" s="27" t="s">
        <v>244</v>
      </c>
      <c r="J19" s="31"/>
      <c r="K19" s="27" t="s">
        <v>2</v>
      </c>
      <c r="L19" s="27" t="s">
        <v>3</v>
      </c>
      <c r="M19" s="32" t="str">
        <f>HYPERLINK("http://slimages.macys.com/is/image/MCY/2885571 ")</f>
        <v xml:space="preserve">http://slimages.macys.com/is/image/MCY/2885571 </v>
      </c>
    </row>
    <row r="20" spans="1:13" ht="15.2" customHeight="1" x14ac:dyDescent="0.2">
      <c r="A20" s="26" t="s">
        <v>10366</v>
      </c>
      <c r="B20" s="27" t="s">
        <v>10367</v>
      </c>
      <c r="C20" s="28">
        <v>1</v>
      </c>
      <c r="D20" s="29">
        <v>24.25</v>
      </c>
      <c r="E20" s="29">
        <v>24.25</v>
      </c>
      <c r="F20" s="30">
        <v>69</v>
      </c>
      <c r="G20" s="29">
        <v>69</v>
      </c>
      <c r="H20" s="28">
        <v>49014</v>
      </c>
      <c r="I20" s="27" t="s">
        <v>4</v>
      </c>
      <c r="J20" s="31" t="s">
        <v>516</v>
      </c>
      <c r="K20" s="27" t="s">
        <v>24</v>
      </c>
      <c r="L20" s="27" t="s">
        <v>35</v>
      </c>
      <c r="M20" s="32" t="str">
        <f>HYPERLINK("http://slimages.macys.com/is/image/MCY/3664289 ")</f>
        <v xml:space="preserve">http://slimages.macys.com/is/image/MCY/3664289 </v>
      </c>
    </row>
    <row r="21" spans="1:13" ht="15.2" customHeight="1" x14ac:dyDescent="0.2">
      <c r="A21" s="26" t="s">
        <v>10368</v>
      </c>
      <c r="B21" s="27" t="s">
        <v>10369</v>
      </c>
      <c r="C21" s="28">
        <v>1</v>
      </c>
      <c r="D21" s="29">
        <v>24.25</v>
      </c>
      <c r="E21" s="29">
        <v>24.25</v>
      </c>
      <c r="F21" s="30">
        <v>69</v>
      </c>
      <c r="G21" s="29">
        <v>69</v>
      </c>
      <c r="H21" s="28">
        <v>49014</v>
      </c>
      <c r="I21" s="27" t="s">
        <v>4</v>
      </c>
      <c r="J21" s="31" t="s">
        <v>40</v>
      </c>
      <c r="K21" s="27" t="s">
        <v>24</v>
      </c>
      <c r="L21" s="27" t="s">
        <v>35</v>
      </c>
      <c r="M21" s="32" t="str">
        <f>HYPERLINK("http://slimages.macys.com/is/image/MCY/3664289 ")</f>
        <v xml:space="preserve">http://slimages.macys.com/is/image/MCY/3664289 </v>
      </c>
    </row>
    <row r="22" spans="1:13" ht="15.2" customHeight="1" x14ac:dyDescent="0.2">
      <c r="A22" s="26" t="s">
        <v>10370</v>
      </c>
      <c r="B22" s="27" t="s">
        <v>10371</v>
      </c>
      <c r="C22" s="28">
        <v>1</v>
      </c>
      <c r="D22" s="29">
        <v>24</v>
      </c>
      <c r="E22" s="29">
        <v>24</v>
      </c>
      <c r="F22" s="30">
        <v>69</v>
      </c>
      <c r="G22" s="29">
        <v>69</v>
      </c>
      <c r="H22" s="28" t="s">
        <v>1732</v>
      </c>
      <c r="I22" s="27" t="s">
        <v>82</v>
      </c>
      <c r="J22" s="31" t="s">
        <v>21</v>
      </c>
      <c r="K22" s="27" t="s">
        <v>37</v>
      </c>
      <c r="L22" s="27" t="s">
        <v>38</v>
      </c>
      <c r="M22" s="32" t="str">
        <f>HYPERLINK("http://slimages.macys.com/is/image/MCY/3667726 ")</f>
        <v xml:space="preserve">http://slimages.macys.com/is/image/MCY/3667726 </v>
      </c>
    </row>
    <row r="23" spans="1:13" ht="15.2" customHeight="1" x14ac:dyDescent="0.2">
      <c r="A23" s="26" t="s">
        <v>10372</v>
      </c>
      <c r="B23" s="27" t="s">
        <v>10373</v>
      </c>
      <c r="C23" s="28">
        <v>1</v>
      </c>
      <c r="D23" s="29">
        <v>23.85</v>
      </c>
      <c r="E23" s="29">
        <v>23.85</v>
      </c>
      <c r="F23" s="30">
        <v>79.5</v>
      </c>
      <c r="G23" s="29">
        <v>79.5</v>
      </c>
      <c r="H23" s="28">
        <v>49008256</v>
      </c>
      <c r="I23" s="27" t="s">
        <v>39</v>
      </c>
      <c r="J23" s="31" t="s">
        <v>71</v>
      </c>
      <c r="K23" s="27" t="s">
        <v>6</v>
      </c>
      <c r="L23" s="27" t="s">
        <v>7</v>
      </c>
      <c r="M23" s="32" t="str">
        <f>HYPERLINK("http://slimages.macys.com/is/image/MCY/3829528 ")</f>
        <v xml:space="preserve">http://slimages.macys.com/is/image/MCY/3829528 </v>
      </c>
    </row>
    <row r="24" spans="1:13" ht="15.2" customHeight="1" x14ac:dyDescent="0.2">
      <c r="A24" s="26" t="s">
        <v>7628</v>
      </c>
      <c r="B24" s="27" t="s">
        <v>7629</v>
      </c>
      <c r="C24" s="28">
        <v>1</v>
      </c>
      <c r="D24" s="29">
        <v>23.25</v>
      </c>
      <c r="E24" s="29">
        <v>23.25</v>
      </c>
      <c r="F24" s="30">
        <v>69</v>
      </c>
      <c r="G24" s="29">
        <v>69</v>
      </c>
      <c r="H24" s="28" t="s">
        <v>2811</v>
      </c>
      <c r="I24" s="27" t="s">
        <v>4</v>
      </c>
      <c r="J24" s="31"/>
      <c r="K24" s="27" t="s">
        <v>24</v>
      </c>
      <c r="L24" s="27" t="s">
        <v>67</v>
      </c>
      <c r="M24" s="32" t="str">
        <f>HYPERLINK("http://slimages.macys.com/is/image/MCY/3761222 ")</f>
        <v xml:space="preserve">http://slimages.macys.com/is/image/MCY/3761222 </v>
      </c>
    </row>
    <row r="25" spans="1:13" ht="15.2" customHeight="1" x14ac:dyDescent="0.2">
      <c r="A25" s="26" t="s">
        <v>10374</v>
      </c>
      <c r="B25" s="27" t="s">
        <v>10375</v>
      </c>
      <c r="C25" s="28">
        <v>1</v>
      </c>
      <c r="D25" s="29">
        <v>22.4</v>
      </c>
      <c r="E25" s="29">
        <v>22.4</v>
      </c>
      <c r="F25" s="30">
        <v>64</v>
      </c>
      <c r="G25" s="29">
        <v>64</v>
      </c>
      <c r="H25" s="28" t="s">
        <v>10376</v>
      </c>
      <c r="I25" s="27" t="s">
        <v>82</v>
      </c>
      <c r="J25" s="31" t="s">
        <v>52</v>
      </c>
      <c r="K25" s="27" t="s">
        <v>795</v>
      </c>
      <c r="L25" s="27" t="s">
        <v>796</v>
      </c>
      <c r="M25" s="32" t="str">
        <f>HYPERLINK("http://slimages.macys.com/is/image/MCY/3702328 ")</f>
        <v xml:space="preserve">http://slimages.macys.com/is/image/MCY/3702328 </v>
      </c>
    </row>
    <row r="26" spans="1:13" ht="15.2" customHeight="1" x14ac:dyDescent="0.2">
      <c r="A26" s="26" t="s">
        <v>7633</v>
      </c>
      <c r="B26" s="27" t="s">
        <v>7634</v>
      </c>
      <c r="C26" s="28">
        <v>1</v>
      </c>
      <c r="D26" s="29">
        <v>22</v>
      </c>
      <c r="E26" s="29">
        <v>22</v>
      </c>
      <c r="F26" s="30">
        <v>69</v>
      </c>
      <c r="G26" s="29">
        <v>69</v>
      </c>
      <c r="H26" s="28" t="s">
        <v>6806</v>
      </c>
      <c r="I26" s="27" t="s">
        <v>29</v>
      </c>
      <c r="J26" s="31" t="s">
        <v>40</v>
      </c>
      <c r="K26" s="27" t="s">
        <v>37</v>
      </c>
      <c r="L26" s="27" t="s">
        <v>38</v>
      </c>
      <c r="M26" s="32" t="str">
        <f>HYPERLINK("http://slimages.macys.com/is/image/MCY/3667684 ")</f>
        <v xml:space="preserve">http://slimages.macys.com/is/image/MCY/3667684 </v>
      </c>
    </row>
    <row r="27" spans="1:13" ht="15.2" customHeight="1" x14ac:dyDescent="0.2">
      <c r="A27" s="26" t="s">
        <v>10377</v>
      </c>
      <c r="B27" s="27" t="s">
        <v>10378</v>
      </c>
      <c r="C27" s="28">
        <v>1</v>
      </c>
      <c r="D27" s="29">
        <v>22</v>
      </c>
      <c r="E27" s="29">
        <v>22</v>
      </c>
      <c r="F27" s="30">
        <v>69</v>
      </c>
      <c r="G27" s="29">
        <v>69</v>
      </c>
      <c r="H27" s="28" t="s">
        <v>7867</v>
      </c>
      <c r="I27" s="27" t="s">
        <v>4</v>
      </c>
      <c r="J27" s="31" t="s">
        <v>205</v>
      </c>
      <c r="K27" s="27" t="s">
        <v>24</v>
      </c>
      <c r="L27" s="27" t="s">
        <v>999</v>
      </c>
      <c r="M27" s="32" t="str">
        <f>HYPERLINK("http://slimages.macys.com/is/image/MCY/3878705 ")</f>
        <v xml:space="preserve">http://slimages.macys.com/is/image/MCY/3878705 </v>
      </c>
    </row>
    <row r="28" spans="1:13" ht="15.2" customHeight="1" x14ac:dyDescent="0.2">
      <c r="A28" s="26" t="s">
        <v>1101</v>
      </c>
      <c r="B28" s="27" t="s">
        <v>1102</v>
      </c>
      <c r="C28" s="28">
        <v>1</v>
      </c>
      <c r="D28" s="29">
        <v>21.74</v>
      </c>
      <c r="E28" s="29">
        <v>21.74</v>
      </c>
      <c r="F28" s="30">
        <v>59.99</v>
      </c>
      <c r="G28" s="29">
        <v>59.99</v>
      </c>
      <c r="H28" s="28" t="s">
        <v>44</v>
      </c>
      <c r="I28" s="27" t="s">
        <v>4</v>
      </c>
      <c r="J28" s="31" t="s">
        <v>5</v>
      </c>
      <c r="K28" s="27" t="s">
        <v>41</v>
      </c>
      <c r="L28" s="27" t="s">
        <v>45</v>
      </c>
      <c r="M28" s="32" t="str">
        <f>HYPERLINK("http://slimages.macys.com/is/image/MCY/3802130 ")</f>
        <v xml:space="preserve">http://slimages.macys.com/is/image/MCY/3802130 </v>
      </c>
    </row>
    <row r="29" spans="1:13" ht="15.2" customHeight="1" x14ac:dyDescent="0.2">
      <c r="A29" s="26" t="s">
        <v>10379</v>
      </c>
      <c r="B29" s="27" t="s">
        <v>10380</v>
      </c>
      <c r="C29" s="28">
        <v>1</v>
      </c>
      <c r="D29" s="29">
        <v>21.74</v>
      </c>
      <c r="E29" s="29">
        <v>21.74</v>
      </c>
      <c r="F29" s="30">
        <v>50.99</v>
      </c>
      <c r="G29" s="29">
        <v>50.99</v>
      </c>
      <c r="H29" s="28" t="s">
        <v>4437</v>
      </c>
      <c r="I29" s="27" t="s">
        <v>10</v>
      </c>
      <c r="J29" s="31" t="s">
        <v>110</v>
      </c>
      <c r="K29" s="27" t="s">
        <v>41</v>
      </c>
      <c r="L29" s="27" t="s">
        <v>45</v>
      </c>
      <c r="M29" s="32" t="str">
        <f>HYPERLINK("http://slimages.macys.com/is/image/MCY/3598810 ")</f>
        <v xml:space="preserve">http://slimages.macys.com/is/image/MCY/3598810 </v>
      </c>
    </row>
    <row r="30" spans="1:13" ht="15.2" customHeight="1" x14ac:dyDescent="0.2">
      <c r="A30" s="26" t="s">
        <v>10381</v>
      </c>
      <c r="B30" s="27" t="s">
        <v>10382</v>
      </c>
      <c r="C30" s="28">
        <v>1</v>
      </c>
      <c r="D30" s="29">
        <v>21.55</v>
      </c>
      <c r="E30" s="29">
        <v>21.55</v>
      </c>
      <c r="F30" s="30">
        <v>59.5</v>
      </c>
      <c r="G30" s="29">
        <v>59.5</v>
      </c>
      <c r="H30" s="28" t="s">
        <v>10383</v>
      </c>
      <c r="I30" s="27" t="s">
        <v>82</v>
      </c>
      <c r="J30" s="31" t="s">
        <v>52</v>
      </c>
      <c r="K30" s="27" t="s">
        <v>41</v>
      </c>
      <c r="L30" s="27" t="s">
        <v>45</v>
      </c>
      <c r="M30" s="32" t="str">
        <f>HYPERLINK("http://slimages.macys.com/is/image/MCY/3455613 ")</f>
        <v xml:space="preserve">http://slimages.macys.com/is/image/MCY/3455613 </v>
      </c>
    </row>
    <row r="31" spans="1:13" ht="15.2" customHeight="1" x14ac:dyDescent="0.2">
      <c r="A31" s="26" t="s">
        <v>10384</v>
      </c>
      <c r="B31" s="27" t="s">
        <v>10385</v>
      </c>
      <c r="C31" s="28">
        <v>1</v>
      </c>
      <c r="D31" s="29">
        <v>21</v>
      </c>
      <c r="E31" s="29">
        <v>21</v>
      </c>
      <c r="F31" s="30">
        <v>69</v>
      </c>
      <c r="G31" s="29">
        <v>69</v>
      </c>
      <c r="H31" s="28" t="s">
        <v>1106</v>
      </c>
      <c r="I31" s="27" t="s">
        <v>248</v>
      </c>
      <c r="J31" s="31" t="s">
        <v>205</v>
      </c>
      <c r="K31" s="27" t="s">
        <v>24</v>
      </c>
      <c r="L31" s="27" t="s">
        <v>155</v>
      </c>
      <c r="M31" s="32" t="str">
        <f>HYPERLINK("http://slimages.macys.com/is/image/MCY/3705626 ")</f>
        <v xml:space="preserve">http://slimages.macys.com/is/image/MCY/3705626 </v>
      </c>
    </row>
    <row r="32" spans="1:13" ht="15.2" customHeight="1" x14ac:dyDescent="0.2">
      <c r="A32" s="26" t="s">
        <v>1107</v>
      </c>
      <c r="B32" s="27" t="s">
        <v>1108</v>
      </c>
      <c r="C32" s="28">
        <v>1</v>
      </c>
      <c r="D32" s="29">
        <v>20.97</v>
      </c>
      <c r="E32" s="29">
        <v>20.97</v>
      </c>
      <c r="F32" s="30">
        <v>50.99</v>
      </c>
      <c r="G32" s="29">
        <v>50.99</v>
      </c>
      <c r="H32" s="28" t="s">
        <v>1109</v>
      </c>
      <c r="I32" s="27" t="s">
        <v>690</v>
      </c>
      <c r="J32" s="31" t="s">
        <v>71</v>
      </c>
      <c r="K32" s="27" t="s">
        <v>41</v>
      </c>
      <c r="L32" s="27" t="s">
        <v>31</v>
      </c>
      <c r="M32" s="32" t="str">
        <f>HYPERLINK("http://slimages.macys.com/is/image/MCY/3396060 ")</f>
        <v xml:space="preserve">http://slimages.macys.com/is/image/MCY/3396060 </v>
      </c>
    </row>
    <row r="33" spans="1:13" ht="15.2" customHeight="1" x14ac:dyDescent="0.2">
      <c r="A33" s="26" t="s">
        <v>2556</v>
      </c>
      <c r="B33" s="27" t="s">
        <v>2557</v>
      </c>
      <c r="C33" s="28">
        <v>1</v>
      </c>
      <c r="D33" s="29">
        <v>20.85</v>
      </c>
      <c r="E33" s="29">
        <v>20.85</v>
      </c>
      <c r="F33" s="30">
        <v>69.5</v>
      </c>
      <c r="G33" s="29">
        <v>69.5</v>
      </c>
      <c r="H33" s="28">
        <v>60435383</v>
      </c>
      <c r="I33" s="27" t="s">
        <v>82</v>
      </c>
      <c r="J33" s="31" t="s">
        <v>21</v>
      </c>
      <c r="K33" s="27" t="s">
        <v>6</v>
      </c>
      <c r="L33" s="27" t="s">
        <v>7</v>
      </c>
      <c r="M33" s="32" t="str">
        <f>HYPERLINK("http://slimages.macys.com/is/image/MCY/3900381 ")</f>
        <v xml:space="preserve">http://slimages.macys.com/is/image/MCY/3900381 </v>
      </c>
    </row>
    <row r="34" spans="1:13" ht="15.2" customHeight="1" x14ac:dyDescent="0.2">
      <c r="A34" s="26" t="s">
        <v>10386</v>
      </c>
      <c r="B34" s="27" t="s">
        <v>10387</v>
      </c>
      <c r="C34" s="28">
        <v>1</v>
      </c>
      <c r="D34" s="29">
        <v>20.85</v>
      </c>
      <c r="E34" s="29">
        <v>20.85</v>
      </c>
      <c r="F34" s="30">
        <v>69.5</v>
      </c>
      <c r="G34" s="29">
        <v>69.5</v>
      </c>
      <c r="H34" s="28">
        <v>49022869</v>
      </c>
      <c r="I34" s="27" t="s">
        <v>59</v>
      </c>
      <c r="J34" s="31" t="s">
        <v>71</v>
      </c>
      <c r="K34" s="27" t="s">
        <v>6</v>
      </c>
      <c r="L34" s="27" t="s">
        <v>7</v>
      </c>
      <c r="M34" s="32" t="str">
        <f>HYPERLINK("http://slimages.macys.com/is/image/MCY/3879427 ")</f>
        <v xml:space="preserve">http://slimages.macys.com/is/image/MCY/3879427 </v>
      </c>
    </row>
    <row r="35" spans="1:13" ht="15.2" customHeight="1" x14ac:dyDescent="0.2">
      <c r="A35" s="26" t="s">
        <v>8438</v>
      </c>
      <c r="B35" s="27" t="s">
        <v>8439</v>
      </c>
      <c r="C35" s="28">
        <v>1</v>
      </c>
      <c r="D35" s="29">
        <v>20.74</v>
      </c>
      <c r="E35" s="29">
        <v>20.74</v>
      </c>
      <c r="F35" s="30">
        <v>47.75</v>
      </c>
      <c r="G35" s="29">
        <v>47.75</v>
      </c>
      <c r="H35" s="28" t="s">
        <v>676</v>
      </c>
      <c r="I35" s="27" t="s">
        <v>10</v>
      </c>
      <c r="J35" s="31" t="s">
        <v>23</v>
      </c>
      <c r="K35" s="27" t="s">
        <v>41</v>
      </c>
      <c r="L35" s="27" t="s">
        <v>45</v>
      </c>
      <c r="M35" s="32" t="str">
        <f>HYPERLINK("http://slimages.macys.com/is/image/MCY/3678323 ")</f>
        <v xml:space="preserve">http://slimages.macys.com/is/image/MCY/3678323 </v>
      </c>
    </row>
    <row r="36" spans="1:13" ht="15.2" customHeight="1" x14ac:dyDescent="0.2">
      <c r="A36" s="26" t="s">
        <v>5410</v>
      </c>
      <c r="B36" s="27" t="s">
        <v>5411</v>
      </c>
      <c r="C36" s="28">
        <v>1</v>
      </c>
      <c r="D36" s="29">
        <v>20.53</v>
      </c>
      <c r="E36" s="29">
        <v>20.53</v>
      </c>
      <c r="F36" s="30">
        <v>59.5</v>
      </c>
      <c r="G36" s="29">
        <v>59.5</v>
      </c>
      <c r="H36" s="28" t="s">
        <v>5412</v>
      </c>
      <c r="I36" s="27" t="s">
        <v>10</v>
      </c>
      <c r="J36" s="31" t="s">
        <v>52</v>
      </c>
      <c r="K36" s="27" t="s">
        <v>53</v>
      </c>
      <c r="L36" s="27" t="s">
        <v>54</v>
      </c>
      <c r="M36" s="32" t="str">
        <f>HYPERLINK("http://slimages.macys.com/is/image/MCY/3665349 ")</f>
        <v xml:space="preserve">http://slimages.macys.com/is/image/MCY/3665349 </v>
      </c>
    </row>
    <row r="37" spans="1:13" ht="15.2" customHeight="1" x14ac:dyDescent="0.2">
      <c r="A37" s="26" t="s">
        <v>10310</v>
      </c>
      <c r="B37" s="27" t="s">
        <v>10311</v>
      </c>
      <c r="C37" s="28">
        <v>1</v>
      </c>
      <c r="D37" s="29">
        <v>20.5</v>
      </c>
      <c r="E37" s="29">
        <v>20.5</v>
      </c>
      <c r="F37" s="30">
        <v>59</v>
      </c>
      <c r="G37" s="29">
        <v>59</v>
      </c>
      <c r="H37" s="28" t="s">
        <v>7489</v>
      </c>
      <c r="I37" s="27" t="s">
        <v>248</v>
      </c>
      <c r="J37" s="31" t="s">
        <v>40</v>
      </c>
      <c r="K37" s="27" t="s">
        <v>37</v>
      </c>
      <c r="L37" s="27" t="s">
        <v>38</v>
      </c>
      <c r="M37" s="32" t="str">
        <f>HYPERLINK("http://slimages.macys.com/is/image/MCY/3717678 ")</f>
        <v xml:space="preserve">http://slimages.macys.com/is/image/MCY/3717678 </v>
      </c>
    </row>
    <row r="38" spans="1:13" ht="15.2" customHeight="1" x14ac:dyDescent="0.2">
      <c r="A38" s="26" t="s">
        <v>10388</v>
      </c>
      <c r="B38" s="27" t="s">
        <v>10389</v>
      </c>
      <c r="C38" s="28">
        <v>1</v>
      </c>
      <c r="D38" s="29">
        <v>20.5</v>
      </c>
      <c r="E38" s="29">
        <v>20.5</v>
      </c>
      <c r="F38" s="30">
        <v>59</v>
      </c>
      <c r="G38" s="29">
        <v>59</v>
      </c>
      <c r="H38" s="28" t="s">
        <v>1118</v>
      </c>
      <c r="I38" s="27" t="s">
        <v>94</v>
      </c>
      <c r="J38" s="31"/>
      <c r="K38" s="27" t="s">
        <v>37</v>
      </c>
      <c r="L38" s="27" t="s">
        <v>38</v>
      </c>
      <c r="M38" s="32" t="str">
        <f>HYPERLINK("http://slimages.macys.com/is/image/MCY/3717640 ")</f>
        <v xml:space="preserve">http://slimages.macys.com/is/image/MCY/3717640 </v>
      </c>
    </row>
    <row r="39" spans="1:13" ht="15.2" customHeight="1" x14ac:dyDescent="0.2">
      <c r="A39" s="26" t="s">
        <v>10390</v>
      </c>
      <c r="B39" s="27" t="s">
        <v>10391</v>
      </c>
      <c r="C39" s="28">
        <v>1</v>
      </c>
      <c r="D39" s="29">
        <v>19.5</v>
      </c>
      <c r="E39" s="29">
        <v>19.5</v>
      </c>
      <c r="F39" s="30">
        <v>59</v>
      </c>
      <c r="G39" s="29">
        <v>59</v>
      </c>
      <c r="H39" s="28" t="s">
        <v>10392</v>
      </c>
      <c r="I39" s="27" t="s">
        <v>1472</v>
      </c>
      <c r="J39" s="31"/>
      <c r="K39" s="27" t="s">
        <v>24</v>
      </c>
      <c r="L39" s="27" t="s">
        <v>67</v>
      </c>
      <c r="M39" s="32" t="str">
        <f>HYPERLINK("http://slimages.macys.com/is/image/MCY/3549547 ")</f>
        <v xml:space="preserve">http://slimages.macys.com/is/image/MCY/3549547 </v>
      </c>
    </row>
    <row r="40" spans="1:13" ht="15.2" customHeight="1" x14ac:dyDescent="0.2">
      <c r="A40" s="26" t="s">
        <v>5997</v>
      </c>
      <c r="B40" s="27" t="s">
        <v>5998</v>
      </c>
      <c r="C40" s="28">
        <v>1</v>
      </c>
      <c r="D40" s="29">
        <v>19</v>
      </c>
      <c r="E40" s="29">
        <v>19</v>
      </c>
      <c r="F40" s="30">
        <v>49.5</v>
      </c>
      <c r="G40" s="29">
        <v>49.5</v>
      </c>
      <c r="H40" s="28" t="s">
        <v>5999</v>
      </c>
      <c r="I40" s="27" t="s">
        <v>103</v>
      </c>
      <c r="J40" s="31" t="s">
        <v>40</v>
      </c>
      <c r="K40" s="27" t="s">
        <v>17</v>
      </c>
      <c r="L40" s="27" t="s">
        <v>18</v>
      </c>
      <c r="M40" s="32" t="str">
        <f>HYPERLINK("http://slimages.macys.com/is/image/MCY/3971151 ")</f>
        <v xml:space="preserve">http://slimages.macys.com/is/image/MCY/3971151 </v>
      </c>
    </row>
    <row r="41" spans="1:13" ht="15.2" customHeight="1" x14ac:dyDescent="0.2">
      <c r="A41" s="26" t="s">
        <v>10393</v>
      </c>
      <c r="B41" s="27" t="s">
        <v>10394</v>
      </c>
      <c r="C41" s="28">
        <v>1</v>
      </c>
      <c r="D41" s="29">
        <v>19</v>
      </c>
      <c r="E41" s="29">
        <v>19</v>
      </c>
      <c r="F41" s="30">
        <v>49.5</v>
      </c>
      <c r="G41" s="29">
        <v>49.5</v>
      </c>
      <c r="H41" s="28" t="s">
        <v>5999</v>
      </c>
      <c r="I41" s="27" t="s">
        <v>103</v>
      </c>
      <c r="J41" s="31" t="s">
        <v>71</v>
      </c>
      <c r="K41" s="27" t="s">
        <v>17</v>
      </c>
      <c r="L41" s="27" t="s">
        <v>18</v>
      </c>
      <c r="M41" s="32" t="str">
        <f>HYPERLINK("http://slimages.macys.com/is/image/MCY/3971151 ")</f>
        <v xml:space="preserve">http://slimages.macys.com/is/image/MCY/3971151 </v>
      </c>
    </row>
    <row r="42" spans="1:13" ht="15.2" customHeight="1" x14ac:dyDescent="0.2">
      <c r="A42" s="26" t="s">
        <v>6007</v>
      </c>
      <c r="B42" s="27" t="s">
        <v>6008</v>
      </c>
      <c r="C42" s="28">
        <v>1</v>
      </c>
      <c r="D42" s="29">
        <v>19</v>
      </c>
      <c r="E42" s="29">
        <v>19</v>
      </c>
      <c r="F42" s="30">
        <v>49.5</v>
      </c>
      <c r="G42" s="29">
        <v>49.5</v>
      </c>
      <c r="H42" s="28" t="s">
        <v>5999</v>
      </c>
      <c r="I42" s="27" t="s">
        <v>103</v>
      </c>
      <c r="J42" s="31" t="s">
        <v>21</v>
      </c>
      <c r="K42" s="27" t="s">
        <v>17</v>
      </c>
      <c r="L42" s="27" t="s">
        <v>18</v>
      </c>
      <c r="M42" s="32" t="str">
        <f>HYPERLINK("http://slimages.macys.com/is/image/MCY/3971151 ")</f>
        <v xml:space="preserve">http://slimages.macys.com/is/image/MCY/3971151 </v>
      </c>
    </row>
    <row r="43" spans="1:13" ht="15.2" customHeight="1" x14ac:dyDescent="0.2">
      <c r="A43" s="26" t="s">
        <v>10395</v>
      </c>
      <c r="B43" s="27" t="s">
        <v>10396</v>
      </c>
      <c r="C43" s="28">
        <v>1</v>
      </c>
      <c r="D43" s="29">
        <v>19</v>
      </c>
      <c r="E43" s="29">
        <v>19</v>
      </c>
      <c r="F43" s="30">
        <v>49.5</v>
      </c>
      <c r="G43" s="29">
        <v>49.5</v>
      </c>
      <c r="H43" s="28" t="s">
        <v>2824</v>
      </c>
      <c r="I43" s="27" t="s">
        <v>238</v>
      </c>
      <c r="J43" s="31" t="s">
        <v>5</v>
      </c>
      <c r="K43" s="27" t="s">
        <v>17</v>
      </c>
      <c r="L43" s="27" t="s">
        <v>18</v>
      </c>
      <c r="M43" s="32" t="str">
        <f>HYPERLINK("http://slimages.macys.com/is/image/MCY/3911324 ")</f>
        <v xml:space="preserve">http://slimages.macys.com/is/image/MCY/3911324 </v>
      </c>
    </row>
    <row r="44" spans="1:13" ht="15.2" customHeight="1" x14ac:dyDescent="0.2">
      <c r="A44" s="26" t="s">
        <v>3168</v>
      </c>
      <c r="B44" s="27" t="s">
        <v>3169</v>
      </c>
      <c r="C44" s="28">
        <v>1</v>
      </c>
      <c r="D44" s="29">
        <v>18.739999999999998</v>
      </c>
      <c r="E44" s="29">
        <v>18.739999999999998</v>
      </c>
      <c r="F44" s="30">
        <v>43.5</v>
      </c>
      <c r="G44" s="29">
        <v>43.5</v>
      </c>
      <c r="H44" s="28" t="s">
        <v>1133</v>
      </c>
      <c r="I44" s="27" t="s">
        <v>4</v>
      </c>
      <c r="J44" s="31" t="s">
        <v>230</v>
      </c>
      <c r="K44" s="27" t="s">
        <v>41</v>
      </c>
      <c r="L44" s="27" t="s">
        <v>45</v>
      </c>
      <c r="M44" s="32" t="str">
        <f>HYPERLINK("http://slimages.macys.com/is/image/MCY/3678345 ")</f>
        <v xml:space="preserve">http://slimages.macys.com/is/image/MCY/3678345 </v>
      </c>
    </row>
    <row r="45" spans="1:13" ht="15.2" customHeight="1" x14ac:dyDescent="0.2">
      <c r="A45" s="26" t="s">
        <v>4604</v>
      </c>
      <c r="B45" s="27" t="s">
        <v>4605</v>
      </c>
      <c r="C45" s="28">
        <v>1</v>
      </c>
      <c r="D45" s="29">
        <v>18.399999999999999</v>
      </c>
      <c r="E45" s="29">
        <v>18.399999999999999</v>
      </c>
      <c r="F45" s="30">
        <v>49.99</v>
      </c>
      <c r="G45" s="29">
        <v>49.99</v>
      </c>
      <c r="H45" s="28" t="s">
        <v>1136</v>
      </c>
      <c r="I45" s="27" t="s">
        <v>22</v>
      </c>
      <c r="J45" s="31" t="s">
        <v>71</v>
      </c>
      <c r="K45" s="27" t="s">
        <v>41</v>
      </c>
      <c r="L45" s="27" t="s">
        <v>45</v>
      </c>
      <c r="M45" s="32" t="str">
        <f>HYPERLINK("http://slimages.macys.com/is/image/MCY/3635663 ")</f>
        <v xml:space="preserve">http://slimages.macys.com/is/image/MCY/3635663 </v>
      </c>
    </row>
    <row r="46" spans="1:13" ht="15.2" customHeight="1" x14ac:dyDescent="0.2">
      <c r="A46" s="26" t="s">
        <v>2092</v>
      </c>
      <c r="B46" s="27" t="s">
        <v>2093</v>
      </c>
      <c r="C46" s="28">
        <v>1</v>
      </c>
      <c r="D46" s="29">
        <v>18.079999999999998</v>
      </c>
      <c r="E46" s="29">
        <v>18.079999999999998</v>
      </c>
      <c r="F46" s="30">
        <v>49.5</v>
      </c>
      <c r="G46" s="29">
        <v>49.5</v>
      </c>
      <c r="H46" s="28" t="s">
        <v>2094</v>
      </c>
      <c r="I46" s="27" t="s">
        <v>4</v>
      </c>
      <c r="J46" s="31" t="s">
        <v>71</v>
      </c>
      <c r="K46" s="27" t="s">
        <v>41</v>
      </c>
      <c r="L46" s="27" t="s">
        <v>45</v>
      </c>
      <c r="M46" s="32" t="str">
        <f>HYPERLINK("http://slimages.macys.com/is/image/MCY/3802113 ")</f>
        <v xml:space="preserve">http://slimages.macys.com/is/image/MCY/3802113 </v>
      </c>
    </row>
    <row r="47" spans="1:13" ht="15.2" customHeight="1" x14ac:dyDescent="0.2">
      <c r="A47" s="26" t="s">
        <v>2580</v>
      </c>
      <c r="B47" s="27" t="s">
        <v>2581</v>
      </c>
      <c r="C47" s="28">
        <v>1</v>
      </c>
      <c r="D47" s="29">
        <v>18.079999999999998</v>
      </c>
      <c r="E47" s="29">
        <v>18.079999999999998</v>
      </c>
      <c r="F47" s="30">
        <v>49.5</v>
      </c>
      <c r="G47" s="29">
        <v>49.5</v>
      </c>
      <c r="H47" s="28" t="s">
        <v>2094</v>
      </c>
      <c r="I47" s="27" t="s">
        <v>4</v>
      </c>
      <c r="J47" s="31" t="s">
        <v>40</v>
      </c>
      <c r="K47" s="27" t="s">
        <v>41</v>
      </c>
      <c r="L47" s="27" t="s">
        <v>45</v>
      </c>
      <c r="M47" s="32" t="str">
        <f>HYPERLINK("http://slimages.macys.com/is/image/MCY/3802113 ")</f>
        <v xml:space="preserve">http://slimages.macys.com/is/image/MCY/3802113 </v>
      </c>
    </row>
    <row r="48" spans="1:13" ht="15.2" customHeight="1" x14ac:dyDescent="0.2">
      <c r="A48" s="26" t="s">
        <v>8366</v>
      </c>
      <c r="B48" s="27" t="s">
        <v>8367</v>
      </c>
      <c r="C48" s="28">
        <v>1</v>
      </c>
      <c r="D48" s="29">
        <v>18.079999999999998</v>
      </c>
      <c r="E48" s="29">
        <v>18.079999999999998</v>
      </c>
      <c r="F48" s="30">
        <v>49.5</v>
      </c>
      <c r="G48" s="29">
        <v>49.5</v>
      </c>
      <c r="H48" s="28" t="s">
        <v>2094</v>
      </c>
      <c r="I48" s="27" t="s">
        <v>4</v>
      </c>
      <c r="J48" s="31" t="s">
        <v>21</v>
      </c>
      <c r="K48" s="27" t="s">
        <v>41</v>
      </c>
      <c r="L48" s="27" t="s">
        <v>45</v>
      </c>
      <c r="M48" s="32" t="str">
        <f>HYPERLINK("http://slimages.macys.com/is/image/MCY/3802113 ")</f>
        <v xml:space="preserve">http://slimages.macys.com/is/image/MCY/3802113 </v>
      </c>
    </row>
    <row r="49" spans="1:13" ht="15.2" customHeight="1" x14ac:dyDescent="0.2">
      <c r="A49" s="26" t="s">
        <v>10397</v>
      </c>
      <c r="B49" s="27" t="s">
        <v>10398</v>
      </c>
      <c r="C49" s="28">
        <v>1</v>
      </c>
      <c r="D49" s="29">
        <v>18.07</v>
      </c>
      <c r="E49" s="29">
        <v>18.07</v>
      </c>
      <c r="F49" s="30">
        <v>49.5</v>
      </c>
      <c r="G49" s="29">
        <v>49.5</v>
      </c>
      <c r="H49" s="28" t="s">
        <v>91</v>
      </c>
      <c r="I49" s="27" t="s">
        <v>49</v>
      </c>
      <c r="J49" s="31" t="s">
        <v>172</v>
      </c>
      <c r="K49" s="27" t="s">
        <v>41</v>
      </c>
      <c r="L49" s="27" t="s">
        <v>45</v>
      </c>
      <c r="M49" s="32" t="str">
        <f>HYPERLINK("http://slimages.macys.com/is/image/MCY/3751033 ")</f>
        <v xml:space="preserve">http://slimages.macys.com/is/image/MCY/3751033 </v>
      </c>
    </row>
    <row r="50" spans="1:13" ht="15.2" customHeight="1" x14ac:dyDescent="0.2">
      <c r="A50" s="26" t="s">
        <v>10399</v>
      </c>
      <c r="B50" s="27" t="s">
        <v>10400</v>
      </c>
      <c r="C50" s="28">
        <v>1</v>
      </c>
      <c r="D50" s="29">
        <v>18.07</v>
      </c>
      <c r="E50" s="29">
        <v>18.07</v>
      </c>
      <c r="F50" s="30">
        <v>49.5</v>
      </c>
      <c r="G50" s="29">
        <v>49.5</v>
      </c>
      <c r="H50" s="28" t="s">
        <v>1144</v>
      </c>
      <c r="I50" s="27" t="s">
        <v>4</v>
      </c>
      <c r="J50" s="31" t="s">
        <v>21</v>
      </c>
      <c r="K50" s="27" t="s">
        <v>41</v>
      </c>
      <c r="L50" s="27" t="s">
        <v>45</v>
      </c>
      <c r="M50" s="32" t="str">
        <f>HYPERLINK("http://slimages.macys.com/is/image/MCY/3702300 ")</f>
        <v xml:space="preserve">http://slimages.macys.com/is/image/MCY/3702300 </v>
      </c>
    </row>
    <row r="51" spans="1:13" ht="15.2" customHeight="1" x14ac:dyDescent="0.2">
      <c r="A51" s="26" t="s">
        <v>7643</v>
      </c>
      <c r="B51" s="27" t="s">
        <v>7644</v>
      </c>
      <c r="C51" s="28">
        <v>1</v>
      </c>
      <c r="D51" s="29">
        <v>18.059999999999999</v>
      </c>
      <c r="E51" s="29">
        <v>18.059999999999999</v>
      </c>
      <c r="F51" s="30">
        <v>49.5</v>
      </c>
      <c r="G51" s="29">
        <v>49.5</v>
      </c>
      <c r="H51" s="28" t="s">
        <v>2099</v>
      </c>
      <c r="I51" s="27" t="s">
        <v>4</v>
      </c>
      <c r="J51" s="31" t="s">
        <v>52</v>
      </c>
      <c r="K51" s="27" t="s">
        <v>41</v>
      </c>
      <c r="L51" s="27" t="s">
        <v>90</v>
      </c>
      <c r="M51" s="32" t="str">
        <f>HYPERLINK("http://slimages.macys.com/is/image/MCY/3707200 ")</f>
        <v xml:space="preserve">http://slimages.macys.com/is/image/MCY/3707200 </v>
      </c>
    </row>
    <row r="52" spans="1:13" ht="15.2" customHeight="1" x14ac:dyDescent="0.2">
      <c r="A52" s="26" t="s">
        <v>8368</v>
      </c>
      <c r="B52" s="27" t="s">
        <v>8369</v>
      </c>
      <c r="C52" s="28">
        <v>2</v>
      </c>
      <c r="D52" s="29">
        <v>18.059999999999999</v>
      </c>
      <c r="E52" s="29">
        <v>36.119999999999997</v>
      </c>
      <c r="F52" s="30">
        <v>39.99</v>
      </c>
      <c r="G52" s="29">
        <v>79.98</v>
      </c>
      <c r="H52" s="28" t="s">
        <v>694</v>
      </c>
      <c r="I52" s="27" t="s">
        <v>82</v>
      </c>
      <c r="J52" s="31" t="s">
        <v>2550</v>
      </c>
      <c r="K52" s="27" t="s">
        <v>41</v>
      </c>
      <c r="L52" s="27" t="s">
        <v>45</v>
      </c>
      <c r="M52" s="32" t="str">
        <f>HYPERLINK("http://slimages.macys.com/is/image/MCY/3264447 ")</f>
        <v xml:space="preserve">http://slimages.macys.com/is/image/MCY/3264447 </v>
      </c>
    </row>
    <row r="53" spans="1:13" ht="15.2" customHeight="1" x14ac:dyDescent="0.2">
      <c r="A53" s="26" t="s">
        <v>10401</v>
      </c>
      <c r="B53" s="27" t="s">
        <v>10402</v>
      </c>
      <c r="C53" s="28">
        <v>1</v>
      </c>
      <c r="D53" s="29">
        <v>18.05</v>
      </c>
      <c r="E53" s="29">
        <v>18.05</v>
      </c>
      <c r="F53" s="30">
        <v>49.5</v>
      </c>
      <c r="G53" s="29">
        <v>49.5</v>
      </c>
      <c r="H53" s="28" t="s">
        <v>10005</v>
      </c>
      <c r="I53" s="27" t="s">
        <v>82</v>
      </c>
      <c r="J53" s="31" t="s">
        <v>5</v>
      </c>
      <c r="K53" s="27" t="s">
        <v>41</v>
      </c>
      <c r="L53" s="27" t="s">
        <v>83</v>
      </c>
      <c r="M53" s="32" t="str">
        <f>HYPERLINK("http://slimages.macys.com/is/image/MCY/3745612 ")</f>
        <v xml:space="preserve">http://slimages.macys.com/is/image/MCY/3745612 </v>
      </c>
    </row>
    <row r="54" spans="1:13" ht="15.2" customHeight="1" x14ac:dyDescent="0.2">
      <c r="A54" s="26" t="s">
        <v>10314</v>
      </c>
      <c r="B54" s="27" t="s">
        <v>10315</v>
      </c>
      <c r="C54" s="28">
        <v>1</v>
      </c>
      <c r="D54" s="29">
        <v>18.04</v>
      </c>
      <c r="E54" s="29">
        <v>18.04</v>
      </c>
      <c r="F54" s="30">
        <v>49.5</v>
      </c>
      <c r="G54" s="29">
        <v>49.5</v>
      </c>
      <c r="H54" s="28" t="s">
        <v>695</v>
      </c>
      <c r="I54" s="27" t="s">
        <v>94</v>
      </c>
      <c r="J54" s="31" t="s">
        <v>52</v>
      </c>
      <c r="K54" s="27" t="s">
        <v>41</v>
      </c>
      <c r="L54" s="27" t="s">
        <v>109</v>
      </c>
      <c r="M54" s="32" t="str">
        <f>HYPERLINK("http://slimages.macys.com/is/image/MCY/3682243 ")</f>
        <v xml:space="preserve">http://slimages.macys.com/is/image/MCY/3682243 </v>
      </c>
    </row>
    <row r="55" spans="1:13" ht="15.2" customHeight="1" x14ac:dyDescent="0.2">
      <c r="A55" s="26" t="s">
        <v>10316</v>
      </c>
      <c r="B55" s="27" t="s">
        <v>10317</v>
      </c>
      <c r="C55" s="28">
        <v>1</v>
      </c>
      <c r="D55" s="29">
        <v>18.04</v>
      </c>
      <c r="E55" s="29">
        <v>18.04</v>
      </c>
      <c r="F55" s="30">
        <v>49.5</v>
      </c>
      <c r="G55" s="29">
        <v>49.5</v>
      </c>
      <c r="H55" s="28" t="s">
        <v>695</v>
      </c>
      <c r="I55" s="27" t="s">
        <v>94</v>
      </c>
      <c r="J55" s="31" t="s">
        <v>172</v>
      </c>
      <c r="K55" s="27" t="s">
        <v>41</v>
      </c>
      <c r="L55" s="27" t="s">
        <v>109</v>
      </c>
      <c r="M55" s="32" t="str">
        <f>HYPERLINK("http://slimages.macys.com/is/image/MCY/3682243 ")</f>
        <v xml:space="preserve">http://slimages.macys.com/is/image/MCY/3682243 </v>
      </c>
    </row>
    <row r="56" spans="1:13" ht="15.2" customHeight="1" x14ac:dyDescent="0.2">
      <c r="A56" s="26" t="s">
        <v>10403</v>
      </c>
      <c r="B56" s="27" t="s">
        <v>10404</v>
      </c>
      <c r="C56" s="28">
        <v>1</v>
      </c>
      <c r="D56" s="29">
        <v>18.04</v>
      </c>
      <c r="E56" s="29">
        <v>18.04</v>
      </c>
      <c r="F56" s="30">
        <v>49.5</v>
      </c>
      <c r="G56" s="29">
        <v>49.5</v>
      </c>
      <c r="H56" s="28" t="s">
        <v>10008</v>
      </c>
      <c r="I56" s="27" t="s">
        <v>82</v>
      </c>
      <c r="J56" s="31" t="s">
        <v>5</v>
      </c>
      <c r="K56" s="27" t="s">
        <v>41</v>
      </c>
      <c r="L56" s="27" t="s">
        <v>45</v>
      </c>
      <c r="M56" s="32" t="str">
        <f>HYPERLINK("http://slimages.macys.com/is/image/MCY/3625434 ")</f>
        <v xml:space="preserve">http://slimages.macys.com/is/image/MCY/3625434 </v>
      </c>
    </row>
    <row r="57" spans="1:13" ht="15.2" customHeight="1" x14ac:dyDescent="0.2">
      <c r="A57" s="26" t="s">
        <v>10405</v>
      </c>
      <c r="B57" s="27" t="s">
        <v>9849</v>
      </c>
      <c r="C57" s="28">
        <v>1</v>
      </c>
      <c r="D57" s="29">
        <v>18.04</v>
      </c>
      <c r="E57" s="29">
        <v>18.04</v>
      </c>
      <c r="F57" s="30">
        <v>49.5</v>
      </c>
      <c r="G57" s="29">
        <v>49.5</v>
      </c>
      <c r="H57" s="28" t="s">
        <v>695</v>
      </c>
      <c r="I57" s="27" t="s">
        <v>94</v>
      </c>
      <c r="J57" s="31" t="s">
        <v>21</v>
      </c>
      <c r="K57" s="27" t="s">
        <v>41</v>
      </c>
      <c r="L57" s="27" t="s">
        <v>109</v>
      </c>
      <c r="M57" s="32" t="str">
        <f>HYPERLINK("http://slimages.macys.com/is/image/MCY/3682243 ")</f>
        <v xml:space="preserve">http://slimages.macys.com/is/image/MCY/3682243 </v>
      </c>
    </row>
    <row r="58" spans="1:13" ht="15.2" customHeight="1" x14ac:dyDescent="0.2">
      <c r="A58" s="26" t="s">
        <v>10220</v>
      </c>
      <c r="B58" s="27" t="s">
        <v>10221</v>
      </c>
      <c r="C58" s="28">
        <v>2</v>
      </c>
      <c r="D58" s="29">
        <v>18.04</v>
      </c>
      <c r="E58" s="29">
        <v>36.08</v>
      </c>
      <c r="F58" s="30">
        <v>49.5</v>
      </c>
      <c r="G58" s="29">
        <v>99</v>
      </c>
      <c r="H58" s="28" t="s">
        <v>695</v>
      </c>
      <c r="I58" s="27" t="s">
        <v>94</v>
      </c>
      <c r="J58" s="31" t="s">
        <v>40</v>
      </c>
      <c r="K58" s="27" t="s">
        <v>41</v>
      </c>
      <c r="L58" s="27" t="s">
        <v>109</v>
      </c>
      <c r="M58" s="32" t="str">
        <f>HYPERLINK("http://slimages.macys.com/is/image/MCY/3682243 ")</f>
        <v xml:space="preserve">http://slimages.macys.com/is/image/MCY/3682243 </v>
      </c>
    </row>
    <row r="59" spans="1:13" ht="15.2" customHeight="1" x14ac:dyDescent="0.2">
      <c r="A59" s="26" t="s">
        <v>98</v>
      </c>
      <c r="B59" s="27" t="s">
        <v>99</v>
      </c>
      <c r="C59" s="28">
        <v>2</v>
      </c>
      <c r="D59" s="29">
        <v>18</v>
      </c>
      <c r="E59" s="29">
        <v>36</v>
      </c>
      <c r="F59" s="30">
        <v>59</v>
      </c>
      <c r="G59" s="29">
        <v>118</v>
      </c>
      <c r="H59" s="28" t="s">
        <v>100</v>
      </c>
      <c r="I59" s="27" t="s">
        <v>4</v>
      </c>
      <c r="J59" s="31" t="s">
        <v>52</v>
      </c>
      <c r="K59" s="27" t="s">
        <v>24</v>
      </c>
      <c r="L59" s="27" t="s">
        <v>101</v>
      </c>
      <c r="M59" s="32" t="str">
        <f>HYPERLINK("http://slimages.macys.com/is/image/MCY/3912998 ")</f>
        <v xml:space="preserve">http://slimages.macys.com/is/image/MCY/3912998 </v>
      </c>
    </row>
    <row r="60" spans="1:13" ht="15.2" customHeight="1" x14ac:dyDescent="0.2">
      <c r="A60" s="26" t="s">
        <v>10406</v>
      </c>
      <c r="B60" s="27" t="s">
        <v>10407</v>
      </c>
      <c r="C60" s="28">
        <v>1</v>
      </c>
      <c r="D60" s="29">
        <v>17.850000000000001</v>
      </c>
      <c r="E60" s="29">
        <v>17.850000000000001</v>
      </c>
      <c r="F60" s="30">
        <v>59.5</v>
      </c>
      <c r="G60" s="29">
        <v>59.5</v>
      </c>
      <c r="H60" s="28">
        <v>49022878</v>
      </c>
      <c r="I60" s="27" t="s">
        <v>39</v>
      </c>
      <c r="J60" s="31" t="s">
        <v>5</v>
      </c>
      <c r="K60" s="27" t="s">
        <v>6</v>
      </c>
      <c r="L60" s="27" t="s">
        <v>7</v>
      </c>
      <c r="M60" s="32" t="str">
        <f>HYPERLINK("http://slimages.macys.com/is/image/MCY/3940875 ")</f>
        <v xml:space="preserve">http://slimages.macys.com/is/image/MCY/3940875 </v>
      </c>
    </row>
    <row r="61" spans="1:13" ht="15.2" customHeight="1" x14ac:dyDescent="0.2">
      <c r="A61" s="26" t="s">
        <v>10408</v>
      </c>
      <c r="B61" s="27" t="s">
        <v>10409</v>
      </c>
      <c r="C61" s="28">
        <v>1</v>
      </c>
      <c r="D61" s="29">
        <v>17.850000000000001</v>
      </c>
      <c r="E61" s="29">
        <v>17.850000000000001</v>
      </c>
      <c r="F61" s="30">
        <v>59.5</v>
      </c>
      <c r="G61" s="29">
        <v>59.5</v>
      </c>
      <c r="H61" s="28">
        <v>49008184</v>
      </c>
      <c r="I61" s="27" t="s">
        <v>1472</v>
      </c>
      <c r="J61" s="31" t="s">
        <v>5</v>
      </c>
      <c r="K61" s="27" t="s">
        <v>6</v>
      </c>
      <c r="L61" s="27" t="s">
        <v>7</v>
      </c>
      <c r="M61" s="32" t="str">
        <f>HYPERLINK("http://slimages.macys.com/is/image/MCY/3829154 ")</f>
        <v xml:space="preserve">http://slimages.macys.com/is/image/MCY/3829154 </v>
      </c>
    </row>
    <row r="62" spans="1:13" ht="15.2" customHeight="1" x14ac:dyDescent="0.2">
      <c r="A62" s="26" t="s">
        <v>10222</v>
      </c>
      <c r="B62" s="27" t="s">
        <v>10223</v>
      </c>
      <c r="C62" s="28">
        <v>1</v>
      </c>
      <c r="D62" s="29">
        <v>17.850000000000001</v>
      </c>
      <c r="E62" s="29">
        <v>17.850000000000001</v>
      </c>
      <c r="F62" s="30">
        <v>59.5</v>
      </c>
      <c r="G62" s="29">
        <v>59.5</v>
      </c>
      <c r="H62" s="28">
        <v>49008282</v>
      </c>
      <c r="I62" s="27" t="s">
        <v>4</v>
      </c>
      <c r="J62" s="31" t="s">
        <v>52</v>
      </c>
      <c r="K62" s="27" t="s">
        <v>6</v>
      </c>
      <c r="L62" s="27" t="s">
        <v>7</v>
      </c>
      <c r="M62" s="32" t="str">
        <f>HYPERLINK("http://slimages.macys.com/is/image/MCY/3829154 ")</f>
        <v xml:space="preserve">http://slimages.macys.com/is/image/MCY/3829154 </v>
      </c>
    </row>
    <row r="63" spans="1:13" ht="15.2" customHeight="1" x14ac:dyDescent="0.2">
      <c r="A63" s="26" t="s">
        <v>10410</v>
      </c>
      <c r="B63" s="27" t="s">
        <v>10411</v>
      </c>
      <c r="C63" s="28">
        <v>1</v>
      </c>
      <c r="D63" s="29">
        <v>17.850000000000001</v>
      </c>
      <c r="E63" s="29">
        <v>17.850000000000001</v>
      </c>
      <c r="F63" s="30">
        <v>59.5</v>
      </c>
      <c r="G63" s="29">
        <v>59.5</v>
      </c>
      <c r="H63" s="28">
        <v>49008184</v>
      </c>
      <c r="I63" s="27" t="s">
        <v>1472</v>
      </c>
      <c r="J63" s="31" t="s">
        <v>52</v>
      </c>
      <c r="K63" s="27" t="s">
        <v>6</v>
      </c>
      <c r="L63" s="27" t="s">
        <v>7</v>
      </c>
      <c r="M63" s="32" t="str">
        <f>HYPERLINK("http://slimages.macys.com/is/image/MCY/3829154 ")</f>
        <v xml:space="preserve">http://slimages.macys.com/is/image/MCY/3829154 </v>
      </c>
    </row>
    <row r="64" spans="1:13" ht="15.2" customHeight="1" x14ac:dyDescent="0.2">
      <c r="A64" s="26" t="s">
        <v>10412</v>
      </c>
      <c r="B64" s="27" t="s">
        <v>10413</v>
      </c>
      <c r="C64" s="28">
        <v>1</v>
      </c>
      <c r="D64" s="29">
        <v>17.850000000000001</v>
      </c>
      <c r="E64" s="29">
        <v>17.850000000000001</v>
      </c>
      <c r="F64" s="30">
        <v>59.5</v>
      </c>
      <c r="G64" s="29">
        <v>59.5</v>
      </c>
      <c r="H64" s="28">
        <v>49008282</v>
      </c>
      <c r="I64" s="27" t="s">
        <v>4</v>
      </c>
      <c r="J64" s="31" t="s">
        <v>21</v>
      </c>
      <c r="K64" s="27" t="s">
        <v>6</v>
      </c>
      <c r="L64" s="27" t="s">
        <v>7</v>
      </c>
      <c r="M64" s="32" t="str">
        <f>HYPERLINK("http://slimages.macys.com/is/image/MCY/3829154 ")</f>
        <v xml:space="preserve">http://slimages.macys.com/is/image/MCY/3829154 </v>
      </c>
    </row>
    <row r="65" spans="1:13" ht="15.2" customHeight="1" x14ac:dyDescent="0.2">
      <c r="A65" s="26" t="s">
        <v>10414</v>
      </c>
      <c r="B65" s="27" t="s">
        <v>10415</v>
      </c>
      <c r="C65" s="28">
        <v>1</v>
      </c>
      <c r="D65" s="29">
        <v>17.850000000000001</v>
      </c>
      <c r="E65" s="29">
        <v>17.850000000000001</v>
      </c>
      <c r="F65" s="30">
        <v>59.5</v>
      </c>
      <c r="G65" s="29">
        <v>59.5</v>
      </c>
      <c r="H65" s="28">
        <v>49008184</v>
      </c>
      <c r="I65" s="27" t="s">
        <v>1472</v>
      </c>
      <c r="J65" s="31" t="s">
        <v>40</v>
      </c>
      <c r="K65" s="27" t="s">
        <v>6</v>
      </c>
      <c r="L65" s="27" t="s">
        <v>7</v>
      </c>
      <c r="M65" s="32" t="str">
        <f>HYPERLINK("http://slimages.macys.com/is/image/MCY/3829154 ")</f>
        <v xml:space="preserve">http://slimages.macys.com/is/image/MCY/3829154 </v>
      </c>
    </row>
    <row r="66" spans="1:13" ht="15.2" customHeight="1" x14ac:dyDescent="0.2">
      <c r="A66" s="26" t="s">
        <v>10416</v>
      </c>
      <c r="B66" s="27" t="s">
        <v>10417</v>
      </c>
      <c r="C66" s="28">
        <v>1</v>
      </c>
      <c r="D66" s="29">
        <v>17.760000000000002</v>
      </c>
      <c r="E66" s="29">
        <v>17.760000000000002</v>
      </c>
      <c r="F66" s="30">
        <v>49.5</v>
      </c>
      <c r="G66" s="29">
        <v>49.5</v>
      </c>
      <c r="H66" s="28" t="s">
        <v>10418</v>
      </c>
      <c r="I66" s="27" t="s">
        <v>107</v>
      </c>
      <c r="J66" s="31" t="s">
        <v>40</v>
      </c>
      <c r="K66" s="27" t="s">
        <v>41</v>
      </c>
      <c r="L66" s="27" t="s">
        <v>45</v>
      </c>
      <c r="M66" s="32" t="str">
        <f>HYPERLINK("http://slimages.macys.com/is/image/MCY/3610415 ")</f>
        <v xml:space="preserve">http://slimages.macys.com/is/image/MCY/3610415 </v>
      </c>
    </row>
    <row r="67" spans="1:13" ht="15.2" customHeight="1" x14ac:dyDescent="0.2">
      <c r="A67" s="26" t="s">
        <v>10419</v>
      </c>
      <c r="B67" s="27" t="s">
        <v>10420</v>
      </c>
      <c r="C67" s="28">
        <v>1</v>
      </c>
      <c r="D67" s="29">
        <v>17.71</v>
      </c>
      <c r="E67" s="29">
        <v>17.71</v>
      </c>
      <c r="F67" s="30">
        <v>44.5</v>
      </c>
      <c r="G67" s="29">
        <v>44.5</v>
      </c>
      <c r="H67" s="28" t="s">
        <v>10421</v>
      </c>
      <c r="I67" s="27" t="s">
        <v>1</v>
      </c>
      <c r="J67" s="31"/>
      <c r="K67" s="27" t="s">
        <v>12</v>
      </c>
      <c r="L67" s="27" t="s">
        <v>13</v>
      </c>
      <c r="M67" s="32" t="str">
        <f>HYPERLINK("http://slimages.macys.com/is/image/MCY/2839000 ")</f>
        <v xml:space="preserve">http://slimages.macys.com/is/image/MCY/2839000 </v>
      </c>
    </row>
    <row r="68" spans="1:13" ht="15.2" customHeight="1" x14ac:dyDescent="0.2">
      <c r="A68" s="26" t="s">
        <v>10225</v>
      </c>
      <c r="B68" s="27" t="s">
        <v>10226</v>
      </c>
      <c r="C68" s="28">
        <v>1</v>
      </c>
      <c r="D68" s="29">
        <v>17.52</v>
      </c>
      <c r="E68" s="29">
        <v>17.52</v>
      </c>
      <c r="F68" s="30">
        <v>49.5</v>
      </c>
      <c r="G68" s="29">
        <v>49.5</v>
      </c>
      <c r="H68" s="28" t="s">
        <v>106</v>
      </c>
      <c r="I68" s="27" t="s">
        <v>107</v>
      </c>
      <c r="J68" s="31" t="s">
        <v>205</v>
      </c>
      <c r="K68" s="27" t="s">
        <v>41</v>
      </c>
      <c r="L68" s="27" t="s">
        <v>109</v>
      </c>
      <c r="M68" s="32" t="str">
        <f>HYPERLINK("http://slimages.macys.com/is/image/MCY/3367561 ")</f>
        <v xml:space="preserve">http://slimages.macys.com/is/image/MCY/3367561 </v>
      </c>
    </row>
    <row r="69" spans="1:13" ht="15.2" customHeight="1" x14ac:dyDescent="0.2">
      <c r="A69" s="26" t="s">
        <v>117</v>
      </c>
      <c r="B69" s="27" t="s">
        <v>118</v>
      </c>
      <c r="C69" s="28">
        <v>1</v>
      </c>
      <c r="D69" s="29">
        <v>17.25</v>
      </c>
      <c r="E69" s="29">
        <v>17.25</v>
      </c>
      <c r="F69" s="30">
        <v>49</v>
      </c>
      <c r="G69" s="29">
        <v>49</v>
      </c>
      <c r="H69" s="28" t="s">
        <v>119</v>
      </c>
      <c r="I69" s="27" t="s">
        <v>82</v>
      </c>
      <c r="J69" s="31" t="s">
        <v>5</v>
      </c>
      <c r="K69" s="27" t="s">
        <v>37</v>
      </c>
      <c r="L69" s="27" t="s">
        <v>38</v>
      </c>
      <c r="M69" s="32" t="str">
        <f>HYPERLINK("http://slimages.macys.com/is/image/MCY/3559922 ")</f>
        <v xml:space="preserve">http://slimages.macys.com/is/image/MCY/3559922 </v>
      </c>
    </row>
    <row r="70" spans="1:13" ht="15.2" customHeight="1" x14ac:dyDescent="0.2">
      <c r="A70" s="26" t="s">
        <v>10422</v>
      </c>
      <c r="B70" s="27" t="s">
        <v>10423</v>
      </c>
      <c r="C70" s="28">
        <v>1</v>
      </c>
      <c r="D70" s="29">
        <v>17</v>
      </c>
      <c r="E70" s="29">
        <v>17</v>
      </c>
      <c r="F70" s="30">
        <v>44.99</v>
      </c>
      <c r="G70" s="29">
        <v>44.99</v>
      </c>
      <c r="H70" s="28" t="s">
        <v>2831</v>
      </c>
      <c r="I70" s="27" t="s">
        <v>302</v>
      </c>
      <c r="J70" s="31" t="s">
        <v>21</v>
      </c>
      <c r="K70" s="27" t="s">
        <v>70</v>
      </c>
      <c r="L70" s="27" t="s">
        <v>128</v>
      </c>
      <c r="M70" s="32" t="str">
        <f>HYPERLINK("http://slimages.macys.com/is/image/MCY/3723575 ")</f>
        <v xml:space="preserve">http://slimages.macys.com/is/image/MCY/3723575 </v>
      </c>
    </row>
    <row r="71" spans="1:13" ht="15.2" customHeight="1" x14ac:dyDescent="0.2">
      <c r="A71" s="26" t="s">
        <v>1155</v>
      </c>
      <c r="B71" s="27" t="s">
        <v>1156</v>
      </c>
      <c r="C71" s="28">
        <v>1</v>
      </c>
      <c r="D71" s="29">
        <v>17</v>
      </c>
      <c r="E71" s="29">
        <v>17</v>
      </c>
      <c r="F71" s="30">
        <v>42.99</v>
      </c>
      <c r="G71" s="29">
        <v>42.99</v>
      </c>
      <c r="H71" s="28" t="s">
        <v>1157</v>
      </c>
      <c r="I71" s="27" t="s">
        <v>22</v>
      </c>
      <c r="J71" s="31" t="s">
        <v>21</v>
      </c>
      <c r="K71" s="27" t="s">
        <v>70</v>
      </c>
      <c r="L71" s="27" t="s">
        <v>25</v>
      </c>
      <c r="M71" s="32" t="str">
        <f>HYPERLINK("http://slimages.macys.com/is/image/MCY/3563258 ")</f>
        <v xml:space="preserve">http://slimages.macys.com/is/image/MCY/3563258 </v>
      </c>
    </row>
    <row r="72" spans="1:13" ht="15.2" customHeight="1" x14ac:dyDescent="0.2">
      <c r="A72" s="26" t="s">
        <v>2829</v>
      </c>
      <c r="B72" s="27" t="s">
        <v>2830</v>
      </c>
      <c r="C72" s="28">
        <v>1</v>
      </c>
      <c r="D72" s="29">
        <v>17</v>
      </c>
      <c r="E72" s="29">
        <v>17</v>
      </c>
      <c r="F72" s="30">
        <v>44.99</v>
      </c>
      <c r="G72" s="29">
        <v>44.99</v>
      </c>
      <c r="H72" s="28" t="s">
        <v>2831</v>
      </c>
      <c r="I72" s="27" t="s">
        <v>302</v>
      </c>
      <c r="J72" s="31" t="s">
        <v>5</v>
      </c>
      <c r="K72" s="27" t="s">
        <v>70</v>
      </c>
      <c r="L72" s="27" t="s">
        <v>128</v>
      </c>
      <c r="M72" s="32" t="str">
        <f>HYPERLINK("http://slimages.macys.com/is/image/MCY/3723575 ")</f>
        <v xml:space="preserve">http://slimages.macys.com/is/image/MCY/3723575 </v>
      </c>
    </row>
    <row r="73" spans="1:13" ht="15.2" customHeight="1" x14ac:dyDescent="0.2">
      <c r="A73" s="26" t="s">
        <v>10424</v>
      </c>
      <c r="B73" s="27" t="s">
        <v>10425</v>
      </c>
      <c r="C73" s="28">
        <v>1</v>
      </c>
      <c r="D73" s="29">
        <v>17</v>
      </c>
      <c r="E73" s="29">
        <v>17</v>
      </c>
      <c r="F73" s="30">
        <v>42.99</v>
      </c>
      <c r="G73" s="29">
        <v>42.99</v>
      </c>
      <c r="H73" s="28" t="s">
        <v>10426</v>
      </c>
      <c r="I73" s="27" t="s">
        <v>94</v>
      </c>
      <c r="J73" s="31" t="s">
        <v>52</v>
      </c>
      <c r="K73" s="27" t="s">
        <v>70</v>
      </c>
      <c r="L73" s="27" t="s">
        <v>650</v>
      </c>
      <c r="M73" s="32" t="str">
        <f>HYPERLINK("http://slimages.macys.com/is/image/MCY/3638314 ")</f>
        <v xml:space="preserve">http://slimages.macys.com/is/image/MCY/3638314 </v>
      </c>
    </row>
    <row r="74" spans="1:13" ht="15.2" customHeight="1" x14ac:dyDescent="0.2">
      <c r="A74" s="26" t="s">
        <v>1159</v>
      </c>
      <c r="B74" s="27" t="s">
        <v>1160</v>
      </c>
      <c r="C74" s="28">
        <v>1</v>
      </c>
      <c r="D74" s="29">
        <v>16.5</v>
      </c>
      <c r="E74" s="29">
        <v>16.5</v>
      </c>
      <c r="F74" s="30">
        <v>39.99</v>
      </c>
      <c r="G74" s="29">
        <v>39.99</v>
      </c>
      <c r="H74" s="28" t="s">
        <v>1161</v>
      </c>
      <c r="I74" s="27" t="s">
        <v>10</v>
      </c>
      <c r="J74" s="31" t="s">
        <v>21</v>
      </c>
      <c r="K74" s="27" t="s">
        <v>70</v>
      </c>
      <c r="L74" s="27" t="s">
        <v>650</v>
      </c>
      <c r="M74" s="32" t="str">
        <f>HYPERLINK("http://slimages.macys.com/is/image/MCY/3773662 ")</f>
        <v xml:space="preserve">http://slimages.macys.com/is/image/MCY/3773662 </v>
      </c>
    </row>
    <row r="75" spans="1:13" ht="15.2" customHeight="1" x14ac:dyDescent="0.2">
      <c r="A75" s="26" t="s">
        <v>7500</v>
      </c>
      <c r="B75" s="27" t="s">
        <v>7501</v>
      </c>
      <c r="C75" s="28">
        <v>1</v>
      </c>
      <c r="D75" s="29">
        <v>16.239999999999998</v>
      </c>
      <c r="E75" s="29">
        <v>16.239999999999998</v>
      </c>
      <c r="F75" s="30">
        <v>44.5</v>
      </c>
      <c r="G75" s="29">
        <v>44.5</v>
      </c>
      <c r="H75" s="28" t="s">
        <v>141</v>
      </c>
      <c r="I75" s="27" t="s">
        <v>22</v>
      </c>
      <c r="J75" s="31" t="s">
        <v>71</v>
      </c>
      <c r="K75" s="27" t="s">
        <v>41</v>
      </c>
      <c r="L75" s="27" t="s">
        <v>45</v>
      </c>
      <c r="M75" s="32" t="str">
        <f>HYPERLINK("http://slimages.macys.com/is/image/MCY/3802073 ")</f>
        <v xml:space="preserve">http://slimages.macys.com/is/image/MCY/3802073 </v>
      </c>
    </row>
    <row r="76" spans="1:13" ht="15.2" customHeight="1" x14ac:dyDescent="0.2">
      <c r="A76" s="26" t="s">
        <v>704</v>
      </c>
      <c r="B76" s="27" t="s">
        <v>705</v>
      </c>
      <c r="C76" s="28">
        <v>1</v>
      </c>
      <c r="D76" s="29">
        <v>16.239999999999998</v>
      </c>
      <c r="E76" s="29">
        <v>16.239999999999998</v>
      </c>
      <c r="F76" s="30">
        <v>44.5</v>
      </c>
      <c r="G76" s="29">
        <v>44.5</v>
      </c>
      <c r="H76" s="28" t="s">
        <v>706</v>
      </c>
      <c r="I76" s="27" t="s">
        <v>22</v>
      </c>
      <c r="J76" s="31" t="s">
        <v>5</v>
      </c>
      <c r="K76" s="27" t="s">
        <v>41</v>
      </c>
      <c r="L76" s="27" t="s">
        <v>90</v>
      </c>
      <c r="M76" s="32" t="str">
        <f>HYPERLINK("http://slimages.macys.com/is/image/MCY/3774436 ")</f>
        <v xml:space="preserve">http://slimages.macys.com/is/image/MCY/3774436 </v>
      </c>
    </row>
    <row r="77" spans="1:13" ht="15.2" customHeight="1" x14ac:dyDescent="0.2">
      <c r="A77" s="26" t="s">
        <v>2110</v>
      </c>
      <c r="B77" s="27" t="s">
        <v>2111</v>
      </c>
      <c r="C77" s="28">
        <v>1</v>
      </c>
      <c r="D77" s="29">
        <v>16.239999999999998</v>
      </c>
      <c r="E77" s="29">
        <v>16.239999999999998</v>
      </c>
      <c r="F77" s="30">
        <v>44.5</v>
      </c>
      <c r="G77" s="29">
        <v>44.5</v>
      </c>
      <c r="H77" s="28" t="s">
        <v>706</v>
      </c>
      <c r="I77" s="27" t="s">
        <v>22</v>
      </c>
      <c r="J77" s="31" t="s">
        <v>21</v>
      </c>
      <c r="K77" s="27" t="s">
        <v>41</v>
      </c>
      <c r="L77" s="27" t="s">
        <v>90</v>
      </c>
      <c r="M77" s="32" t="str">
        <f>HYPERLINK("http://slimages.macys.com/is/image/MCY/3774436 ")</f>
        <v xml:space="preserve">http://slimages.macys.com/is/image/MCY/3774436 </v>
      </c>
    </row>
    <row r="78" spans="1:13" ht="15.2" customHeight="1" x14ac:dyDescent="0.2">
      <c r="A78" s="26" t="s">
        <v>2112</v>
      </c>
      <c r="B78" s="27" t="s">
        <v>2113</v>
      </c>
      <c r="C78" s="28">
        <v>2</v>
      </c>
      <c r="D78" s="29">
        <v>16.239999999999998</v>
      </c>
      <c r="E78" s="29">
        <v>32.479999999999997</v>
      </c>
      <c r="F78" s="30">
        <v>44.5</v>
      </c>
      <c r="G78" s="29">
        <v>89</v>
      </c>
      <c r="H78" s="28">
        <v>40329</v>
      </c>
      <c r="I78" s="27" t="s">
        <v>94</v>
      </c>
      <c r="J78" s="31" t="s">
        <v>5</v>
      </c>
      <c r="K78" s="27" t="s">
        <v>41</v>
      </c>
      <c r="L78" s="27" t="s">
        <v>90</v>
      </c>
      <c r="M78" s="32" t="str">
        <f>HYPERLINK("http://slimages.macys.com/is/image/MCY/3774436 ")</f>
        <v xml:space="preserve">http://slimages.macys.com/is/image/MCY/3774436 </v>
      </c>
    </row>
    <row r="79" spans="1:13" ht="15.2" customHeight="1" x14ac:dyDescent="0.2">
      <c r="A79" s="26" t="s">
        <v>2108</v>
      </c>
      <c r="B79" s="27" t="s">
        <v>2109</v>
      </c>
      <c r="C79" s="28">
        <v>1</v>
      </c>
      <c r="D79" s="29">
        <v>16.239999999999998</v>
      </c>
      <c r="E79" s="29">
        <v>16.239999999999998</v>
      </c>
      <c r="F79" s="30">
        <v>44.5</v>
      </c>
      <c r="G79" s="29">
        <v>44.5</v>
      </c>
      <c r="H79" s="28" t="s">
        <v>141</v>
      </c>
      <c r="I79" s="27" t="s">
        <v>22</v>
      </c>
      <c r="J79" s="31" t="s">
        <v>52</v>
      </c>
      <c r="K79" s="27" t="s">
        <v>41</v>
      </c>
      <c r="L79" s="27" t="s">
        <v>45</v>
      </c>
      <c r="M79" s="32" t="str">
        <f>HYPERLINK("http://slimages.macys.com/is/image/MCY/3802073 ")</f>
        <v xml:space="preserve">http://slimages.macys.com/is/image/MCY/3802073 </v>
      </c>
    </row>
    <row r="80" spans="1:13" ht="15.2" customHeight="1" x14ac:dyDescent="0.2">
      <c r="A80" s="26" t="s">
        <v>1758</v>
      </c>
      <c r="B80" s="27" t="s">
        <v>1759</v>
      </c>
      <c r="C80" s="28">
        <v>1</v>
      </c>
      <c r="D80" s="29">
        <v>16.239999999999998</v>
      </c>
      <c r="E80" s="29">
        <v>16.239999999999998</v>
      </c>
      <c r="F80" s="30">
        <v>44.5</v>
      </c>
      <c r="G80" s="29">
        <v>44.5</v>
      </c>
      <c r="H80" s="28" t="s">
        <v>711</v>
      </c>
      <c r="I80" s="27" t="s">
        <v>49</v>
      </c>
      <c r="J80" s="31" t="s">
        <v>21</v>
      </c>
      <c r="K80" s="27" t="s">
        <v>41</v>
      </c>
      <c r="L80" s="27" t="s">
        <v>90</v>
      </c>
      <c r="M80" s="32" t="str">
        <f>HYPERLINK("http://slimages.macys.com/is/image/MCY/3774436 ")</f>
        <v xml:space="preserve">http://slimages.macys.com/is/image/MCY/3774436 </v>
      </c>
    </row>
    <row r="81" spans="1:13" ht="15.2" customHeight="1" x14ac:dyDescent="0.2">
      <c r="A81" s="26" t="s">
        <v>6918</v>
      </c>
      <c r="B81" s="27" t="s">
        <v>6919</v>
      </c>
      <c r="C81" s="28">
        <v>1</v>
      </c>
      <c r="D81" s="29">
        <v>16.239999999999998</v>
      </c>
      <c r="E81" s="29">
        <v>16.239999999999998</v>
      </c>
      <c r="F81" s="30">
        <v>44.5</v>
      </c>
      <c r="G81" s="29">
        <v>44.5</v>
      </c>
      <c r="H81" s="28" t="s">
        <v>711</v>
      </c>
      <c r="I81" s="27" t="s">
        <v>49</v>
      </c>
      <c r="J81" s="31" t="s">
        <v>71</v>
      </c>
      <c r="K81" s="27" t="s">
        <v>41</v>
      </c>
      <c r="L81" s="27" t="s">
        <v>90</v>
      </c>
      <c r="M81" s="32" t="str">
        <f>HYPERLINK("http://slimages.macys.com/is/image/MCY/3774436 ")</f>
        <v xml:space="preserve">http://slimages.macys.com/is/image/MCY/3774436 </v>
      </c>
    </row>
    <row r="82" spans="1:13" ht="15.2" customHeight="1" x14ac:dyDescent="0.2">
      <c r="A82" s="26" t="s">
        <v>6458</v>
      </c>
      <c r="B82" s="27" t="s">
        <v>6459</v>
      </c>
      <c r="C82" s="28">
        <v>1</v>
      </c>
      <c r="D82" s="29">
        <v>15.75</v>
      </c>
      <c r="E82" s="29">
        <v>15.75</v>
      </c>
      <c r="F82" s="30">
        <v>49</v>
      </c>
      <c r="G82" s="29">
        <v>49</v>
      </c>
      <c r="H82" s="28" t="s">
        <v>3208</v>
      </c>
      <c r="I82" s="27" t="s">
        <v>36</v>
      </c>
      <c r="J82" s="31" t="s">
        <v>40</v>
      </c>
      <c r="K82" s="27" t="s">
        <v>37</v>
      </c>
      <c r="L82" s="27" t="s">
        <v>38</v>
      </c>
      <c r="M82" s="32" t="str">
        <f>HYPERLINK("http://slimages.macys.com/is/image/MCY/3667790 ")</f>
        <v xml:space="preserve">http://slimages.macys.com/is/image/MCY/3667790 </v>
      </c>
    </row>
    <row r="83" spans="1:13" ht="15.2" customHeight="1" x14ac:dyDescent="0.2">
      <c r="A83" s="26" t="s">
        <v>10427</v>
      </c>
      <c r="B83" s="27" t="s">
        <v>10428</v>
      </c>
      <c r="C83" s="28">
        <v>1</v>
      </c>
      <c r="D83" s="29">
        <v>15.75</v>
      </c>
      <c r="E83" s="29">
        <v>15.75</v>
      </c>
      <c r="F83" s="30">
        <v>49</v>
      </c>
      <c r="G83" s="29">
        <v>49</v>
      </c>
      <c r="H83" s="28" t="s">
        <v>712</v>
      </c>
      <c r="I83" s="27" t="s">
        <v>94</v>
      </c>
      <c r="J83" s="31" t="s">
        <v>40</v>
      </c>
      <c r="K83" s="27" t="s">
        <v>37</v>
      </c>
      <c r="L83" s="27" t="s">
        <v>38</v>
      </c>
      <c r="M83" s="32" t="str">
        <f>HYPERLINK("http://slimages.macys.com/is/image/MCY/3667771 ")</f>
        <v xml:space="preserve">http://slimages.macys.com/is/image/MCY/3667771 </v>
      </c>
    </row>
    <row r="84" spans="1:13" ht="15.2" customHeight="1" x14ac:dyDescent="0.2">
      <c r="A84" s="26" t="s">
        <v>8546</v>
      </c>
      <c r="B84" s="27" t="s">
        <v>8547</v>
      </c>
      <c r="C84" s="28">
        <v>1</v>
      </c>
      <c r="D84" s="29">
        <v>15.75</v>
      </c>
      <c r="E84" s="29">
        <v>15.75</v>
      </c>
      <c r="F84" s="30">
        <v>49</v>
      </c>
      <c r="G84" s="29">
        <v>49</v>
      </c>
      <c r="H84" s="28" t="s">
        <v>3208</v>
      </c>
      <c r="I84" s="27" t="s">
        <v>36</v>
      </c>
      <c r="J84" s="31" t="s">
        <v>52</v>
      </c>
      <c r="K84" s="27" t="s">
        <v>37</v>
      </c>
      <c r="L84" s="27" t="s">
        <v>38</v>
      </c>
      <c r="M84" s="32" t="str">
        <f>HYPERLINK("http://slimages.macys.com/is/image/MCY/3667790 ")</f>
        <v xml:space="preserve">http://slimages.macys.com/is/image/MCY/3667790 </v>
      </c>
    </row>
    <row r="85" spans="1:13" ht="15.2" customHeight="1" x14ac:dyDescent="0.2">
      <c r="A85" s="26" t="s">
        <v>3756</v>
      </c>
      <c r="B85" s="27" t="s">
        <v>3757</v>
      </c>
      <c r="C85" s="28">
        <v>1</v>
      </c>
      <c r="D85" s="29">
        <v>15.75</v>
      </c>
      <c r="E85" s="29">
        <v>15.75</v>
      </c>
      <c r="F85" s="30">
        <v>49</v>
      </c>
      <c r="G85" s="29">
        <v>49</v>
      </c>
      <c r="H85" s="28" t="s">
        <v>145</v>
      </c>
      <c r="I85" s="27" t="s">
        <v>146</v>
      </c>
      <c r="J85" s="31" t="s">
        <v>40</v>
      </c>
      <c r="K85" s="27" t="s">
        <v>37</v>
      </c>
      <c r="L85" s="27" t="s">
        <v>38</v>
      </c>
      <c r="M85" s="32" t="str">
        <f>HYPERLINK("http://slimages.macys.com/is/image/MCY/3667805 ")</f>
        <v xml:space="preserve">http://slimages.macys.com/is/image/MCY/3667805 </v>
      </c>
    </row>
    <row r="86" spans="1:13" ht="15.2" customHeight="1" x14ac:dyDescent="0.2">
      <c r="A86" s="26" t="s">
        <v>1167</v>
      </c>
      <c r="B86" s="27" t="s">
        <v>1168</v>
      </c>
      <c r="C86" s="28">
        <v>1</v>
      </c>
      <c r="D86" s="29">
        <v>15.75</v>
      </c>
      <c r="E86" s="29">
        <v>15.75</v>
      </c>
      <c r="F86" s="30">
        <v>49</v>
      </c>
      <c r="G86" s="29">
        <v>49</v>
      </c>
      <c r="H86" s="28" t="s">
        <v>145</v>
      </c>
      <c r="I86" s="27" t="s">
        <v>146</v>
      </c>
      <c r="J86" s="31" t="s">
        <v>21</v>
      </c>
      <c r="K86" s="27" t="s">
        <v>37</v>
      </c>
      <c r="L86" s="27" t="s">
        <v>38</v>
      </c>
      <c r="M86" s="32" t="str">
        <f>HYPERLINK("http://slimages.macys.com/is/image/MCY/3667805 ")</f>
        <v xml:space="preserve">http://slimages.macys.com/is/image/MCY/3667805 </v>
      </c>
    </row>
    <row r="87" spans="1:13" ht="15.2" customHeight="1" x14ac:dyDescent="0.2">
      <c r="A87" s="26" t="s">
        <v>4444</v>
      </c>
      <c r="B87" s="27" t="s">
        <v>4445</v>
      </c>
      <c r="C87" s="28">
        <v>1</v>
      </c>
      <c r="D87" s="29">
        <v>15</v>
      </c>
      <c r="E87" s="29">
        <v>15</v>
      </c>
      <c r="F87" s="30">
        <v>59</v>
      </c>
      <c r="G87" s="29">
        <v>59</v>
      </c>
      <c r="H87" s="28" t="s">
        <v>158</v>
      </c>
      <c r="I87" s="27"/>
      <c r="J87" s="31" t="s">
        <v>21</v>
      </c>
      <c r="K87" s="27" t="s">
        <v>154</v>
      </c>
      <c r="L87" s="27" t="s">
        <v>155</v>
      </c>
      <c r="M87" s="32" t="str">
        <f>HYPERLINK("http://slimages.macys.com/is/image/MCY/3667495 ")</f>
        <v xml:space="preserve">http://slimages.macys.com/is/image/MCY/3667495 </v>
      </c>
    </row>
    <row r="88" spans="1:13" ht="15.2" customHeight="1" x14ac:dyDescent="0.2">
      <c r="A88" s="26" t="s">
        <v>10429</v>
      </c>
      <c r="B88" s="27" t="s">
        <v>10430</v>
      </c>
      <c r="C88" s="28">
        <v>1</v>
      </c>
      <c r="D88" s="29">
        <v>15</v>
      </c>
      <c r="E88" s="29">
        <v>15</v>
      </c>
      <c r="F88" s="30">
        <v>27.99</v>
      </c>
      <c r="G88" s="29">
        <v>27.99</v>
      </c>
      <c r="H88" s="28" t="s">
        <v>10431</v>
      </c>
      <c r="I88" s="27" t="s">
        <v>215</v>
      </c>
      <c r="J88" s="31" t="s">
        <v>5</v>
      </c>
      <c r="K88" s="27" t="s">
        <v>224</v>
      </c>
      <c r="L88" s="27" t="s">
        <v>254</v>
      </c>
      <c r="M88" s="32" t="str">
        <f>HYPERLINK("http://slimages.macys.com/is/image/MCY/3905727 ")</f>
        <v xml:space="preserve">http://slimages.macys.com/is/image/MCY/3905727 </v>
      </c>
    </row>
    <row r="89" spans="1:13" ht="15.2" customHeight="1" x14ac:dyDescent="0.2">
      <c r="A89" s="26" t="s">
        <v>10432</v>
      </c>
      <c r="B89" s="27" t="s">
        <v>10433</v>
      </c>
      <c r="C89" s="28">
        <v>1</v>
      </c>
      <c r="D89" s="29">
        <v>14.6</v>
      </c>
      <c r="E89" s="29">
        <v>14.6</v>
      </c>
      <c r="F89" s="30">
        <v>36.5</v>
      </c>
      <c r="G89" s="29">
        <v>36.5</v>
      </c>
      <c r="H89" s="28" t="s">
        <v>1176</v>
      </c>
      <c r="I89" s="27" t="s">
        <v>295</v>
      </c>
      <c r="J89" s="31" t="s">
        <v>71</v>
      </c>
      <c r="K89" s="27" t="s">
        <v>27</v>
      </c>
      <c r="L89" s="27" t="s">
        <v>28</v>
      </c>
      <c r="M89" s="32" t="str">
        <f>HYPERLINK("http://slimages.macys.com/is/image/MCY/3810647 ")</f>
        <v xml:space="preserve">http://slimages.macys.com/is/image/MCY/3810647 </v>
      </c>
    </row>
    <row r="90" spans="1:13" ht="15.2" customHeight="1" x14ac:dyDescent="0.2">
      <c r="A90" s="26" t="s">
        <v>10434</v>
      </c>
      <c r="B90" s="27" t="s">
        <v>10435</v>
      </c>
      <c r="C90" s="28">
        <v>1</v>
      </c>
      <c r="D90" s="29">
        <v>14.5</v>
      </c>
      <c r="E90" s="29">
        <v>14.5</v>
      </c>
      <c r="F90" s="30">
        <v>34.99</v>
      </c>
      <c r="G90" s="29">
        <v>34.99</v>
      </c>
      <c r="H90" s="28" t="s">
        <v>732</v>
      </c>
      <c r="I90" s="27" t="s">
        <v>248</v>
      </c>
      <c r="J90" s="31" t="s">
        <v>214</v>
      </c>
      <c r="K90" s="27" t="s">
        <v>200</v>
      </c>
      <c r="L90" s="27" t="s">
        <v>133</v>
      </c>
      <c r="M90" s="32" t="str">
        <f>HYPERLINK("http://slimages.macys.com/is/image/MCY/3677764 ")</f>
        <v xml:space="preserve">http://slimages.macys.com/is/image/MCY/3677764 </v>
      </c>
    </row>
    <row r="91" spans="1:13" ht="15.2" customHeight="1" x14ac:dyDescent="0.2">
      <c r="A91" s="26" t="s">
        <v>10228</v>
      </c>
      <c r="B91" s="27" t="s">
        <v>10229</v>
      </c>
      <c r="C91" s="28">
        <v>2</v>
      </c>
      <c r="D91" s="29">
        <v>14.5</v>
      </c>
      <c r="E91" s="29">
        <v>29</v>
      </c>
      <c r="F91" s="30">
        <v>49</v>
      </c>
      <c r="G91" s="29">
        <v>98</v>
      </c>
      <c r="H91" s="28" t="s">
        <v>170</v>
      </c>
      <c r="I91" s="27" t="s">
        <v>4</v>
      </c>
      <c r="J91" s="31" t="s">
        <v>5</v>
      </c>
      <c r="K91" s="27" t="s">
        <v>154</v>
      </c>
      <c r="L91" s="27" t="s">
        <v>155</v>
      </c>
      <c r="M91" s="32" t="str">
        <f>HYPERLINK("http://slimages.macys.com/is/image/MCY/3801863 ")</f>
        <v xml:space="preserve">http://slimages.macys.com/is/image/MCY/3801863 </v>
      </c>
    </row>
    <row r="92" spans="1:13" ht="15.2" customHeight="1" x14ac:dyDescent="0.2">
      <c r="A92" s="26" t="s">
        <v>1766</v>
      </c>
      <c r="B92" s="27" t="s">
        <v>1767</v>
      </c>
      <c r="C92" s="28">
        <v>1</v>
      </c>
      <c r="D92" s="29">
        <v>14.5</v>
      </c>
      <c r="E92" s="29">
        <v>14.5</v>
      </c>
      <c r="F92" s="30">
        <v>45</v>
      </c>
      <c r="G92" s="29">
        <v>45</v>
      </c>
      <c r="H92" s="28" t="s">
        <v>1768</v>
      </c>
      <c r="I92" s="27" t="s">
        <v>82</v>
      </c>
      <c r="J92" s="31" t="s">
        <v>52</v>
      </c>
      <c r="K92" s="27" t="s">
        <v>154</v>
      </c>
      <c r="L92" s="27" t="s">
        <v>155</v>
      </c>
      <c r="M92" s="32" t="str">
        <f>HYPERLINK("http://slimages.macys.com/is/image/MCY/3841161 ")</f>
        <v xml:space="preserve">http://slimages.macys.com/is/image/MCY/3841161 </v>
      </c>
    </row>
    <row r="93" spans="1:13" ht="15.2" customHeight="1" x14ac:dyDescent="0.2">
      <c r="A93" s="26" t="s">
        <v>10436</v>
      </c>
      <c r="B93" s="27" t="s">
        <v>10437</v>
      </c>
      <c r="C93" s="28">
        <v>1</v>
      </c>
      <c r="D93" s="29">
        <v>14.5</v>
      </c>
      <c r="E93" s="29">
        <v>14.5</v>
      </c>
      <c r="F93" s="30">
        <v>34.99</v>
      </c>
      <c r="G93" s="29">
        <v>34.99</v>
      </c>
      <c r="H93" s="28" t="s">
        <v>1184</v>
      </c>
      <c r="I93" s="27" t="s">
        <v>746</v>
      </c>
      <c r="J93" s="31" t="s">
        <v>216</v>
      </c>
      <c r="K93" s="27" t="s">
        <v>200</v>
      </c>
      <c r="L93" s="27" t="s">
        <v>133</v>
      </c>
      <c r="M93" s="32" t="str">
        <f>HYPERLINK("http://slimages.macys.com/is/image/MCY/3677804 ")</f>
        <v xml:space="preserve">http://slimages.macys.com/is/image/MCY/3677804 </v>
      </c>
    </row>
    <row r="94" spans="1:13" ht="15.2" customHeight="1" x14ac:dyDescent="0.2">
      <c r="A94" s="26" t="s">
        <v>10438</v>
      </c>
      <c r="B94" s="27" t="s">
        <v>10439</v>
      </c>
      <c r="C94" s="28">
        <v>1</v>
      </c>
      <c r="D94" s="29">
        <v>14.5</v>
      </c>
      <c r="E94" s="29">
        <v>14.5</v>
      </c>
      <c r="F94" s="30">
        <v>34.99</v>
      </c>
      <c r="G94" s="29">
        <v>34.99</v>
      </c>
      <c r="H94" s="28" t="s">
        <v>732</v>
      </c>
      <c r="I94" s="27" t="s">
        <v>82</v>
      </c>
      <c r="J94" s="31" t="s">
        <v>210</v>
      </c>
      <c r="K94" s="27" t="s">
        <v>200</v>
      </c>
      <c r="L94" s="27" t="s">
        <v>133</v>
      </c>
      <c r="M94" s="32" t="str">
        <f>HYPERLINK("http://slimages.macys.com/is/image/MCY/3206673 ")</f>
        <v xml:space="preserve">http://slimages.macys.com/is/image/MCY/3206673 </v>
      </c>
    </row>
    <row r="95" spans="1:13" ht="15.2" customHeight="1" x14ac:dyDescent="0.2">
      <c r="A95" s="26" t="s">
        <v>8516</v>
      </c>
      <c r="B95" s="27" t="s">
        <v>8517</v>
      </c>
      <c r="C95" s="28">
        <v>1</v>
      </c>
      <c r="D95" s="29">
        <v>14.5</v>
      </c>
      <c r="E95" s="29">
        <v>14.5</v>
      </c>
      <c r="F95" s="30">
        <v>34.99</v>
      </c>
      <c r="G95" s="29">
        <v>34.99</v>
      </c>
      <c r="H95" s="28" t="s">
        <v>732</v>
      </c>
      <c r="I95" s="27" t="s">
        <v>82</v>
      </c>
      <c r="J95" s="31" t="s">
        <v>23</v>
      </c>
      <c r="K95" s="27" t="s">
        <v>200</v>
      </c>
      <c r="L95" s="27" t="s">
        <v>133</v>
      </c>
      <c r="M95" s="32" t="str">
        <f>HYPERLINK("http://slimages.macys.com/is/image/MCY/3206673 ")</f>
        <v xml:space="preserve">http://slimages.macys.com/is/image/MCY/3206673 </v>
      </c>
    </row>
    <row r="96" spans="1:13" ht="15.2" customHeight="1" x14ac:dyDescent="0.2">
      <c r="A96" s="26" t="s">
        <v>10440</v>
      </c>
      <c r="B96" s="27" t="s">
        <v>10441</v>
      </c>
      <c r="C96" s="28">
        <v>1</v>
      </c>
      <c r="D96" s="29">
        <v>14.14</v>
      </c>
      <c r="E96" s="29">
        <v>14.14</v>
      </c>
      <c r="F96" s="30">
        <v>39.5</v>
      </c>
      <c r="G96" s="29">
        <v>39.5</v>
      </c>
      <c r="H96" s="28" t="s">
        <v>10281</v>
      </c>
      <c r="I96" s="27" t="s">
        <v>82</v>
      </c>
      <c r="J96" s="31" t="s">
        <v>5</v>
      </c>
      <c r="K96" s="27" t="s">
        <v>41</v>
      </c>
      <c r="L96" s="27" t="s">
        <v>45</v>
      </c>
      <c r="M96" s="32" t="str">
        <f>HYPERLINK("http://slimages.macys.com/is/image/MCY/3548396 ")</f>
        <v xml:space="preserve">http://slimages.macys.com/is/image/MCY/3548396 </v>
      </c>
    </row>
    <row r="97" spans="1:13" ht="15.2" customHeight="1" x14ac:dyDescent="0.2">
      <c r="A97" s="26" t="s">
        <v>10442</v>
      </c>
      <c r="B97" s="27" t="s">
        <v>10443</v>
      </c>
      <c r="C97" s="28">
        <v>1</v>
      </c>
      <c r="D97" s="29">
        <v>14.14</v>
      </c>
      <c r="E97" s="29">
        <v>14.14</v>
      </c>
      <c r="F97" s="30">
        <v>39.5</v>
      </c>
      <c r="G97" s="29">
        <v>39.5</v>
      </c>
      <c r="H97" s="28" t="s">
        <v>10281</v>
      </c>
      <c r="I97" s="27" t="s">
        <v>82</v>
      </c>
      <c r="J97" s="31" t="s">
        <v>71</v>
      </c>
      <c r="K97" s="27" t="s">
        <v>41</v>
      </c>
      <c r="L97" s="27" t="s">
        <v>45</v>
      </c>
      <c r="M97" s="32" t="str">
        <f>HYPERLINK("http://slimages.macys.com/is/image/MCY/3548396 ")</f>
        <v xml:space="preserve">http://slimages.macys.com/is/image/MCY/3548396 </v>
      </c>
    </row>
    <row r="98" spans="1:13" ht="15.2" customHeight="1" x14ac:dyDescent="0.2">
      <c r="A98" s="26" t="s">
        <v>10444</v>
      </c>
      <c r="B98" s="27" t="s">
        <v>10445</v>
      </c>
      <c r="C98" s="28">
        <v>1</v>
      </c>
      <c r="D98" s="29">
        <v>14</v>
      </c>
      <c r="E98" s="29">
        <v>14</v>
      </c>
      <c r="F98" s="30">
        <v>34.99</v>
      </c>
      <c r="G98" s="29">
        <v>34.99</v>
      </c>
      <c r="H98" s="28" t="s">
        <v>8779</v>
      </c>
      <c r="I98" s="27" t="s">
        <v>36</v>
      </c>
      <c r="J98" s="31" t="s">
        <v>71</v>
      </c>
      <c r="K98" s="27" t="s">
        <v>70</v>
      </c>
      <c r="L98" s="27" t="s">
        <v>999</v>
      </c>
      <c r="M98" s="32" t="str">
        <f>HYPERLINK("http://slimages.macys.com/is/image/MCY/3615258 ")</f>
        <v xml:space="preserve">http://slimages.macys.com/is/image/MCY/3615258 </v>
      </c>
    </row>
    <row r="99" spans="1:13" ht="15.2" customHeight="1" x14ac:dyDescent="0.2">
      <c r="A99" s="26" t="s">
        <v>10446</v>
      </c>
      <c r="B99" s="27" t="s">
        <v>10447</v>
      </c>
      <c r="C99" s="28">
        <v>1</v>
      </c>
      <c r="D99" s="29">
        <v>14</v>
      </c>
      <c r="E99" s="29">
        <v>14</v>
      </c>
      <c r="F99" s="30">
        <v>44</v>
      </c>
      <c r="G99" s="29">
        <v>44</v>
      </c>
      <c r="H99" s="28" t="s">
        <v>186</v>
      </c>
      <c r="I99" s="27" t="s">
        <v>82</v>
      </c>
      <c r="J99" s="31" t="s">
        <v>21</v>
      </c>
      <c r="K99" s="27" t="s">
        <v>37</v>
      </c>
      <c r="L99" s="27" t="s">
        <v>38</v>
      </c>
      <c r="M99" s="32" t="str">
        <f>HYPERLINK("http://slimages.macys.com/is/image/MCY/3667831 ")</f>
        <v xml:space="preserve">http://slimages.macys.com/is/image/MCY/3667831 </v>
      </c>
    </row>
    <row r="100" spans="1:13" ht="15.2" customHeight="1" x14ac:dyDescent="0.2">
      <c r="A100" s="26" t="s">
        <v>10448</v>
      </c>
      <c r="B100" s="27" t="s">
        <v>10449</v>
      </c>
      <c r="C100" s="28">
        <v>1</v>
      </c>
      <c r="D100" s="29">
        <v>14</v>
      </c>
      <c r="E100" s="29">
        <v>14</v>
      </c>
      <c r="F100" s="30">
        <v>44</v>
      </c>
      <c r="G100" s="29">
        <v>44</v>
      </c>
      <c r="H100" s="28" t="s">
        <v>7652</v>
      </c>
      <c r="I100" s="27" t="s">
        <v>144</v>
      </c>
      <c r="J100" s="31" t="s">
        <v>40</v>
      </c>
      <c r="K100" s="27" t="s">
        <v>42</v>
      </c>
      <c r="L100" s="27" t="s">
        <v>43</v>
      </c>
      <c r="M100" s="32" t="str">
        <f>HYPERLINK("http://slimages.macys.com/is/image/MCY/3533226 ")</f>
        <v xml:space="preserve">http://slimages.macys.com/is/image/MCY/3533226 </v>
      </c>
    </row>
    <row r="101" spans="1:13" ht="15.2" customHeight="1" x14ac:dyDescent="0.2">
      <c r="A101" s="26" t="s">
        <v>10230</v>
      </c>
      <c r="B101" s="27" t="s">
        <v>10231</v>
      </c>
      <c r="C101" s="28">
        <v>1</v>
      </c>
      <c r="D101" s="29">
        <v>14</v>
      </c>
      <c r="E101" s="29">
        <v>14</v>
      </c>
      <c r="F101" s="30">
        <v>44</v>
      </c>
      <c r="G101" s="29">
        <v>44</v>
      </c>
      <c r="H101" s="28" t="s">
        <v>186</v>
      </c>
      <c r="I101" s="27" t="s">
        <v>82</v>
      </c>
      <c r="J101" s="31" t="s">
        <v>71</v>
      </c>
      <c r="K101" s="27" t="s">
        <v>37</v>
      </c>
      <c r="L101" s="27" t="s">
        <v>38</v>
      </c>
      <c r="M101" s="32" t="str">
        <f>HYPERLINK("http://slimages.macys.com/is/image/MCY/3667831 ")</f>
        <v xml:space="preserve">http://slimages.macys.com/is/image/MCY/3667831 </v>
      </c>
    </row>
    <row r="102" spans="1:13" ht="15.2" customHeight="1" x14ac:dyDescent="0.2">
      <c r="A102" s="26" t="s">
        <v>7377</v>
      </c>
      <c r="B102" s="27" t="s">
        <v>7378</v>
      </c>
      <c r="C102" s="28">
        <v>2</v>
      </c>
      <c r="D102" s="29">
        <v>13.5</v>
      </c>
      <c r="E102" s="29">
        <v>27</v>
      </c>
      <c r="F102" s="30">
        <v>29.99</v>
      </c>
      <c r="G102" s="29">
        <v>59.98</v>
      </c>
      <c r="H102" s="28" t="s">
        <v>739</v>
      </c>
      <c r="I102" s="27" t="s">
        <v>207</v>
      </c>
      <c r="J102" s="31" t="s">
        <v>69</v>
      </c>
      <c r="K102" s="27" t="s">
        <v>200</v>
      </c>
      <c r="L102" s="27" t="s">
        <v>133</v>
      </c>
      <c r="M102" s="32" t="str">
        <f>HYPERLINK("http://slimages.macys.com/is/image/MCY/3866347 ")</f>
        <v xml:space="preserve">http://slimages.macys.com/is/image/MCY/3866347 </v>
      </c>
    </row>
    <row r="103" spans="1:13" ht="15.2" customHeight="1" x14ac:dyDescent="0.2">
      <c r="A103" s="26" t="s">
        <v>1776</v>
      </c>
      <c r="B103" s="27" t="s">
        <v>1777</v>
      </c>
      <c r="C103" s="28">
        <v>1</v>
      </c>
      <c r="D103" s="29">
        <v>13.5</v>
      </c>
      <c r="E103" s="29">
        <v>13.5</v>
      </c>
      <c r="F103" s="30">
        <v>33.99</v>
      </c>
      <c r="G103" s="29">
        <v>33.99</v>
      </c>
      <c r="H103" s="28" t="s">
        <v>1778</v>
      </c>
      <c r="I103" s="27" t="s">
        <v>4</v>
      </c>
      <c r="J103" s="31" t="s">
        <v>5</v>
      </c>
      <c r="K103" s="27" t="s">
        <v>70</v>
      </c>
      <c r="L103" s="27" t="s">
        <v>101</v>
      </c>
      <c r="M103" s="32" t="str">
        <f>HYPERLINK("http://slimages.macys.com/is/image/MCY/3832798 ")</f>
        <v xml:space="preserve">http://slimages.macys.com/is/image/MCY/3832798 </v>
      </c>
    </row>
    <row r="104" spans="1:13" ht="15.2" customHeight="1" x14ac:dyDescent="0.2">
      <c r="A104" s="26" t="s">
        <v>10450</v>
      </c>
      <c r="B104" s="27" t="s">
        <v>10451</v>
      </c>
      <c r="C104" s="28">
        <v>1</v>
      </c>
      <c r="D104" s="29">
        <v>13.5</v>
      </c>
      <c r="E104" s="29">
        <v>13.5</v>
      </c>
      <c r="F104" s="30">
        <v>29.99</v>
      </c>
      <c r="G104" s="29">
        <v>29.99</v>
      </c>
      <c r="H104" s="28" t="s">
        <v>8268</v>
      </c>
      <c r="I104" s="27" t="s">
        <v>59</v>
      </c>
      <c r="J104" s="31" t="s">
        <v>23</v>
      </c>
      <c r="K104" s="27" t="s">
        <v>200</v>
      </c>
      <c r="L104" s="27" t="s">
        <v>741</v>
      </c>
      <c r="M104" s="32" t="str">
        <f>HYPERLINK("http://slimages.macys.com/is/image/MCY/3732749 ")</f>
        <v xml:space="preserve">http://slimages.macys.com/is/image/MCY/3732749 </v>
      </c>
    </row>
    <row r="105" spans="1:13" ht="15.2" customHeight="1" x14ac:dyDescent="0.2">
      <c r="A105" s="26" t="s">
        <v>7655</v>
      </c>
      <c r="B105" s="27" t="s">
        <v>7656</v>
      </c>
      <c r="C105" s="28">
        <v>1</v>
      </c>
      <c r="D105" s="29">
        <v>13.5</v>
      </c>
      <c r="E105" s="29">
        <v>13.5</v>
      </c>
      <c r="F105" s="30">
        <v>33.99</v>
      </c>
      <c r="G105" s="29">
        <v>33.99</v>
      </c>
      <c r="H105" s="28" t="s">
        <v>1778</v>
      </c>
      <c r="I105" s="27" t="s">
        <v>4</v>
      </c>
      <c r="J105" s="31" t="s">
        <v>21</v>
      </c>
      <c r="K105" s="27" t="s">
        <v>70</v>
      </c>
      <c r="L105" s="27" t="s">
        <v>101</v>
      </c>
      <c r="M105" s="32" t="str">
        <f>HYPERLINK("http://slimages.macys.com/is/image/MCY/3832798 ")</f>
        <v xml:space="preserve">http://slimages.macys.com/is/image/MCY/3832798 </v>
      </c>
    </row>
    <row r="106" spans="1:13" ht="15.2" customHeight="1" x14ac:dyDescent="0.2">
      <c r="A106" s="26" t="s">
        <v>1781</v>
      </c>
      <c r="B106" s="27" t="s">
        <v>1782</v>
      </c>
      <c r="C106" s="28">
        <v>1</v>
      </c>
      <c r="D106" s="29">
        <v>13.5</v>
      </c>
      <c r="E106" s="29">
        <v>13.5</v>
      </c>
      <c r="F106" s="30">
        <v>29.99</v>
      </c>
      <c r="G106" s="29">
        <v>29.99</v>
      </c>
      <c r="H106" s="28" t="s">
        <v>739</v>
      </c>
      <c r="I106" s="27" t="s">
        <v>189</v>
      </c>
      <c r="J106" s="31" t="s">
        <v>205</v>
      </c>
      <c r="K106" s="27" t="s">
        <v>200</v>
      </c>
      <c r="L106" s="27" t="s">
        <v>133</v>
      </c>
      <c r="M106" s="32" t="str">
        <f>HYPERLINK("http://slimages.macys.com/is/image/MCY/3866347 ")</f>
        <v xml:space="preserve">http://slimages.macys.com/is/image/MCY/3866347 </v>
      </c>
    </row>
    <row r="107" spans="1:13" ht="15.2" customHeight="1" x14ac:dyDescent="0.2">
      <c r="A107" s="26" t="s">
        <v>3234</v>
      </c>
      <c r="B107" s="27" t="s">
        <v>3235</v>
      </c>
      <c r="C107" s="28">
        <v>1</v>
      </c>
      <c r="D107" s="29">
        <v>13.5</v>
      </c>
      <c r="E107" s="29">
        <v>13.5</v>
      </c>
      <c r="F107" s="30">
        <v>29.99</v>
      </c>
      <c r="G107" s="29">
        <v>29.99</v>
      </c>
      <c r="H107" s="28" t="s">
        <v>739</v>
      </c>
      <c r="I107" s="27" t="s">
        <v>4</v>
      </c>
      <c r="J107" s="31" t="s">
        <v>69</v>
      </c>
      <c r="K107" s="27" t="s">
        <v>200</v>
      </c>
      <c r="L107" s="27" t="s">
        <v>133</v>
      </c>
      <c r="M107" s="32" t="str">
        <f>HYPERLINK("http://slimages.macys.com/is/image/MCY/3866347 ")</f>
        <v xml:space="preserve">http://slimages.macys.com/is/image/MCY/3866347 </v>
      </c>
    </row>
    <row r="108" spans="1:13" ht="15.2" customHeight="1" x14ac:dyDescent="0.2">
      <c r="A108" s="26" t="s">
        <v>10452</v>
      </c>
      <c r="B108" s="27" t="s">
        <v>10453</v>
      </c>
      <c r="C108" s="28">
        <v>1</v>
      </c>
      <c r="D108" s="29">
        <v>13.5</v>
      </c>
      <c r="E108" s="29">
        <v>13.5</v>
      </c>
      <c r="F108" s="30">
        <v>29.99</v>
      </c>
      <c r="G108" s="29">
        <v>29.99</v>
      </c>
      <c r="H108" s="28" t="s">
        <v>740</v>
      </c>
      <c r="I108" s="27" t="s">
        <v>29</v>
      </c>
      <c r="J108" s="31" t="s">
        <v>234</v>
      </c>
      <c r="K108" s="27" t="s">
        <v>200</v>
      </c>
      <c r="L108" s="27" t="s">
        <v>741</v>
      </c>
      <c r="M108" s="32" t="str">
        <f>HYPERLINK("http://slimages.macys.com/is/image/MCY/3732749 ")</f>
        <v xml:space="preserve">http://slimages.macys.com/is/image/MCY/3732749 </v>
      </c>
    </row>
    <row r="109" spans="1:13" ht="15.2" customHeight="1" x14ac:dyDescent="0.2">
      <c r="A109" s="26" t="s">
        <v>10454</v>
      </c>
      <c r="B109" s="27" t="s">
        <v>10455</v>
      </c>
      <c r="C109" s="28">
        <v>1</v>
      </c>
      <c r="D109" s="29">
        <v>13.5</v>
      </c>
      <c r="E109" s="29">
        <v>13.5</v>
      </c>
      <c r="F109" s="30">
        <v>29.99</v>
      </c>
      <c r="G109" s="29">
        <v>29.99</v>
      </c>
      <c r="H109" s="28" t="s">
        <v>8268</v>
      </c>
      <c r="I109" s="27" t="s">
        <v>59</v>
      </c>
      <c r="J109" s="31" t="s">
        <v>205</v>
      </c>
      <c r="K109" s="27" t="s">
        <v>200</v>
      </c>
      <c r="L109" s="27" t="s">
        <v>741</v>
      </c>
      <c r="M109" s="32" t="str">
        <f>HYPERLINK("http://slimages.macys.com/is/image/MCY/3732749 ")</f>
        <v xml:space="preserve">http://slimages.macys.com/is/image/MCY/3732749 </v>
      </c>
    </row>
    <row r="110" spans="1:13" ht="15.2" customHeight="1" x14ac:dyDescent="0.2">
      <c r="A110" s="26" t="s">
        <v>10456</v>
      </c>
      <c r="B110" s="27" t="s">
        <v>10457</v>
      </c>
      <c r="C110" s="28">
        <v>1</v>
      </c>
      <c r="D110" s="29">
        <v>13.5</v>
      </c>
      <c r="E110" s="29">
        <v>13.5</v>
      </c>
      <c r="F110" s="30">
        <v>29.99</v>
      </c>
      <c r="G110" s="29">
        <v>29.99</v>
      </c>
      <c r="H110" s="28" t="s">
        <v>740</v>
      </c>
      <c r="I110" s="27" t="s">
        <v>29</v>
      </c>
      <c r="J110" s="31" t="s">
        <v>205</v>
      </c>
      <c r="K110" s="27" t="s">
        <v>200</v>
      </c>
      <c r="L110" s="27" t="s">
        <v>741</v>
      </c>
      <c r="M110" s="32" t="str">
        <f>HYPERLINK("http://slimages.macys.com/is/image/MCY/3732749 ")</f>
        <v xml:space="preserve">http://slimages.macys.com/is/image/MCY/3732749 </v>
      </c>
    </row>
    <row r="111" spans="1:13" ht="15.2" customHeight="1" x14ac:dyDescent="0.2">
      <c r="A111" s="26" t="s">
        <v>9572</v>
      </c>
      <c r="B111" s="27" t="s">
        <v>9573</v>
      </c>
      <c r="C111" s="28">
        <v>1</v>
      </c>
      <c r="D111" s="29">
        <v>13.5</v>
      </c>
      <c r="E111" s="29">
        <v>13.5</v>
      </c>
      <c r="F111" s="30">
        <v>29.99</v>
      </c>
      <c r="G111" s="29">
        <v>29.99</v>
      </c>
      <c r="H111" s="28" t="s">
        <v>4823</v>
      </c>
      <c r="I111" s="27" t="s">
        <v>26</v>
      </c>
      <c r="J111" s="31" t="s">
        <v>216</v>
      </c>
      <c r="K111" s="27" t="s">
        <v>200</v>
      </c>
      <c r="L111" s="27" t="s">
        <v>287</v>
      </c>
      <c r="M111" s="32" t="str">
        <f>HYPERLINK("http://slimages.macys.com/is/image/MCY/3631723 ")</f>
        <v xml:space="preserve">http://slimages.macys.com/is/image/MCY/3631723 </v>
      </c>
    </row>
    <row r="112" spans="1:13" ht="15.2" customHeight="1" x14ac:dyDescent="0.2">
      <c r="A112" s="26" t="s">
        <v>9417</v>
      </c>
      <c r="B112" s="27" t="s">
        <v>9418</v>
      </c>
      <c r="C112" s="28">
        <v>1</v>
      </c>
      <c r="D112" s="29">
        <v>13.5</v>
      </c>
      <c r="E112" s="29">
        <v>13.5</v>
      </c>
      <c r="F112" s="30">
        <v>29.99</v>
      </c>
      <c r="G112" s="29">
        <v>29.99</v>
      </c>
      <c r="H112" s="28" t="s">
        <v>9419</v>
      </c>
      <c r="I112" s="27" t="s">
        <v>10</v>
      </c>
      <c r="J112" s="31" t="s">
        <v>216</v>
      </c>
      <c r="K112" s="27" t="s">
        <v>200</v>
      </c>
      <c r="L112" s="27" t="s">
        <v>133</v>
      </c>
      <c r="M112" s="32" t="str">
        <f>HYPERLINK("http://slimages.macys.com/is/image/MCY/3755490 ")</f>
        <v xml:space="preserve">http://slimages.macys.com/is/image/MCY/3755490 </v>
      </c>
    </row>
    <row r="113" spans="1:13" ht="15.2" customHeight="1" x14ac:dyDescent="0.2">
      <c r="A113" s="26" t="s">
        <v>8468</v>
      </c>
      <c r="B113" s="27" t="s">
        <v>8469</v>
      </c>
      <c r="C113" s="28">
        <v>1</v>
      </c>
      <c r="D113" s="29">
        <v>13.5</v>
      </c>
      <c r="E113" s="29">
        <v>13.5</v>
      </c>
      <c r="F113" s="30">
        <v>29.99</v>
      </c>
      <c r="G113" s="29">
        <v>29.99</v>
      </c>
      <c r="H113" s="28" t="s">
        <v>739</v>
      </c>
      <c r="I113" s="27" t="s">
        <v>4</v>
      </c>
      <c r="J113" s="31" t="s">
        <v>205</v>
      </c>
      <c r="K113" s="27" t="s">
        <v>200</v>
      </c>
      <c r="L113" s="27" t="s">
        <v>133</v>
      </c>
      <c r="M113" s="32" t="str">
        <f>HYPERLINK("http://slimages.macys.com/is/image/MCY/3866347 ")</f>
        <v xml:space="preserve">http://slimages.macys.com/is/image/MCY/3866347 </v>
      </c>
    </row>
    <row r="114" spans="1:13" ht="15.2" customHeight="1" x14ac:dyDescent="0.2">
      <c r="A114" s="26" t="s">
        <v>2861</v>
      </c>
      <c r="B114" s="27" t="s">
        <v>2862</v>
      </c>
      <c r="C114" s="28">
        <v>1</v>
      </c>
      <c r="D114" s="29">
        <v>13.5</v>
      </c>
      <c r="E114" s="29">
        <v>13.5</v>
      </c>
      <c r="F114" s="30">
        <v>29.99</v>
      </c>
      <c r="G114" s="29">
        <v>29.99</v>
      </c>
      <c r="H114" s="28" t="s">
        <v>739</v>
      </c>
      <c r="I114" s="27" t="s">
        <v>189</v>
      </c>
      <c r="J114" s="31" t="s">
        <v>234</v>
      </c>
      <c r="K114" s="27" t="s">
        <v>200</v>
      </c>
      <c r="L114" s="27" t="s">
        <v>133</v>
      </c>
      <c r="M114" s="32" t="str">
        <f>HYPERLINK("http://slimages.macys.com/is/image/MCY/3866347 ")</f>
        <v xml:space="preserve">http://slimages.macys.com/is/image/MCY/3866347 </v>
      </c>
    </row>
    <row r="115" spans="1:13" ht="15.2" customHeight="1" x14ac:dyDescent="0.2">
      <c r="A115" s="26" t="s">
        <v>10234</v>
      </c>
      <c r="B115" s="27" t="s">
        <v>10235</v>
      </c>
      <c r="C115" s="28">
        <v>1</v>
      </c>
      <c r="D115" s="29">
        <v>13.25</v>
      </c>
      <c r="E115" s="29">
        <v>13.25</v>
      </c>
      <c r="F115" s="30">
        <v>24.99</v>
      </c>
      <c r="G115" s="29">
        <v>24.99</v>
      </c>
      <c r="H115" s="28" t="s">
        <v>195</v>
      </c>
      <c r="I115" s="27" t="s">
        <v>8</v>
      </c>
      <c r="J115" s="31" t="s">
        <v>52</v>
      </c>
      <c r="K115" s="27" t="s">
        <v>196</v>
      </c>
      <c r="L115" s="27" t="s">
        <v>197</v>
      </c>
      <c r="M115" s="32" t="str">
        <f>HYPERLINK("http://slimages.macys.com/is/image/MCY/3734929 ")</f>
        <v xml:space="preserve">http://slimages.macys.com/is/image/MCY/3734929 </v>
      </c>
    </row>
    <row r="116" spans="1:13" ht="15.2" customHeight="1" x14ac:dyDescent="0.2">
      <c r="A116" s="26" t="s">
        <v>193</v>
      </c>
      <c r="B116" s="27" t="s">
        <v>194</v>
      </c>
      <c r="C116" s="28">
        <v>1</v>
      </c>
      <c r="D116" s="29">
        <v>13.25</v>
      </c>
      <c r="E116" s="29">
        <v>13.25</v>
      </c>
      <c r="F116" s="30">
        <v>24.99</v>
      </c>
      <c r="G116" s="29">
        <v>24.99</v>
      </c>
      <c r="H116" s="28" t="s">
        <v>195</v>
      </c>
      <c r="I116" s="27" t="s">
        <v>8</v>
      </c>
      <c r="J116" s="31" t="s">
        <v>21</v>
      </c>
      <c r="K116" s="27" t="s">
        <v>196</v>
      </c>
      <c r="L116" s="27" t="s">
        <v>197</v>
      </c>
      <c r="M116" s="32" t="str">
        <f>HYPERLINK("http://slimages.macys.com/is/image/MCY/3734929 ")</f>
        <v xml:space="preserve">http://slimages.macys.com/is/image/MCY/3734929 </v>
      </c>
    </row>
    <row r="117" spans="1:13" ht="15.2" customHeight="1" x14ac:dyDescent="0.2">
      <c r="A117" s="26" t="s">
        <v>10458</v>
      </c>
      <c r="B117" s="27" t="s">
        <v>10459</v>
      </c>
      <c r="C117" s="28">
        <v>1</v>
      </c>
      <c r="D117" s="29">
        <v>13</v>
      </c>
      <c r="E117" s="29">
        <v>13</v>
      </c>
      <c r="F117" s="30">
        <v>44</v>
      </c>
      <c r="G117" s="29">
        <v>44</v>
      </c>
      <c r="H117" s="28" t="s">
        <v>6030</v>
      </c>
      <c r="I117" s="27" t="s">
        <v>144</v>
      </c>
      <c r="J117" s="31" t="s">
        <v>40</v>
      </c>
      <c r="K117" s="27" t="s">
        <v>42</v>
      </c>
      <c r="L117" s="27" t="s">
        <v>43</v>
      </c>
      <c r="M117" s="32" t="str">
        <f>HYPERLINK("http://slimages.macys.com/is/image/MCY/3611254 ")</f>
        <v xml:space="preserve">http://slimages.macys.com/is/image/MCY/3611254 </v>
      </c>
    </row>
    <row r="118" spans="1:13" ht="15.2" customHeight="1" x14ac:dyDescent="0.2">
      <c r="A118" s="26" t="s">
        <v>10460</v>
      </c>
      <c r="B118" s="27" t="s">
        <v>10461</v>
      </c>
      <c r="C118" s="28">
        <v>1</v>
      </c>
      <c r="D118" s="29">
        <v>13</v>
      </c>
      <c r="E118" s="29">
        <v>13</v>
      </c>
      <c r="F118" s="30">
        <v>45</v>
      </c>
      <c r="G118" s="29">
        <v>45</v>
      </c>
      <c r="H118" s="28" t="s">
        <v>9043</v>
      </c>
      <c r="I118" s="27"/>
      <c r="J118" s="31" t="s">
        <v>40</v>
      </c>
      <c r="K118" s="27" t="s">
        <v>154</v>
      </c>
      <c r="L118" s="27" t="s">
        <v>155</v>
      </c>
      <c r="M118" s="32" t="str">
        <f>HYPERLINK("http://slimages.macys.com/is/image/MCY/3597815 ")</f>
        <v xml:space="preserve">http://slimages.macys.com/is/image/MCY/3597815 </v>
      </c>
    </row>
    <row r="119" spans="1:13" ht="15.2" customHeight="1" x14ac:dyDescent="0.2">
      <c r="A119" s="26" t="s">
        <v>1204</v>
      </c>
      <c r="B119" s="27" t="s">
        <v>1205</v>
      </c>
      <c r="C119" s="28">
        <v>1</v>
      </c>
      <c r="D119" s="29">
        <v>13</v>
      </c>
      <c r="E119" s="29">
        <v>13</v>
      </c>
      <c r="F119" s="30">
        <v>29.99</v>
      </c>
      <c r="G119" s="29">
        <v>29.99</v>
      </c>
      <c r="H119" s="28" t="s">
        <v>1206</v>
      </c>
      <c r="I119" s="27" t="s">
        <v>4</v>
      </c>
      <c r="J119" s="31" t="s">
        <v>216</v>
      </c>
      <c r="K119" s="27" t="s">
        <v>200</v>
      </c>
      <c r="L119" s="27" t="s">
        <v>133</v>
      </c>
      <c r="M119" s="32" t="str">
        <f>HYPERLINK("http://slimages.macys.com/is/image/MCY/3874256 ")</f>
        <v xml:space="preserve">http://slimages.macys.com/is/image/MCY/3874256 </v>
      </c>
    </row>
    <row r="120" spans="1:13" ht="15.2" customHeight="1" x14ac:dyDescent="0.2">
      <c r="A120" s="26" t="s">
        <v>5655</v>
      </c>
      <c r="B120" s="27" t="s">
        <v>5656</v>
      </c>
      <c r="C120" s="28">
        <v>1</v>
      </c>
      <c r="D120" s="29">
        <v>13</v>
      </c>
      <c r="E120" s="29">
        <v>13</v>
      </c>
      <c r="F120" s="30">
        <v>29.99</v>
      </c>
      <c r="G120" s="29">
        <v>29.99</v>
      </c>
      <c r="H120" s="28" t="s">
        <v>3244</v>
      </c>
      <c r="I120" s="27" t="s">
        <v>29</v>
      </c>
      <c r="J120" s="31" t="s">
        <v>23</v>
      </c>
      <c r="K120" s="27" t="s">
        <v>200</v>
      </c>
      <c r="L120" s="27" t="s">
        <v>747</v>
      </c>
      <c r="M120" s="32" t="str">
        <f>HYPERLINK("http://slimages.macys.com/is/image/MCY/3955897 ")</f>
        <v xml:space="preserve">http://slimages.macys.com/is/image/MCY/3955897 </v>
      </c>
    </row>
    <row r="121" spans="1:13" ht="15.2" customHeight="1" x14ac:dyDescent="0.2">
      <c r="A121" s="26" t="s">
        <v>10462</v>
      </c>
      <c r="B121" s="27" t="s">
        <v>10463</v>
      </c>
      <c r="C121" s="28">
        <v>1</v>
      </c>
      <c r="D121" s="29">
        <v>13</v>
      </c>
      <c r="E121" s="29">
        <v>13</v>
      </c>
      <c r="F121" s="30">
        <v>31.99</v>
      </c>
      <c r="G121" s="29">
        <v>31.99</v>
      </c>
      <c r="H121" s="28" t="s">
        <v>753</v>
      </c>
      <c r="I121" s="27" t="s">
        <v>377</v>
      </c>
      <c r="J121" s="31" t="s">
        <v>40</v>
      </c>
      <c r="K121" s="27" t="s">
        <v>70</v>
      </c>
      <c r="L121" s="27" t="s">
        <v>128</v>
      </c>
      <c r="M121" s="32" t="str">
        <f>HYPERLINK("http://slimages.macys.com/is/image/MCY/3723559 ")</f>
        <v xml:space="preserve">http://slimages.macys.com/is/image/MCY/3723559 </v>
      </c>
    </row>
    <row r="122" spans="1:13" ht="15.2" customHeight="1" x14ac:dyDescent="0.2">
      <c r="A122" s="26" t="s">
        <v>2147</v>
      </c>
      <c r="B122" s="27" t="s">
        <v>2148</v>
      </c>
      <c r="C122" s="28">
        <v>1</v>
      </c>
      <c r="D122" s="29">
        <v>13</v>
      </c>
      <c r="E122" s="29">
        <v>13</v>
      </c>
      <c r="F122" s="30">
        <v>29.99</v>
      </c>
      <c r="G122" s="29">
        <v>29.99</v>
      </c>
      <c r="H122" s="28" t="s">
        <v>1206</v>
      </c>
      <c r="I122" s="27" t="s">
        <v>4</v>
      </c>
      <c r="J122" s="31" t="s">
        <v>210</v>
      </c>
      <c r="K122" s="27" t="s">
        <v>200</v>
      </c>
      <c r="L122" s="27" t="s">
        <v>133</v>
      </c>
      <c r="M122" s="32" t="str">
        <f>HYPERLINK("http://slimages.macys.com/is/image/MCY/3874256 ")</f>
        <v xml:space="preserve">http://slimages.macys.com/is/image/MCY/3874256 </v>
      </c>
    </row>
    <row r="123" spans="1:13" ht="15.2" customHeight="1" x14ac:dyDescent="0.2">
      <c r="A123" s="26" t="s">
        <v>4613</v>
      </c>
      <c r="B123" s="27" t="s">
        <v>4614</v>
      </c>
      <c r="C123" s="28">
        <v>1</v>
      </c>
      <c r="D123" s="29">
        <v>13</v>
      </c>
      <c r="E123" s="29">
        <v>13</v>
      </c>
      <c r="F123" s="30">
        <v>29.99</v>
      </c>
      <c r="G123" s="29">
        <v>29.99</v>
      </c>
      <c r="H123" s="28" t="s">
        <v>1206</v>
      </c>
      <c r="I123" s="27" t="s">
        <v>4</v>
      </c>
      <c r="J123" s="31" t="s">
        <v>214</v>
      </c>
      <c r="K123" s="27" t="s">
        <v>200</v>
      </c>
      <c r="L123" s="27" t="s">
        <v>133</v>
      </c>
      <c r="M123" s="32" t="str">
        <f>HYPERLINK("http://slimages.macys.com/is/image/MCY/3874256 ")</f>
        <v xml:space="preserve">http://slimages.macys.com/is/image/MCY/3874256 </v>
      </c>
    </row>
    <row r="124" spans="1:13" ht="15.2" customHeight="1" x14ac:dyDescent="0.2">
      <c r="A124" s="26" t="s">
        <v>10464</v>
      </c>
      <c r="B124" s="27" t="s">
        <v>10465</v>
      </c>
      <c r="C124" s="28">
        <v>1</v>
      </c>
      <c r="D124" s="29">
        <v>12.65</v>
      </c>
      <c r="E124" s="29">
        <v>12.65</v>
      </c>
      <c r="F124" s="30">
        <v>29.99</v>
      </c>
      <c r="G124" s="29">
        <v>29.99</v>
      </c>
      <c r="H124" s="28" t="s">
        <v>10466</v>
      </c>
      <c r="I124" s="27" t="s">
        <v>1</v>
      </c>
      <c r="J124" s="31" t="s">
        <v>205</v>
      </c>
      <c r="K124" s="27" t="s">
        <v>200</v>
      </c>
      <c r="L124" s="27" t="s">
        <v>765</v>
      </c>
      <c r="M124" s="32" t="str">
        <f>HYPERLINK("http://slimages.macys.com/is/image/MCY/3773751 ")</f>
        <v xml:space="preserve">http://slimages.macys.com/is/image/MCY/3773751 </v>
      </c>
    </row>
    <row r="125" spans="1:13" ht="15.2" customHeight="1" x14ac:dyDescent="0.2">
      <c r="A125" s="26" t="s">
        <v>7743</v>
      </c>
      <c r="B125" s="27" t="s">
        <v>7744</v>
      </c>
      <c r="C125" s="28">
        <v>1</v>
      </c>
      <c r="D125" s="29">
        <v>12.65</v>
      </c>
      <c r="E125" s="29">
        <v>12.65</v>
      </c>
      <c r="F125" s="30">
        <v>29.99</v>
      </c>
      <c r="G125" s="29">
        <v>29.99</v>
      </c>
      <c r="H125" s="28" t="s">
        <v>764</v>
      </c>
      <c r="I125" s="27" t="s">
        <v>29</v>
      </c>
      <c r="J125" s="31" t="s">
        <v>230</v>
      </c>
      <c r="K125" s="27" t="s">
        <v>200</v>
      </c>
      <c r="L125" s="27" t="s">
        <v>765</v>
      </c>
      <c r="M125" s="32" t="str">
        <f>HYPERLINK("http://slimages.macys.com/is/image/MCY/3773746 ")</f>
        <v xml:space="preserve">http://slimages.macys.com/is/image/MCY/3773746 </v>
      </c>
    </row>
    <row r="126" spans="1:13" ht="15.2" customHeight="1" x14ac:dyDescent="0.2">
      <c r="A126" s="26" t="s">
        <v>10467</v>
      </c>
      <c r="B126" s="27" t="s">
        <v>10468</v>
      </c>
      <c r="C126" s="28">
        <v>1</v>
      </c>
      <c r="D126" s="29">
        <v>12.65</v>
      </c>
      <c r="E126" s="29">
        <v>12.65</v>
      </c>
      <c r="F126" s="30">
        <v>29.99</v>
      </c>
      <c r="G126" s="29">
        <v>29.99</v>
      </c>
      <c r="H126" s="28" t="s">
        <v>2159</v>
      </c>
      <c r="I126" s="27" t="s">
        <v>1</v>
      </c>
      <c r="J126" s="31" t="s">
        <v>69</v>
      </c>
      <c r="K126" s="27" t="s">
        <v>200</v>
      </c>
      <c r="L126" s="27" t="s">
        <v>765</v>
      </c>
      <c r="M126" s="32" t="str">
        <f>HYPERLINK("http://slimages.macys.com/is/image/MCY/3773746 ")</f>
        <v xml:space="preserve">http://slimages.macys.com/is/image/MCY/3773746 </v>
      </c>
    </row>
    <row r="127" spans="1:13" ht="15.2" customHeight="1" x14ac:dyDescent="0.2">
      <c r="A127" s="26" t="s">
        <v>10469</v>
      </c>
      <c r="B127" s="27" t="s">
        <v>10470</v>
      </c>
      <c r="C127" s="28">
        <v>1</v>
      </c>
      <c r="D127" s="29">
        <v>12.65</v>
      </c>
      <c r="E127" s="29">
        <v>12.65</v>
      </c>
      <c r="F127" s="30">
        <v>29.99</v>
      </c>
      <c r="G127" s="29">
        <v>29.99</v>
      </c>
      <c r="H127" s="28" t="s">
        <v>7525</v>
      </c>
      <c r="I127" s="27" t="s">
        <v>1</v>
      </c>
      <c r="J127" s="31" t="s">
        <v>205</v>
      </c>
      <c r="K127" s="27" t="s">
        <v>200</v>
      </c>
      <c r="L127" s="27" t="s">
        <v>765</v>
      </c>
      <c r="M127" s="32" t="str">
        <f>HYPERLINK("http://slimages.macys.com/is/image/MCY/3691695 ")</f>
        <v xml:space="preserve">http://slimages.macys.com/is/image/MCY/3691695 </v>
      </c>
    </row>
    <row r="128" spans="1:13" ht="15.2" customHeight="1" x14ac:dyDescent="0.2">
      <c r="A128" s="26" t="s">
        <v>762</v>
      </c>
      <c r="B128" s="27" t="s">
        <v>763</v>
      </c>
      <c r="C128" s="28">
        <v>1</v>
      </c>
      <c r="D128" s="29">
        <v>12.65</v>
      </c>
      <c r="E128" s="29">
        <v>12.65</v>
      </c>
      <c r="F128" s="30">
        <v>29.99</v>
      </c>
      <c r="G128" s="29">
        <v>29.99</v>
      </c>
      <c r="H128" s="28" t="s">
        <v>764</v>
      </c>
      <c r="I128" s="27" t="s">
        <v>29</v>
      </c>
      <c r="J128" s="31" t="s">
        <v>216</v>
      </c>
      <c r="K128" s="27" t="s">
        <v>200</v>
      </c>
      <c r="L128" s="27" t="s">
        <v>765</v>
      </c>
      <c r="M128" s="32" t="str">
        <f>HYPERLINK("http://slimages.macys.com/is/image/MCY/3773746 ")</f>
        <v xml:space="preserve">http://slimages.macys.com/is/image/MCY/3773746 </v>
      </c>
    </row>
    <row r="129" spans="1:13" ht="15.2" customHeight="1" x14ac:dyDescent="0.2">
      <c r="A129" s="26" t="s">
        <v>2155</v>
      </c>
      <c r="B129" s="27" t="s">
        <v>2156</v>
      </c>
      <c r="C129" s="28">
        <v>1</v>
      </c>
      <c r="D129" s="29">
        <v>12.65</v>
      </c>
      <c r="E129" s="29">
        <v>12.65</v>
      </c>
      <c r="F129" s="30">
        <v>29.99</v>
      </c>
      <c r="G129" s="29">
        <v>29.99</v>
      </c>
      <c r="H129" s="28" t="s">
        <v>766</v>
      </c>
      <c r="I129" s="27" t="s">
        <v>22</v>
      </c>
      <c r="J129" s="31" t="s">
        <v>69</v>
      </c>
      <c r="K129" s="27" t="s">
        <v>200</v>
      </c>
      <c r="L129" s="27" t="s">
        <v>765</v>
      </c>
      <c r="M129" s="32" t="str">
        <f>HYPERLINK("http://slimages.macys.com/is/image/MCY/3797822 ")</f>
        <v xml:space="preserve">http://slimages.macys.com/is/image/MCY/3797822 </v>
      </c>
    </row>
    <row r="130" spans="1:13" ht="15.2" customHeight="1" x14ac:dyDescent="0.2">
      <c r="A130" s="26" t="s">
        <v>773</v>
      </c>
      <c r="B130" s="27" t="s">
        <v>774</v>
      </c>
      <c r="C130" s="28">
        <v>5</v>
      </c>
      <c r="D130" s="29">
        <v>12.5</v>
      </c>
      <c r="E130" s="29">
        <v>62.5</v>
      </c>
      <c r="F130" s="30">
        <v>29.99</v>
      </c>
      <c r="G130" s="29">
        <v>149.94999999999999</v>
      </c>
      <c r="H130" s="28" t="s">
        <v>772</v>
      </c>
      <c r="I130" s="27" t="s">
        <v>4</v>
      </c>
      <c r="J130" s="31" t="s">
        <v>214</v>
      </c>
      <c r="K130" s="27" t="s">
        <v>200</v>
      </c>
      <c r="L130" s="27" t="s">
        <v>133</v>
      </c>
      <c r="M130" s="32" t="str">
        <f>HYPERLINK("http://slimages.macys.com/is/image/MCY/3873065 ")</f>
        <v xml:space="preserve">http://slimages.macys.com/is/image/MCY/3873065 </v>
      </c>
    </row>
    <row r="131" spans="1:13" ht="15.2" customHeight="1" x14ac:dyDescent="0.2">
      <c r="A131" s="26" t="s">
        <v>2173</v>
      </c>
      <c r="B131" s="27" t="s">
        <v>2174</v>
      </c>
      <c r="C131" s="28">
        <v>2</v>
      </c>
      <c r="D131" s="29">
        <v>12.5</v>
      </c>
      <c r="E131" s="29">
        <v>25</v>
      </c>
      <c r="F131" s="30">
        <v>29.99</v>
      </c>
      <c r="G131" s="29">
        <v>59.98</v>
      </c>
      <c r="H131" s="28" t="s">
        <v>772</v>
      </c>
      <c r="I131" s="27" t="s">
        <v>4</v>
      </c>
      <c r="J131" s="31" t="s">
        <v>210</v>
      </c>
      <c r="K131" s="27" t="s">
        <v>200</v>
      </c>
      <c r="L131" s="27" t="s">
        <v>133</v>
      </c>
      <c r="M131" s="32" t="str">
        <f>HYPERLINK("http://slimages.macys.com/is/image/MCY/3873065 ")</f>
        <v xml:space="preserve">http://slimages.macys.com/is/image/MCY/3873065 </v>
      </c>
    </row>
    <row r="132" spans="1:13" ht="15.2" customHeight="1" x14ac:dyDescent="0.2">
      <c r="A132" s="26" t="s">
        <v>10471</v>
      </c>
      <c r="B132" s="27" t="s">
        <v>10472</v>
      </c>
      <c r="C132" s="28">
        <v>1</v>
      </c>
      <c r="D132" s="29">
        <v>12.5</v>
      </c>
      <c r="E132" s="29">
        <v>12.5</v>
      </c>
      <c r="F132" s="30">
        <v>39</v>
      </c>
      <c r="G132" s="29">
        <v>39</v>
      </c>
      <c r="H132" s="28" t="s">
        <v>10284</v>
      </c>
      <c r="I132" s="27" t="s">
        <v>82</v>
      </c>
      <c r="J132" s="31" t="s">
        <v>21</v>
      </c>
      <c r="K132" s="27" t="s">
        <v>154</v>
      </c>
      <c r="L132" s="27" t="s">
        <v>155</v>
      </c>
      <c r="M132" s="32" t="str">
        <f>HYPERLINK("http://slimages.macys.com/is/image/MCY/3781250 ")</f>
        <v xml:space="preserve">http://slimages.macys.com/is/image/MCY/3781250 </v>
      </c>
    </row>
    <row r="133" spans="1:13" ht="15.2" customHeight="1" x14ac:dyDescent="0.2">
      <c r="A133" s="26" t="s">
        <v>8377</v>
      </c>
      <c r="B133" s="27" t="s">
        <v>8378</v>
      </c>
      <c r="C133" s="28">
        <v>1</v>
      </c>
      <c r="D133" s="29">
        <v>12.5</v>
      </c>
      <c r="E133" s="29">
        <v>12.5</v>
      </c>
      <c r="F133" s="30">
        <v>29.99</v>
      </c>
      <c r="G133" s="29">
        <v>29.99</v>
      </c>
      <c r="H133" s="28" t="s">
        <v>2168</v>
      </c>
      <c r="I133" s="27" t="s">
        <v>207</v>
      </c>
      <c r="J133" s="31" t="s">
        <v>216</v>
      </c>
      <c r="K133" s="27" t="s">
        <v>200</v>
      </c>
      <c r="L133" s="27" t="s">
        <v>133</v>
      </c>
      <c r="M133" s="32" t="str">
        <f>HYPERLINK("http://slimages.macys.com/is/image/MCY/3874242 ")</f>
        <v xml:space="preserve">http://slimages.macys.com/is/image/MCY/3874242 </v>
      </c>
    </row>
    <row r="134" spans="1:13" ht="15.2" customHeight="1" x14ac:dyDescent="0.2">
      <c r="A134" s="26" t="s">
        <v>2177</v>
      </c>
      <c r="B134" s="27" t="s">
        <v>2178</v>
      </c>
      <c r="C134" s="28">
        <v>2</v>
      </c>
      <c r="D134" s="29">
        <v>12.5</v>
      </c>
      <c r="E134" s="29">
        <v>25</v>
      </c>
      <c r="F134" s="30">
        <v>29.99</v>
      </c>
      <c r="G134" s="29">
        <v>59.98</v>
      </c>
      <c r="H134" s="28" t="s">
        <v>772</v>
      </c>
      <c r="I134" s="27" t="s">
        <v>4</v>
      </c>
      <c r="J134" s="31" t="s">
        <v>69</v>
      </c>
      <c r="K134" s="27" t="s">
        <v>200</v>
      </c>
      <c r="L134" s="27" t="s">
        <v>133</v>
      </c>
      <c r="M134" s="32" t="str">
        <f>HYPERLINK("http://slimages.macys.com/is/image/MCY/3873065 ")</f>
        <v xml:space="preserve">http://slimages.macys.com/is/image/MCY/3873065 </v>
      </c>
    </row>
    <row r="135" spans="1:13" ht="15.2" customHeight="1" x14ac:dyDescent="0.2">
      <c r="A135" s="26" t="s">
        <v>2606</v>
      </c>
      <c r="B135" s="27" t="s">
        <v>2607</v>
      </c>
      <c r="C135" s="28">
        <v>1</v>
      </c>
      <c r="D135" s="29">
        <v>12.5</v>
      </c>
      <c r="E135" s="29">
        <v>12.5</v>
      </c>
      <c r="F135" s="30">
        <v>29.99</v>
      </c>
      <c r="G135" s="29">
        <v>29.99</v>
      </c>
      <c r="H135" s="28" t="s">
        <v>2168</v>
      </c>
      <c r="I135" s="27" t="s">
        <v>207</v>
      </c>
      <c r="J135" s="31" t="s">
        <v>214</v>
      </c>
      <c r="K135" s="27" t="s">
        <v>200</v>
      </c>
      <c r="L135" s="27" t="s">
        <v>133</v>
      </c>
      <c r="M135" s="32" t="str">
        <f>HYPERLINK("http://slimages.macys.com/is/image/MCY/3874242 ")</f>
        <v xml:space="preserve">http://slimages.macys.com/is/image/MCY/3874242 </v>
      </c>
    </row>
    <row r="136" spans="1:13" ht="15.2" customHeight="1" x14ac:dyDescent="0.2">
      <c r="A136" s="26" t="s">
        <v>8373</v>
      </c>
      <c r="B136" s="27" t="s">
        <v>8374</v>
      </c>
      <c r="C136" s="28">
        <v>2</v>
      </c>
      <c r="D136" s="29">
        <v>12.5</v>
      </c>
      <c r="E136" s="29">
        <v>25</v>
      </c>
      <c r="F136" s="30">
        <v>29.99</v>
      </c>
      <c r="G136" s="29">
        <v>59.98</v>
      </c>
      <c r="H136" s="28" t="s">
        <v>2168</v>
      </c>
      <c r="I136" s="27" t="s">
        <v>207</v>
      </c>
      <c r="J136" s="31" t="s">
        <v>230</v>
      </c>
      <c r="K136" s="27" t="s">
        <v>200</v>
      </c>
      <c r="L136" s="27" t="s">
        <v>133</v>
      </c>
      <c r="M136" s="32" t="str">
        <f>HYPERLINK("http://slimages.macys.com/is/image/MCY/3874242 ")</f>
        <v xml:space="preserve">http://slimages.macys.com/is/image/MCY/3874242 </v>
      </c>
    </row>
    <row r="137" spans="1:13" ht="15.2" customHeight="1" x14ac:dyDescent="0.2">
      <c r="A137" s="26" t="s">
        <v>1219</v>
      </c>
      <c r="B137" s="27" t="s">
        <v>1220</v>
      </c>
      <c r="C137" s="28">
        <v>3</v>
      </c>
      <c r="D137" s="29">
        <v>12.5</v>
      </c>
      <c r="E137" s="29">
        <v>37.5</v>
      </c>
      <c r="F137" s="30">
        <v>29.99</v>
      </c>
      <c r="G137" s="29">
        <v>89.97</v>
      </c>
      <c r="H137" s="28" t="s">
        <v>772</v>
      </c>
      <c r="I137" s="27" t="s">
        <v>4</v>
      </c>
      <c r="J137" s="31" t="s">
        <v>205</v>
      </c>
      <c r="K137" s="27" t="s">
        <v>200</v>
      </c>
      <c r="L137" s="27" t="s">
        <v>133</v>
      </c>
      <c r="M137" s="32" t="str">
        <f>HYPERLINK("http://slimages.macys.com/is/image/MCY/3873065 ")</f>
        <v xml:space="preserve">http://slimages.macys.com/is/image/MCY/3873065 </v>
      </c>
    </row>
    <row r="138" spans="1:13" ht="15.2" customHeight="1" x14ac:dyDescent="0.2">
      <c r="A138" s="26" t="s">
        <v>2169</v>
      </c>
      <c r="B138" s="27" t="s">
        <v>2170</v>
      </c>
      <c r="C138" s="28">
        <v>2</v>
      </c>
      <c r="D138" s="29">
        <v>12.5</v>
      </c>
      <c r="E138" s="29">
        <v>25</v>
      </c>
      <c r="F138" s="30">
        <v>29.99</v>
      </c>
      <c r="G138" s="29">
        <v>59.98</v>
      </c>
      <c r="H138" s="28" t="s">
        <v>772</v>
      </c>
      <c r="I138" s="27" t="s">
        <v>4</v>
      </c>
      <c r="J138" s="31" t="s">
        <v>234</v>
      </c>
      <c r="K138" s="27" t="s">
        <v>200</v>
      </c>
      <c r="L138" s="27" t="s">
        <v>133</v>
      </c>
      <c r="M138" s="32" t="str">
        <f>HYPERLINK("http://slimages.macys.com/is/image/MCY/3873065 ")</f>
        <v xml:space="preserve">http://slimages.macys.com/is/image/MCY/3873065 </v>
      </c>
    </row>
    <row r="139" spans="1:13" ht="15.2" customHeight="1" x14ac:dyDescent="0.2">
      <c r="A139" s="26" t="s">
        <v>2166</v>
      </c>
      <c r="B139" s="27" t="s">
        <v>2167</v>
      </c>
      <c r="C139" s="28">
        <v>2</v>
      </c>
      <c r="D139" s="29">
        <v>12.5</v>
      </c>
      <c r="E139" s="29">
        <v>25</v>
      </c>
      <c r="F139" s="30">
        <v>29.99</v>
      </c>
      <c r="G139" s="29">
        <v>59.98</v>
      </c>
      <c r="H139" s="28" t="s">
        <v>2168</v>
      </c>
      <c r="I139" s="27" t="s">
        <v>207</v>
      </c>
      <c r="J139" s="31" t="s">
        <v>210</v>
      </c>
      <c r="K139" s="27" t="s">
        <v>200</v>
      </c>
      <c r="L139" s="27" t="s">
        <v>133</v>
      </c>
      <c r="M139" s="32" t="str">
        <f>HYPERLINK("http://slimages.macys.com/is/image/MCY/3874242 ")</f>
        <v xml:space="preserve">http://slimages.macys.com/is/image/MCY/3874242 </v>
      </c>
    </row>
    <row r="140" spans="1:13" ht="15.2" customHeight="1" x14ac:dyDescent="0.2">
      <c r="A140" s="26" t="s">
        <v>2604</v>
      </c>
      <c r="B140" s="27" t="s">
        <v>2605</v>
      </c>
      <c r="C140" s="28">
        <v>2</v>
      </c>
      <c r="D140" s="29">
        <v>12.5</v>
      </c>
      <c r="E140" s="29">
        <v>25</v>
      </c>
      <c r="F140" s="30">
        <v>29.99</v>
      </c>
      <c r="G140" s="29">
        <v>59.98</v>
      </c>
      <c r="H140" s="28" t="s">
        <v>772</v>
      </c>
      <c r="I140" s="27" t="s">
        <v>4</v>
      </c>
      <c r="J140" s="31" t="s">
        <v>216</v>
      </c>
      <c r="K140" s="27" t="s">
        <v>200</v>
      </c>
      <c r="L140" s="27" t="s">
        <v>133</v>
      </c>
      <c r="M140" s="32" t="str">
        <f>HYPERLINK("http://slimages.macys.com/is/image/MCY/3873065 ")</f>
        <v xml:space="preserve">http://slimages.macys.com/is/image/MCY/3873065 </v>
      </c>
    </row>
    <row r="141" spans="1:13" ht="15.2" customHeight="1" x14ac:dyDescent="0.2">
      <c r="A141" s="26" t="s">
        <v>10473</v>
      </c>
      <c r="B141" s="27" t="s">
        <v>10474</v>
      </c>
      <c r="C141" s="28">
        <v>2</v>
      </c>
      <c r="D141" s="29">
        <v>12.5</v>
      </c>
      <c r="E141" s="29">
        <v>25</v>
      </c>
      <c r="F141" s="30">
        <v>29.99</v>
      </c>
      <c r="G141" s="29">
        <v>59.98</v>
      </c>
      <c r="H141" s="28" t="s">
        <v>2168</v>
      </c>
      <c r="I141" s="27" t="s">
        <v>207</v>
      </c>
      <c r="J141" s="31" t="s">
        <v>234</v>
      </c>
      <c r="K141" s="27" t="s">
        <v>200</v>
      </c>
      <c r="L141" s="27" t="s">
        <v>133</v>
      </c>
      <c r="M141" s="32" t="str">
        <f>HYPERLINK("http://slimages.macys.com/is/image/MCY/3874242 ")</f>
        <v xml:space="preserve">http://slimages.macys.com/is/image/MCY/3874242 </v>
      </c>
    </row>
    <row r="142" spans="1:13" ht="15.2" customHeight="1" x14ac:dyDescent="0.2">
      <c r="A142" s="26" t="s">
        <v>770</v>
      </c>
      <c r="B142" s="27" t="s">
        <v>771</v>
      </c>
      <c r="C142" s="28">
        <v>1</v>
      </c>
      <c r="D142" s="29">
        <v>12.5</v>
      </c>
      <c r="E142" s="29">
        <v>12.5</v>
      </c>
      <c r="F142" s="30">
        <v>29.99</v>
      </c>
      <c r="G142" s="29">
        <v>29.99</v>
      </c>
      <c r="H142" s="28" t="s">
        <v>772</v>
      </c>
      <c r="I142" s="27" t="s">
        <v>4</v>
      </c>
      <c r="J142" s="31" t="s">
        <v>230</v>
      </c>
      <c r="K142" s="27" t="s">
        <v>200</v>
      </c>
      <c r="L142" s="27" t="s">
        <v>133</v>
      </c>
      <c r="M142" s="32" t="str">
        <f>HYPERLINK("http://slimages.macys.com/is/image/MCY/3873065 ")</f>
        <v xml:space="preserve">http://slimages.macys.com/is/image/MCY/3873065 </v>
      </c>
    </row>
    <row r="143" spans="1:13" ht="15.2" customHeight="1" x14ac:dyDescent="0.2">
      <c r="A143" s="26" t="s">
        <v>3250</v>
      </c>
      <c r="B143" s="27" t="s">
        <v>3251</v>
      </c>
      <c r="C143" s="28">
        <v>3</v>
      </c>
      <c r="D143" s="29">
        <v>12.5</v>
      </c>
      <c r="E143" s="29">
        <v>37.5</v>
      </c>
      <c r="F143" s="30">
        <v>29.99</v>
      </c>
      <c r="G143" s="29">
        <v>89.97</v>
      </c>
      <c r="H143" s="28" t="s">
        <v>2168</v>
      </c>
      <c r="I143" s="27" t="s">
        <v>207</v>
      </c>
      <c r="J143" s="31" t="s">
        <v>69</v>
      </c>
      <c r="K143" s="27" t="s">
        <v>200</v>
      </c>
      <c r="L143" s="27" t="s">
        <v>133</v>
      </c>
      <c r="M143" s="32" t="str">
        <f>HYPERLINK("http://slimages.macys.com/is/image/MCY/3874242 ")</f>
        <v xml:space="preserve">http://slimages.macys.com/is/image/MCY/3874242 </v>
      </c>
    </row>
    <row r="144" spans="1:13" ht="15.2" customHeight="1" x14ac:dyDescent="0.2">
      <c r="A144" s="26" t="s">
        <v>2164</v>
      </c>
      <c r="B144" s="27" t="s">
        <v>2165</v>
      </c>
      <c r="C144" s="28">
        <v>2</v>
      </c>
      <c r="D144" s="29">
        <v>12.5</v>
      </c>
      <c r="E144" s="29">
        <v>25</v>
      </c>
      <c r="F144" s="30">
        <v>29.99</v>
      </c>
      <c r="G144" s="29">
        <v>59.98</v>
      </c>
      <c r="H144" s="28" t="s">
        <v>772</v>
      </c>
      <c r="I144" s="27" t="s">
        <v>4</v>
      </c>
      <c r="J144" s="31" t="s">
        <v>23</v>
      </c>
      <c r="K144" s="27" t="s">
        <v>200</v>
      </c>
      <c r="L144" s="27" t="s">
        <v>133</v>
      </c>
      <c r="M144" s="32" t="str">
        <f>HYPERLINK("http://slimages.macys.com/is/image/MCY/3873065 ")</f>
        <v xml:space="preserve">http://slimages.macys.com/is/image/MCY/3873065 </v>
      </c>
    </row>
    <row r="145" spans="1:13" ht="15.2" customHeight="1" x14ac:dyDescent="0.2">
      <c r="A145" s="26" t="s">
        <v>8375</v>
      </c>
      <c r="B145" s="27" t="s">
        <v>8376</v>
      </c>
      <c r="C145" s="28">
        <v>1</v>
      </c>
      <c r="D145" s="29">
        <v>12.5</v>
      </c>
      <c r="E145" s="29">
        <v>12.5</v>
      </c>
      <c r="F145" s="30">
        <v>29.99</v>
      </c>
      <c r="G145" s="29">
        <v>29.99</v>
      </c>
      <c r="H145" s="28" t="s">
        <v>1222</v>
      </c>
      <c r="I145" s="27" t="s">
        <v>4</v>
      </c>
      <c r="J145" s="31" t="s">
        <v>216</v>
      </c>
      <c r="K145" s="27" t="s">
        <v>200</v>
      </c>
      <c r="L145" s="27" t="s">
        <v>133</v>
      </c>
      <c r="M145" s="32" t="str">
        <f>HYPERLINK("http://slimages.macys.com/is/image/MCY/3866441 ")</f>
        <v xml:space="preserve">http://slimages.macys.com/is/image/MCY/3866441 </v>
      </c>
    </row>
    <row r="146" spans="1:13" ht="15.2" customHeight="1" x14ac:dyDescent="0.2">
      <c r="A146" s="26" t="s">
        <v>2171</v>
      </c>
      <c r="B146" s="27" t="s">
        <v>2172</v>
      </c>
      <c r="C146" s="28">
        <v>1</v>
      </c>
      <c r="D146" s="29">
        <v>12.5</v>
      </c>
      <c r="E146" s="29">
        <v>12.5</v>
      </c>
      <c r="F146" s="30">
        <v>29.99</v>
      </c>
      <c r="G146" s="29">
        <v>29.99</v>
      </c>
      <c r="H146" s="28" t="s">
        <v>772</v>
      </c>
      <c r="I146" s="27" t="s">
        <v>4</v>
      </c>
      <c r="J146" s="31" t="s">
        <v>113</v>
      </c>
      <c r="K146" s="27" t="s">
        <v>200</v>
      </c>
      <c r="L146" s="27" t="s">
        <v>133</v>
      </c>
      <c r="M146" s="32" t="str">
        <f>HYPERLINK("http://slimages.macys.com/is/image/MCY/3873065 ")</f>
        <v xml:space="preserve">http://slimages.macys.com/is/image/MCY/3873065 </v>
      </c>
    </row>
    <row r="147" spans="1:13" ht="15.2" customHeight="1" x14ac:dyDescent="0.2">
      <c r="A147" s="26" t="s">
        <v>8273</v>
      </c>
      <c r="B147" s="27" t="s">
        <v>8274</v>
      </c>
      <c r="C147" s="28">
        <v>1</v>
      </c>
      <c r="D147" s="29">
        <v>12.5</v>
      </c>
      <c r="E147" s="29">
        <v>12.5</v>
      </c>
      <c r="F147" s="30">
        <v>29.99</v>
      </c>
      <c r="G147" s="29">
        <v>29.99</v>
      </c>
      <c r="H147" s="28" t="s">
        <v>1222</v>
      </c>
      <c r="I147" s="27" t="s">
        <v>4</v>
      </c>
      <c r="J147" s="31" t="s">
        <v>69</v>
      </c>
      <c r="K147" s="27" t="s">
        <v>200</v>
      </c>
      <c r="L147" s="27" t="s">
        <v>133</v>
      </c>
      <c r="M147" s="32" t="str">
        <f>HYPERLINK("http://slimages.macys.com/is/image/MCY/3866441 ")</f>
        <v xml:space="preserve">http://slimages.macys.com/is/image/MCY/3866441 </v>
      </c>
    </row>
    <row r="148" spans="1:13" ht="15.2" customHeight="1" x14ac:dyDescent="0.2">
      <c r="A148" s="26" t="s">
        <v>7530</v>
      </c>
      <c r="B148" s="27" t="s">
        <v>7531</v>
      </c>
      <c r="C148" s="28">
        <v>1</v>
      </c>
      <c r="D148" s="29">
        <v>12</v>
      </c>
      <c r="E148" s="29">
        <v>12</v>
      </c>
      <c r="F148" s="30">
        <v>29.99</v>
      </c>
      <c r="G148" s="29">
        <v>29.99</v>
      </c>
      <c r="H148" s="28" t="s">
        <v>7532</v>
      </c>
      <c r="I148" s="27" t="s">
        <v>189</v>
      </c>
      <c r="J148" s="31" t="s">
        <v>52</v>
      </c>
      <c r="K148" s="27" t="s">
        <v>70</v>
      </c>
      <c r="L148" s="27" t="s">
        <v>128</v>
      </c>
      <c r="M148" s="32" t="str">
        <f>HYPERLINK("http://slimages.macys.com/is/image/MCY/3676837 ")</f>
        <v xml:space="preserve">http://slimages.macys.com/is/image/MCY/3676837 </v>
      </c>
    </row>
    <row r="149" spans="1:13" ht="15.2" customHeight="1" x14ac:dyDescent="0.2">
      <c r="A149" s="26" t="s">
        <v>1225</v>
      </c>
      <c r="B149" s="27" t="s">
        <v>1226</v>
      </c>
      <c r="C149" s="28">
        <v>2</v>
      </c>
      <c r="D149" s="29">
        <v>12</v>
      </c>
      <c r="E149" s="29">
        <v>24</v>
      </c>
      <c r="F149" s="30">
        <v>29.99</v>
      </c>
      <c r="G149" s="29">
        <v>59.98</v>
      </c>
      <c r="H149" s="28" t="s">
        <v>1227</v>
      </c>
      <c r="I149" s="27" t="s">
        <v>10</v>
      </c>
      <c r="J149" s="31" t="s">
        <v>234</v>
      </c>
      <c r="K149" s="27" t="s">
        <v>200</v>
      </c>
      <c r="L149" s="27" t="s">
        <v>201</v>
      </c>
      <c r="M149" s="32" t="str">
        <f>HYPERLINK("http://slimages.macys.com/is/image/MCY/3755421 ")</f>
        <v xml:space="preserve">http://slimages.macys.com/is/image/MCY/3755421 </v>
      </c>
    </row>
    <row r="150" spans="1:13" ht="15.2" customHeight="1" x14ac:dyDescent="0.2">
      <c r="A150" s="26" t="s">
        <v>10475</v>
      </c>
      <c r="B150" s="27" t="s">
        <v>10476</v>
      </c>
      <c r="C150" s="28">
        <v>1</v>
      </c>
      <c r="D150" s="29">
        <v>12</v>
      </c>
      <c r="E150" s="29">
        <v>12</v>
      </c>
      <c r="F150" s="30">
        <v>39</v>
      </c>
      <c r="G150" s="29">
        <v>39</v>
      </c>
      <c r="H150" s="28" t="s">
        <v>6189</v>
      </c>
      <c r="I150" s="27"/>
      <c r="J150" s="31" t="s">
        <v>40</v>
      </c>
      <c r="K150" s="27" t="s">
        <v>154</v>
      </c>
      <c r="L150" s="27" t="s">
        <v>155</v>
      </c>
      <c r="M150" s="32" t="str">
        <f>HYPERLINK("http://slimages.macys.com/is/image/MCY/3718973 ")</f>
        <v xml:space="preserve">http://slimages.macys.com/is/image/MCY/3718973 </v>
      </c>
    </row>
    <row r="151" spans="1:13" ht="15.2" customHeight="1" x14ac:dyDescent="0.2">
      <c r="A151" s="26" t="s">
        <v>7533</v>
      </c>
      <c r="B151" s="27" t="s">
        <v>7534</v>
      </c>
      <c r="C151" s="28">
        <v>2</v>
      </c>
      <c r="D151" s="29">
        <v>12</v>
      </c>
      <c r="E151" s="29">
        <v>24</v>
      </c>
      <c r="F151" s="30">
        <v>29.99</v>
      </c>
      <c r="G151" s="29">
        <v>59.98</v>
      </c>
      <c r="H151" s="28" t="s">
        <v>7532</v>
      </c>
      <c r="I151" s="27" t="s">
        <v>189</v>
      </c>
      <c r="J151" s="31" t="s">
        <v>5</v>
      </c>
      <c r="K151" s="27" t="s">
        <v>70</v>
      </c>
      <c r="L151" s="27" t="s">
        <v>128</v>
      </c>
      <c r="M151" s="32" t="str">
        <f>HYPERLINK("http://slimages.macys.com/is/image/MCY/3676837 ")</f>
        <v xml:space="preserve">http://slimages.macys.com/is/image/MCY/3676837 </v>
      </c>
    </row>
    <row r="152" spans="1:13" ht="15.2" customHeight="1" x14ac:dyDescent="0.2">
      <c r="A152" s="26" t="s">
        <v>5426</v>
      </c>
      <c r="B152" s="27" t="s">
        <v>5427</v>
      </c>
      <c r="C152" s="28">
        <v>1</v>
      </c>
      <c r="D152" s="29">
        <v>12</v>
      </c>
      <c r="E152" s="29">
        <v>12</v>
      </c>
      <c r="F152" s="30">
        <v>25.99</v>
      </c>
      <c r="G152" s="29">
        <v>25.99</v>
      </c>
      <c r="H152" s="28" t="s">
        <v>1234</v>
      </c>
      <c r="I152" s="27" t="s">
        <v>280</v>
      </c>
      <c r="J152" s="31" t="s">
        <v>205</v>
      </c>
      <c r="K152" s="27" t="s">
        <v>200</v>
      </c>
      <c r="L152" s="27" t="s">
        <v>133</v>
      </c>
      <c r="M152" s="32" t="str">
        <f>HYPERLINK("http://slimages.macys.com/is/image/MCY/3813056 ")</f>
        <v xml:space="preserve">http://slimages.macys.com/is/image/MCY/3813056 </v>
      </c>
    </row>
    <row r="153" spans="1:13" ht="15.2" customHeight="1" x14ac:dyDescent="0.2">
      <c r="A153" s="26" t="s">
        <v>10477</v>
      </c>
      <c r="B153" s="27" t="s">
        <v>10478</v>
      </c>
      <c r="C153" s="28">
        <v>1</v>
      </c>
      <c r="D153" s="29">
        <v>12</v>
      </c>
      <c r="E153" s="29">
        <v>12</v>
      </c>
      <c r="F153" s="30">
        <v>29.99</v>
      </c>
      <c r="G153" s="29">
        <v>29.99</v>
      </c>
      <c r="H153" s="28" t="s">
        <v>7532</v>
      </c>
      <c r="I153" s="27" t="s">
        <v>189</v>
      </c>
      <c r="J153" s="31" t="s">
        <v>65</v>
      </c>
      <c r="K153" s="27" t="s">
        <v>70</v>
      </c>
      <c r="L153" s="27" t="s">
        <v>128</v>
      </c>
      <c r="M153" s="32" t="str">
        <f>HYPERLINK("http://slimages.macys.com/is/image/MCY/3676837 ")</f>
        <v xml:space="preserve">http://slimages.macys.com/is/image/MCY/3676837 </v>
      </c>
    </row>
    <row r="154" spans="1:13" ht="15.2" customHeight="1" x14ac:dyDescent="0.2">
      <c r="A154" s="26" t="s">
        <v>10479</v>
      </c>
      <c r="B154" s="27" t="s">
        <v>10480</v>
      </c>
      <c r="C154" s="28">
        <v>1</v>
      </c>
      <c r="D154" s="29">
        <v>12</v>
      </c>
      <c r="E154" s="29">
        <v>12</v>
      </c>
      <c r="F154" s="30">
        <v>29.99</v>
      </c>
      <c r="G154" s="29">
        <v>29.99</v>
      </c>
      <c r="H154" s="28" t="s">
        <v>1233</v>
      </c>
      <c r="I154" s="27" t="s">
        <v>29</v>
      </c>
      <c r="J154" s="31" t="s">
        <v>230</v>
      </c>
      <c r="K154" s="27" t="s">
        <v>200</v>
      </c>
      <c r="L154" s="27" t="s">
        <v>552</v>
      </c>
      <c r="M154" s="32" t="str">
        <f>HYPERLINK("http://slimages.macys.com/is/image/MCY/3777681 ")</f>
        <v xml:space="preserve">http://slimages.macys.com/is/image/MCY/3777681 </v>
      </c>
    </row>
    <row r="155" spans="1:13" ht="15.2" customHeight="1" x14ac:dyDescent="0.2">
      <c r="A155" s="26" t="s">
        <v>10481</v>
      </c>
      <c r="B155" s="27" t="s">
        <v>10482</v>
      </c>
      <c r="C155" s="28">
        <v>1</v>
      </c>
      <c r="D155" s="29">
        <v>12</v>
      </c>
      <c r="E155" s="29">
        <v>12</v>
      </c>
      <c r="F155" s="30">
        <v>25.99</v>
      </c>
      <c r="G155" s="29">
        <v>25.99</v>
      </c>
      <c r="H155" s="28" t="s">
        <v>1234</v>
      </c>
      <c r="I155" s="27" t="s">
        <v>280</v>
      </c>
      <c r="J155" s="31" t="s">
        <v>113</v>
      </c>
      <c r="K155" s="27" t="s">
        <v>200</v>
      </c>
      <c r="L155" s="27" t="s">
        <v>133</v>
      </c>
      <c r="M155" s="32" t="str">
        <f>HYPERLINK("http://slimages.macys.com/is/image/MCY/3813056 ")</f>
        <v xml:space="preserve">http://slimages.macys.com/is/image/MCY/3813056 </v>
      </c>
    </row>
    <row r="156" spans="1:13" ht="15.2" customHeight="1" x14ac:dyDescent="0.2">
      <c r="A156" s="26" t="s">
        <v>7535</v>
      </c>
      <c r="B156" s="27" t="s">
        <v>7536</v>
      </c>
      <c r="C156" s="28">
        <v>1</v>
      </c>
      <c r="D156" s="29">
        <v>12</v>
      </c>
      <c r="E156" s="29">
        <v>12</v>
      </c>
      <c r="F156" s="30">
        <v>29.99</v>
      </c>
      <c r="G156" s="29">
        <v>29.99</v>
      </c>
      <c r="H156" s="28" t="s">
        <v>213</v>
      </c>
      <c r="I156" s="27" t="s">
        <v>4</v>
      </c>
      <c r="J156" s="31" t="s">
        <v>234</v>
      </c>
      <c r="K156" s="27" t="s">
        <v>200</v>
      </c>
      <c r="L156" s="27" t="s">
        <v>201</v>
      </c>
      <c r="M156" s="32" t="str">
        <f>HYPERLINK("http://slimages.macys.com/is/image/MCY/3755436 ")</f>
        <v xml:space="preserve">http://slimages.macys.com/is/image/MCY/3755436 </v>
      </c>
    </row>
    <row r="157" spans="1:13" ht="15.2" customHeight="1" x14ac:dyDescent="0.2">
      <c r="A157" s="26" t="s">
        <v>211</v>
      </c>
      <c r="B157" s="27" t="s">
        <v>212</v>
      </c>
      <c r="C157" s="28">
        <v>2</v>
      </c>
      <c r="D157" s="29">
        <v>12</v>
      </c>
      <c r="E157" s="29">
        <v>24</v>
      </c>
      <c r="F157" s="30">
        <v>29.99</v>
      </c>
      <c r="G157" s="29">
        <v>59.98</v>
      </c>
      <c r="H157" s="28" t="s">
        <v>213</v>
      </c>
      <c r="I157" s="27" t="s">
        <v>4</v>
      </c>
      <c r="J157" s="31" t="s">
        <v>214</v>
      </c>
      <c r="K157" s="27" t="s">
        <v>200</v>
      </c>
      <c r="L157" s="27" t="s">
        <v>201</v>
      </c>
      <c r="M157" s="32" t="str">
        <f>HYPERLINK("http://slimages.macys.com/is/image/MCY/3755436 ")</f>
        <v xml:space="preserve">http://slimages.macys.com/is/image/MCY/3755436 </v>
      </c>
    </row>
    <row r="158" spans="1:13" ht="15.2" customHeight="1" x14ac:dyDescent="0.2">
      <c r="A158" s="26" t="s">
        <v>7746</v>
      </c>
      <c r="B158" s="27" t="s">
        <v>7747</v>
      </c>
      <c r="C158" s="28">
        <v>1</v>
      </c>
      <c r="D158" s="29">
        <v>12</v>
      </c>
      <c r="E158" s="29">
        <v>12</v>
      </c>
      <c r="F158" s="30">
        <v>39</v>
      </c>
      <c r="G158" s="29">
        <v>39</v>
      </c>
      <c r="H158" s="28" t="s">
        <v>7385</v>
      </c>
      <c r="I158" s="27" t="s">
        <v>4</v>
      </c>
      <c r="J158" s="31" t="s">
        <v>21</v>
      </c>
      <c r="K158" s="27" t="s">
        <v>154</v>
      </c>
      <c r="L158" s="27" t="s">
        <v>155</v>
      </c>
      <c r="M158" s="32" t="str">
        <f>HYPERLINK("http://slimages.macys.com/is/image/MCY/3702323 ")</f>
        <v xml:space="preserve">http://slimages.macys.com/is/image/MCY/3702323 </v>
      </c>
    </row>
    <row r="159" spans="1:13" ht="15.2" customHeight="1" x14ac:dyDescent="0.2">
      <c r="A159" s="26" t="s">
        <v>10483</v>
      </c>
      <c r="B159" s="27" t="s">
        <v>10484</v>
      </c>
      <c r="C159" s="28">
        <v>1</v>
      </c>
      <c r="D159" s="29">
        <v>12</v>
      </c>
      <c r="E159" s="29">
        <v>12</v>
      </c>
      <c r="F159" s="30">
        <v>24.98</v>
      </c>
      <c r="G159" s="29">
        <v>24.98</v>
      </c>
      <c r="H159" s="28" t="s">
        <v>10485</v>
      </c>
      <c r="I159" s="27" t="s">
        <v>1280</v>
      </c>
      <c r="J159" s="31" t="s">
        <v>71</v>
      </c>
      <c r="K159" s="27" t="s">
        <v>154</v>
      </c>
      <c r="L159" s="27" t="s">
        <v>155</v>
      </c>
      <c r="M159" s="32" t="str">
        <f>HYPERLINK("http://slimages.macys.com/is/image/MCY/3393457 ")</f>
        <v xml:space="preserve">http://slimages.macys.com/is/image/MCY/3393457 </v>
      </c>
    </row>
    <row r="160" spans="1:13" ht="15.2" customHeight="1" x14ac:dyDescent="0.2">
      <c r="A160" s="26" t="s">
        <v>10486</v>
      </c>
      <c r="B160" s="27" t="s">
        <v>10487</v>
      </c>
      <c r="C160" s="28">
        <v>1</v>
      </c>
      <c r="D160" s="29">
        <v>12</v>
      </c>
      <c r="E160" s="29">
        <v>12</v>
      </c>
      <c r="F160" s="30">
        <v>49</v>
      </c>
      <c r="G160" s="29">
        <v>49</v>
      </c>
      <c r="H160" s="28" t="s">
        <v>1230</v>
      </c>
      <c r="I160" s="27" t="s">
        <v>215</v>
      </c>
      <c r="J160" s="31" t="s">
        <v>40</v>
      </c>
      <c r="K160" s="27" t="s">
        <v>154</v>
      </c>
      <c r="L160" s="27" t="s">
        <v>155</v>
      </c>
      <c r="M160" s="32" t="str">
        <f>HYPERLINK("http://slimages.macys.com/is/image/MCY/3877474 ")</f>
        <v xml:space="preserve">http://slimages.macys.com/is/image/MCY/3877474 </v>
      </c>
    </row>
    <row r="161" spans="1:13" ht="15.2" customHeight="1" x14ac:dyDescent="0.2">
      <c r="A161" s="26" t="s">
        <v>10488</v>
      </c>
      <c r="B161" s="27" t="s">
        <v>10489</v>
      </c>
      <c r="C161" s="28">
        <v>1</v>
      </c>
      <c r="D161" s="29">
        <v>12</v>
      </c>
      <c r="E161" s="29">
        <v>12</v>
      </c>
      <c r="F161" s="30">
        <v>39</v>
      </c>
      <c r="G161" s="29">
        <v>39</v>
      </c>
      <c r="H161" s="28" t="s">
        <v>10490</v>
      </c>
      <c r="I161" s="27"/>
      <c r="J161" s="31" t="s">
        <v>5</v>
      </c>
      <c r="K161" s="27" t="s">
        <v>154</v>
      </c>
      <c r="L161" s="27" t="s">
        <v>155</v>
      </c>
      <c r="M161" s="32" t="str">
        <f>HYPERLINK("http://slimages.macys.com/is/image/MCY/3718871 ")</f>
        <v xml:space="preserve">http://slimages.macys.com/is/image/MCY/3718871 </v>
      </c>
    </row>
    <row r="162" spans="1:13" ht="15.2" customHeight="1" x14ac:dyDescent="0.2">
      <c r="A162" s="26" t="s">
        <v>7537</v>
      </c>
      <c r="B162" s="27" t="s">
        <v>7538</v>
      </c>
      <c r="C162" s="28">
        <v>1</v>
      </c>
      <c r="D162" s="29">
        <v>11.75</v>
      </c>
      <c r="E162" s="29">
        <v>11.75</v>
      </c>
      <c r="F162" s="30">
        <v>59</v>
      </c>
      <c r="G162" s="29">
        <v>59</v>
      </c>
      <c r="H162" s="28" t="s">
        <v>1253</v>
      </c>
      <c r="I162" s="27" t="s">
        <v>152</v>
      </c>
      <c r="J162" s="31" t="s">
        <v>230</v>
      </c>
      <c r="K162" s="27" t="s">
        <v>24</v>
      </c>
      <c r="L162" s="27" t="s">
        <v>999</v>
      </c>
      <c r="M162" s="32" t="str">
        <f>HYPERLINK("http://slimages.macys.com/is/image/MCY/2745963 ")</f>
        <v xml:space="preserve">http://slimages.macys.com/is/image/MCY/2745963 </v>
      </c>
    </row>
    <row r="163" spans="1:13" ht="15.2" customHeight="1" x14ac:dyDescent="0.2">
      <c r="A163" s="26" t="s">
        <v>7389</v>
      </c>
      <c r="B163" s="27" t="s">
        <v>7390</v>
      </c>
      <c r="C163" s="28">
        <v>1</v>
      </c>
      <c r="D163" s="29">
        <v>11.75</v>
      </c>
      <c r="E163" s="29">
        <v>11.75</v>
      </c>
      <c r="F163" s="30">
        <v>59</v>
      </c>
      <c r="G163" s="29">
        <v>59</v>
      </c>
      <c r="H163" s="28" t="s">
        <v>1253</v>
      </c>
      <c r="I163" s="27" t="s">
        <v>152</v>
      </c>
      <c r="J163" s="31" t="s">
        <v>205</v>
      </c>
      <c r="K163" s="27" t="s">
        <v>24</v>
      </c>
      <c r="L163" s="27" t="s">
        <v>999</v>
      </c>
      <c r="M163" s="32" t="str">
        <f>HYPERLINK("http://slimages.macys.com/is/image/MCY/2745963 ")</f>
        <v xml:space="preserve">http://slimages.macys.com/is/image/MCY/2745963 </v>
      </c>
    </row>
    <row r="164" spans="1:13" ht="15.2" customHeight="1" x14ac:dyDescent="0.2">
      <c r="A164" s="26" t="s">
        <v>10491</v>
      </c>
      <c r="B164" s="27" t="s">
        <v>10492</v>
      </c>
      <c r="C164" s="28">
        <v>1</v>
      </c>
      <c r="D164" s="29">
        <v>11.65</v>
      </c>
      <c r="E164" s="29">
        <v>11.65</v>
      </c>
      <c r="F164" s="30">
        <v>29.99</v>
      </c>
      <c r="G164" s="29">
        <v>29.99</v>
      </c>
      <c r="H164" s="28" t="s">
        <v>2185</v>
      </c>
      <c r="I164" s="27" t="s">
        <v>22</v>
      </c>
      <c r="J164" s="31" t="s">
        <v>234</v>
      </c>
      <c r="K164" s="27" t="s">
        <v>200</v>
      </c>
      <c r="L164" s="27" t="s">
        <v>552</v>
      </c>
      <c r="M164" s="32" t="str">
        <f>HYPERLINK("http://slimages.macys.com/is/image/MCY/3683142 ")</f>
        <v xml:space="preserve">http://slimages.macys.com/is/image/MCY/3683142 </v>
      </c>
    </row>
    <row r="165" spans="1:13" ht="15.2" customHeight="1" x14ac:dyDescent="0.2">
      <c r="A165" s="26" t="s">
        <v>10493</v>
      </c>
      <c r="B165" s="27" t="s">
        <v>10494</v>
      </c>
      <c r="C165" s="28">
        <v>1</v>
      </c>
      <c r="D165" s="29">
        <v>11.5</v>
      </c>
      <c r="E165" s="29">
        <v>11.5</v>
      </c>
      <c r="F165" s="30">
        <v>39</v>
      </c>
      <c r="G165" s="29">
        <v>39</v>
      </c>
      <c r="H165" s="28" t="s">
        <v>782</v>
      </c>
      <c r="I165" s="27" t="s">
        <v>4</v>
      </c>
      <c r="J165" s="31" t="s">
        <v>214</v>
      </c>
      <c r="K165" s="27" t="s">
        <v>154</v>
      </c>
      <c r="L165" s="27" t="s">
        <v>155</v>
      </c>
      <c r="M165" s="32" t="str">
        <f>HYPERLINK("http://slimages.macys.com/is/image/MCY/3907754 ")</f>
        <v xml:space="preserve">http://slimages.macys.com/is/image/MCY/3907754 </v>
      </c>
    </row>
    <row r="166" spans="1:13" ht="15.2" customHeight="1" x14ac:dyDescent="0.2">
      <c r="A166" s="26" t="s">
        <v>7748</v>
      </c>
      <c r="B166" s="27" t="s">
        <v>7749</v>
      </c>
      <c r="C166" s="28">
        <v>1</v>
      </c>
      <c r="D166" s="29">
        <v>11.5</v>
      </c>
      <c r="E166" s="29">
        <v>11.5</v>
      </c>
      <c r="F166" s="30">
        <v>27.99</v>
      </c>
      <c r="G166" s="29">
        <v>27.99</v>
      </c>
      <c r="H166" s="28" t="s">
        <v>223</v>
      </c>
      <c r="I166" s="27" t="s">
        <v>36</v>
      </c>
      <c r="J166" s="31" t="s">
        <v>5</v>
      </c>
      <c r="K166" s="27" t="s">
        <v>224</v>
      </c>
      <c r="L166" s="27" t="s">
        <v>225</v>
      </c>
      <c r="M166" s="32" t="str">
        <f>HYPERLINK("http://slimages.macys.com/is/image/MCY/3777812 ")</f>
        <v xml:space="preserve">http://slimages.macys.com/is/image/MCY/3777812 </v>
      </c>
    </row>
    <row r="167" spans="1:13" ht="15.2" customHeight="1" x14ac:dyDescent="0.2">
      <c r="A167" s="26" t="s">
        <v>10495</v>
      </c>
      <c r="B167" s="27" t="s">
        <v>10496</v>
      </c>
      <c r="C167" s="28">
        <v>1</v>
      </c>
      <c r="D167" s="29">
        <v>11.5</v>
      </c>
      <c r="E167" s="29">
        <v>11.5</v>
      </c>
      <c r="F167" s="30">
        <v>27.99</v>
      </c>
      <c r="G167" s="29">
        <v>27.99</v>
      </c>
      <c r="H167" s="28" t="s">
        <v>8617</v>
      </c>
      <c r="I167" s="27" t="s">
        <v>215</v>
      </c>
      <c r="J167" s="31" t="s">
        <v>52</v>
      </c>
      <c r="K167" s="27" t="s">
        <v>224</v>
      </c>
      <c r="L167" s="27" t="s">
        <v>254</v>
      </c>
      <c r="M167" s="32" t="str">
        <f>HYPERLINK("http://slimages.macys.com/is/image/MCY/3931040 ")</f>
        <v xml:space="preserve">http://slimages.macys.com/is/image/MCY/3931040 </v>
      </c>
    </row>
    <row r="168" spans="1:13" ht="15.2" customHeight="1" x14ac:dyDescent="0.2">
      <c r="A168" s="26" t="s">
        <v>8275</v>
      </c>
      <c r="B168" s="27" t="s">
        <v>8276</v>
      </c>
      <c r="C168" s="28">
        <v>1</v>
      </c>
      <c r="D168" s="29">
        <v>11.5</v>
      </c>
      <c r="E168" s="29">
        <v>11.5</v>
      </c>
      <c r="F168" s="30">
        <v>27.99</v>
      </c>
      <c r="G168" s="29">
        <v>27.99</v>
      </c>
      <c r="H168" s="28" t="s">
        <v>223</v>
      </c>
      <c r="I168" s="27" t="s">
        <v>59</v>
      </c>
      <c r="J168" s="31" t="s">
        <v>5</v>
      </c>
      <c r="K168" s="27" t="s">
        <v>224</v>
      </c>
      <c r="L168" s="27" t="s">
        <v>225</v>
      </c>
      <c r="M168" s="32" t="str">
        <f>HYPERLINK("http://slimages.macys.com/is/image/MCY/3777812 ")</f>
        <v xml:space="preserve">http://slimages.macys.com/is/image/MCY/3777812 </v>
      </c>
    </row>
    <row r="169" spans="1:13" ht="15.2" customHeight="1" x14ac:dyDescent="0.2">
      <c r="A169" s="26" t="s">
        <v>2893</v>
      </c>
      <c r="B169" s="27" t="s">
        <v>2894</v>
      </c>
      <c r="C169" s="28">
        <v>1</v>
      </c>
      <c r="D169" s="29">
        <v>11.5</v>
      </c>
      <c r="E169" s="29">
        <v>11.5</v>
      </c>
      <c r="F169" s="30">
        <v>27.99</v>
      </c>
      <c r="G169" s="29">
        <v>27.99</v>
      </c>
      <c r="H169" s="28" t="s">
        <v>223</v>
      </c>
      <c r="I169" s="27" t="s">
        <v>59</v>
      </c>
      <c r="J169" s="31" t="s">
        <v>21</v>
      </c>
      <c r="K169" s="27" t="s">
        <v>224</v>
      </c>
      <c r="L169" s="27" t="s">
        <v>225</v>
      </c>
      <c r="M169" s="32" t="str">
        <f>HYPERLINK("http://slimages.macys.com/is/image/MCY/3777812 ")</f>
        <v xml:space="preserve">http://slimages.macys.com/is/image/MCY/3777812 </v>
      </c>
    </row>
    <row r="170" spans="1:13" ht="15.2" customHeight="1" x14ac:dyDescent="0.2">
      <c r="A170" s="26" t="s">
        <v>10497</v>
      </c>
      <c r="B170" s="27" t="s">
        <v>10498</v>
      </c>
      <c r="C170" s="28">
        <v>1</v>
      </c>
      <c r="D170" s="29">
        <v>11.5</v>
      </c>
      <c r="E170" s="29">
        <v>11.5</v>
      </c>
      <c r="F170" s="30">
        <v>29.99</v>
      </c>
      <c r="G170" s="29">
        <v>29.99</v>
      </c>
      <c r="H170" s="28" t="s">
        <v>2190</v>
      </c>
      <c r="I170" s="27" t="s">
        <v>22</v>
      </c>
      <c r="J170" s="31" t="s">
        <v>216</v>
      </c>
      <c r="K170" s="27" t="s">
        <v>200</v>
      </c>
      <c r="L170" s="27" t="s">
        <v>201</v>
      </c>
      <c r="M170" s="32" t="str">
        <f>HYPERLINK("http://slimages.macys.com/is/image/MCY/3899606 ")</f>
        <v xml:space="preserve">http://slimages.macys.com/is/image/MCY/3899606 </v>
      </c>
    </row>
    <row r="171" spans="1:13" ht="15.2" customHeight="1" x14ac:dyDescent="0.2">
      <c r="A171" s="26" t="s">
        <v>2194</v>
      </c>
      <c r="B171" s="27" t="s">
        <v>2195</v>
      </c>
      <c r="C171" s="28">
        <v>1</v>
      </c>
      <c r="D171" s="29">
        <v>11.5</v>
      </c>
      <c r="E171" s="29">
        <v>11.5</v>
      </c>
      <c r="F171" s="30">
        <v>29.99</v>
      </c>
      <c r="G171" s="29">
        <v>29.99</v>
      </c>
      <c r="H171" s="28" t="s">
        <v>233</v>
      </c>
      <c r="I171" s="27" t="s">
        <v>4</v>
      </c>
      <c r="J171" s="31" t="s">
        <v>210</v>
      </c>
      <c r="K171" s="27" t="s">
        <v>200</v>
      </c>
      <c r="L171" s="27" t="s">
        <v>201</v>
      </c>
      <c r="M171" s="32" t="str">
        <f>HYPERLINK("http://slimages.macys.com/is/image/MCY/3899544 ")</f>
        <v xml:space="preserve">http://slimages.macys.com/is/image/MCY/3899544 </v>
      </c>
    </row>
    <row r="172" spans="1:13" ht="15.2" customHeight="1" x14ac:dyDescent="0.2">
      <c r="A172" s="26" t="s">
        <v>2198</v>
      </c>
      <c r="B172" s="27" t="s">
        <v>2199</v>
      </c>
      <c r="C172" s="28">
        <v>1</v>
      </c>
      <c r="D172" s="29">
        <v>11.5</v>
      </c>
      <c r="E172" s="29">
        <v>11.5</v>
      </c>
      <c r="F172" s="30">
        <v>29.99</v>
      </c>
      <c r="G172" s="29">
        <v>29.99</v>
      </c>
      <c r="H172" s="28" t="s">
        <v>233</v>
      </c>
      <c r="I172" s="27" t="s">
        <v>4</v>
      </c>
      <c r="J172" s="31" t="s">
        <v>230</v>
      </c>
      <c r="K172" s="27" t="s">
        <v>200</v>
      </c>
      <c r="L172" s="27" t="s">
        <v>201</v>
      </c>
      <c r="M172" s="32" t="str">
        <f>HYPERLINK("http://slimages.macys.com/is/image/MCY/3899544 ")</f>
        <v xml:space="preserve">http://slimages.macys.com/is/image/MCY/3899544 </v>
      </c>
    </row>
    <row r="173" spans="1:13" ht="15.2" customHeight="1" x14ac:dyDescent="0.2">
      <c r="A173" s="26" t="s">
        <v>2186</v>
      </c>
      <c r="B173" s="27" t="s">
        <v>2187</v>
      </c>
      <c r="C173" s="28">
        <v>1</v>
      </c>
      <c r="D173" s="29">
        <v>11.5</v>
      </c>
      <c r="E173" s="29">
        <v>11.5</v>
      </c>
      <c r="F173" s="30">
        <v>29.99</v>
      </c>
      <c r="G173" s="29">
        <v>29.99</v>
      </c>
      <c r="H173" s="28" t="s">
        <v>220</v>
      </c>
      <c r="I173" s="27" t="s">
        <v>189</v>
      </c>
      <c r="J173" s="31" t="s">
        <v>214</v>
      </c>
      <c r="K173" s="27" t="s">
        <v>200</v>
      </c>
      <c r="L173" s="27" t="s">
        <v>201</v>
      </c>
      <c r="M173" s="32" t="str">
        <f>HYPERLINK("http://slimages.macys.com/is/image/MCY/3899641 ")</f>
        <v xml:space="preserve">http://slimages.macys.com/is/image/MCY/3899641 </v>
      </c>
    </row>
    <row r="174" spans="1:13" ht="15.2" customHeight="1" x14ac:dyDescent="0.2">
      <c r="A174" s="26" t="s">
        <v>6194</v>
      </c>
      <c r="B174" s="27" t="s">
        <v>6195</v>
      </c>
      <c r="C174" s="28">
        <v>2</v>
      </c>
      <c r="D174" s="29">
        <v>11.5</v>
      </c>
      <c r="E174" s="29">
        <v>23</v>
      </c>
      <c r="F174" s="30">
        <v>29.99</v>
      </c>
      <c r="G174" s="29">
        <v>59.98</v>
      </c>
      <c r="H174" s="28" t="s">
        <v>220</v>
      </c>
      <c r="I174" s="27" t="s">
        <v>189</v>
      </c>
      <c r="J174" s="31" t="s">
        <v>210</v>
      </c>
      <c r="K174" s="27" t="s">
        <v>200</v>
      </c>
      <c r="L174" s="27" t="s">
        <v>201</v>
      </c>
      <c r="M174" s="32" t="str">
        <f>HYPERLINK("http://slimages.macys.com/is/image/MCY/3899641 ")</f>
        <v xml:space="preserve">http://slimages.macys.com/is/image/MCY/3899641 </v>
      </c>
    </row>
    <row r="175" spans="1:13" ht="15.2" customHeight="1" x14ac:dyDescent="0.2">
      <c r="A175" s="26" t="s">
        <v>3290</v>
      </c>
      <c r="B175" s="27" t="s">
        <v>3291</v>
      </c>
      <c r="C175" s="28">
        <v>2</v>
      </c>
      <c r="D175" s="29">
        <v>11.5</v>
      </c>
      <c r="E175" s="29">
        <v>23</v>
      </c>
      <c r="F175" s="30">
        <v>29.99</v>
      </c>
      <c r="G175" s="29">
        <v>59.98</v>
      </c>
      <c r="H175" s="28" t="s">
        <v>233</v>
      </c>
      <c r="I175" s="27" t="s">
        <v>4</v>
      </c>
      <c r="J175" s="31" t="s">
        <v>214</v>
      </c>
      <c r="K175" s="27" t="s">
        <v>200</v>
      </c>
      <c r="L175" s="27" t="s">
        <v>201</v>
      </c>
      <c r="M175" s="32" t="str">
        <f>HYPERLINK("http://slimages.macys.com/is/image/MCY/3899544 ")</f>
        <v xml:space="preserve">http://slimages.macys.com/is/image/MCY/3899544 </v>
      </c>
    </row>
    <row r="176" spans="1:13" ht="15.2" customHeight="1" x14ac:dyDescent="0.2">
      <c r="A176" s="26" t="s">
        <v>235</v>
      </c>
      <c r="B176" s="27" t="s">
        <v>236</v>
      </c>
      <c r="C176" s="28">
        <v>1</v>
      </c>
      <c r="D176" s="29">
        <v>11.5</v>
      </c>
      <c r="E176" s="29">
        <v>11.5</v>
      </c>
      <c r="F176" s="30">
        <v>29.99</v>
      </c>
      <c r="G176" s="29">
        <v>29.99</v>
      </c>
      <c r="H176" s="28" t="s">
        <v>233</v>
      </c>
      <c r="I176" s="27" t="s">
        <v>26</v>
      </c>
      <c r="J176" s="31" t="s">
        <v>205</v>
      </c>
      <c r="K176" s="27" t="s">
        <v>200</v>
      </c>
      <c r="L176" s="27" t="s">
        <v>201</v>
      </c>
      <c r="M176" s="32" t="str">
        <f>HYPERLINK("http://slimages.macys.com/is/image/MCY/3899624 ")</f>
        <v xml:space="preserve">http://slimages.macys.com/is/image/MCY/3899624 </v>
      </c>
    </row>
    <row r="177" spans="1:13" ht="15.2" customHeight="1" x14ac:dyDescent="0.2">
      <c r="A177" s="26" t="s">
        <v>8277</v>
      </c>
      <c r="B177" s="27" t="s">
        <v>8278</v>
      </c>
      <c r="C177" s="28">
        <v>1</v>
      </c>
      <c r="D177" s="29">
        <v>11.5</v>
      </c>
      <c r="E177" s="29">
        <v>11.5</v>
      </c>
      <c r="F177" s="30">
        <v>29.99</v>
      </c>
      <c r="G177" s="29">
        <v>29.99</v>
      </c>
      <c r="H177" s="28" t="s">
        <v>220</v>
      </c>
      <c r="I177" s="27" t="s">
        <v>189</v>
      </c>
      <c r="J177" s="31" t="s">
        <v>205</v>
      </c>
      <c r="K177" s="27" t="s">
        <v>200</v>
      </c>
      <c r="L177" s="27" t="s">
        <v>201</v>
      </c>
      <c r="M177" s="32" t="str">
        <f>HYPERLINK("http://slimages.macys.com/is/image/MCY/3899641 ")</f>
        <v xml:space="preserve">http://slimages.macys.com/is/image/MCY/3899641 </v>
      </c>
    </row>
    <row r="178" spans="1:13" ht="15.2" customHeight="1" x14ac:dyDescent="0.2">
      <c r="A178" s="26" t="s">
        <v>2615</v>
      </c>
      <c r="B178" s="27" t="s">
        <v>2616</v>
      </c>
      <c r="C178" s="28">
        <v>1</v>
      </c>
      <c r="D178" s="29">
        <v>11.5</v>
      </c>
      <c r="E178" s="29">
        <v>11.5</v>
      </c>
      <c r="F178" s="30">
        <v>29.99</v>
      </c>
      <c r="G178" s="29">
        <v>29.99</v>
      </c>
      <c r="H178" s="28" t="s">
        <v>233</v>
      </c>
      <c r="I178" s="27" t="s">
        <v>26</v>
      </c>
      <c r="J178" s="31" t="s">
        <v>234</v>
      </c>
      <c r="K178" s="27" t="s">
        <v>200</v>
      </c>
      <c r="L178" s="27" t="s">
        <v>201</v>
      </c>
      <c r="M178" s="32" t="str">
        <f>HYPERLINK("http://slimages.macys.com/is/image/MCY/3899624 ")</f>
        <v xml:space="preserve">http://slimages.macys.com/is/image/MCY/3899624 </v>
      </c>
    </row>
    <row r="179" spans="1:13" ht="15.2" customHeight="1" x14ac:dyDescent="0.2">
      <c r="A179" s="26" t="s">
        <v>3283</v>
      </c>
      <c r="B179" s="27" t="s">
        <v>3284</v>
      </c>
      <c r="C179" s="28">
        <v>1</v>
      </c>
      <c r="D179" s="29">
        <v>11.5</v>
      </c>
      <c r="E179" s="29">
        <v>11.5</v>
      </c>
      <c r="F179" s="30">
        <v>29.99</v>
      </c>
      <c r="G179" s="29">
        <v>29.99</v>
      </c>
      <c r="H179" s="28" t="s">
        <v>233</v>
      </c>
      <c r="I179" s="27" t="s">
        <v>26</v>
      </c>
      <c r="J179" s="31" t="s">
        <v>23</v>
      </c>
      <c r="K179" s="27" t="s">
        <v>200</v>
      </c>
      <c r="L179" s="27" t="s">
        <v>201</v>
      </c>
      <c r="M179" s="32" t="str">
        <f>HYPERLINK("http://slimages.macys.com/is/image/MCY/3899624 ")</f>
        <v xml:space="preserve">http://slimages.macys.com/is/image/MCY/3899624 </v>
      </c>
    </row>
    <row r="180" spans="1:13" ht="15.2" customHeight="1" x14ac:dyDescent="0.2">
      <c r="A180" s="26" t="s">
        <v>10499</v>
      </c>
      <c r="B180" s="27" t="s">
        <v>10500</v>
      </c>
      <c r="C180" s="28">
        <v>1</v>
      </c>
      <c r="D180" s="29">
        <v>11.5</v>
      </c>
      <c r="E180" s="29">
        <v>11.5</v>
      </c>
      <c r="F180" s="30">
        <v>29.99</v>
      </c>
      <c r="G180" s="29">
        <v>29.99</v>
      </c>
      <c r="H180" s="28" t="s">
        <v>2193</v>
      </c>
      <c r="I180" s="27" t="s">
        <v>207</v>
      </c>
      <c r="J180" s="31" t="s">
        <v>52</v>
      </c>
      <c r="K180" s="27" t="s">
        <v>200</v>
      </c>
      <c r="L180" s="27" t="s">
        <v>133</v>
      </c>
      <c r="M180" s="32" t="str">
        <f>HYPERLINK("http://slimages.macys.com/is/image/MCY/3773829 ")</f>
        <v xml:space="preserve">http://slimages.macys.com/is/image/MCY/3773829 </v>
      </c>
    </row>
    <row r="181" spans="1:13" ht="15.2" customHeight="1" x14ac:dyDescent="0.2">
      <c r="A181" s="26" t="s">
        <v>9858</v>
      </c>
      <c r="B181" s="27" t="s">
        <v>9859</v>
      </c>
      <c r="C181" s="28">
        <v>1</v>
      </c>
      <c r="D181" s="29">
        <v>11.5</v>
      </c>
      <c r="E181" s="29">
        <v>11.5</v>
      </c>
      <c r="F181" s="30">
        <v>29.99</v>
      </c>
      <c r="G181" s="29">
        <v>29.99</v>
      </c>
      <c r="H181" s="28" t="s">
        <v>220</v>
      </c>
      <c r="I181" s="27" t="s">
        <v>189</v>
      </c>
      <c r="J181" s="31" t="s">
        <v>234</v>
      </c>
      <c r="K181" s="27" t="s">
        <v>200</v>
      </c>
      <c r="L181" s="27" t="s">
        <v>201</v>
      </c>
      <c r="M181" s="32" t="str">
        <f>HYPERLINK("http://slimages.macys.com/is/image/MCY/3899641 ")</f>
        <v xml:space="preserve">http://slimages.macys.com/is/image/MCY/3899641 </v>
      </c>
    </row>
    <row r="182" spans="1:13" ht="15.2" customHeight="1" x14ac:dyDescent="0.2">
      <c r="A182" s="26" t="s">
        <v>9860</v>
      </c>
      <c r="B182" s="27" t="s">
        <v>9861</v>
      </c>
      <c r="C182" s="28">
        <v>1</v>
      </c>
      <c r="D182" s="29">
        <v>11.5</v>
      </c>
      <c r="E182" s="29">
        <v>11.5</v>
      </c>
      <c r="F182" s="30">
        <v>29.99</v>
      </c>
      <c r="G182" s="29">
        <v>29.99</v>
      </c>
      <c r="H182" s="28" t="s">
        <v>220</v>
      </c>
      <c r="I182" s="27" t="s">
        <v>189</v>
      </c>
      <c r="J182" s="31" t="s">
        <v>113</v>
      </c>
      <c r="K182" s="27" t="s">
        <v>200</v>
      </c>
      <c r="L182" s="27" t="s">
        <v>201</v>
      </c>
      <c r="M182" s="32" t="str">
        <f>HYPERLINK("http://slimages.macys.com/is/image/MCY/3899641 ")</f>
        <v xml:space="preserve">http://slimages.macys.com/is/image/MCY/3899641 </v>
      </c>
    </row>
    <row r="183" spans="1:13" ht="15.2" customHeight="1" x14ac:dyDescent="0.2">
      <c r="A183" s="26" t="s">
        <v>2200</v>
      </c>
      <c r="B183" s="27" t="s">
        <v>2201</v>
      </c>
      <c r="C183" s="28">
        <v>2</v>
      </c>
      <c r="D183" s="29">
        <v>11.5</v>
      </c>
      <c r="E183" s="29">
        <v>23</v>
      </c>
      <c r="F183" s="30">
        <v>29.99</v>
      </c>
      <c r="G183" s="29">
        <v>59.98</v>
      </c>
      <c r="H183" s="28" t="s">
        <v>220</v>
      </c>
      <c r="I183" s="27" t="s">
        <v>189</v>
      </c>
      <c r="J183" s="31" t="s">
        <v>69</v>
      </c>
      <c r="K183" s="27" t="s">
        <v>200</v>
      </c>
      <c r="L183" s="27" t="s">
        <v>201</v>
      </c>
      <c r="M183" s="32" t="str">
        <f>HYPERLINK("http://slimages.macys.com/is/image/MCY/3899641 ")</f>
        <v xml:space="preserve">http://slimages.macys.com/is/image/MCY/3899641 </v>
      </c>
    </row>
    <row r="184" spans="1:13" ht="15.2" customHeight="1" x14ac:dyDescent="0.2">
      <c r="A184" s="26" t="s">
        <v>3292</v>
      </c>
      <c r="B184" s="27" t="s">
        <v>3293</v>
      </c>
      <c r="C184" s="28">
        <v>1</v>
      </c>
      <c r="D184" s="29">
        <v>11.5</v>
      </c>
      <c r="E184" s="29">
        <v>11.5</v>
      </c>
      <c r="F184" s="30">
        <v>29.99</v>
      </c>
      <c r="G184" s="29">
        <v>29.99</v>
      </c>
      <c r="H184" s="28" t="s">
        <v>233</v>
      </c>
      <c r="I184" s="27" t="s">
        <v>26</v>
      </c>
      <c r="J184" s="31" t="s">
        <v>113</v>
      </c>
      <c r="K184" s="27" t="s">
        <v>200</v>
      </c>
      <c r="L184" s="27" t="s">
        <v>201</v>
      </c>
      <c r="M184" s="32" t="str">
        <f>HYPERLINK("http://slimages.macys.com/is/image/MCY/3899624 ")</f>
        <v xml:space="preserve">http://slimages.macys.com/is/image/MCY/3899624 </v>
      </c>
    </row>
    <row r="185" spans="1:13" ht="15.2" customHeight="1" x14ac:dyDescent="0.2">
      <c r="A185" s="26" t="s">
        <v>10501</v>
      </c>
      <c r="B185" s="27" t="s">
        <v>10502</v>
      </c>
      <c r="C185" s="28">
        <v>1</v>
      </c>
      <c r="D185" s="29">
        <v>11.5</v>
      </c>
      <c r="E185" s="29">
        <v>11.5</v>
      </c>
      <c r="F185" s="30">
        <v>29.99</v>
      </c>
      <c r="G185" s="29">
        <v>29.99</v>
      </c>
      <c r="H185" s="28" t="s">
        <v>2190</v>
      </c>
      <c r="I185" s="27" t="s">
        <v>22</v>
      </c>
      <c r="J185" s="31" t="s">
        <v>210</v>
      </c>
      <c r="K185" s="27" t="s">
        <v>200</v>
      </c>
      <c r="L185" s="27" t="s">
        <v>201</v>
      </c>
      <c r="M185" s="32" t="str">
        <f>HYPERLINK("http://slimages.macys.com/is/image/MCY/3899606 ")</f>
        <v xml:space="preserve">http://slimages.macys.com/is/image/MCY/3899606 </v>
      </c>
    </row>
    <row r="186" spans="1:13" ht="15.2" customHeight="1" x14ac:dyDescent="0.2">
      <c r="A186" s="26" t="s">
        <v>1257</v>
      </c>
      <c r="B186" s="27" t="s">
        <v>1258</v>
      </c>
      <c r="C186" s="28">
        <v>3</v>
      </c>
      <c r="D186" s="29">
        <v>11.5</v>
      </c>
      <c r="E186" s="29">
        <v>34.5</v>
      </c>
      <c r="F186" s="30">
        <v>29.99</v>
      </c>
      <c r="G186" s="29">
        <v>89.97</v>
      </c>
      <c r="H186" s="28" t="s">
        <v>233</v>
      </c>
      <c r="I186" s="27" t="s">
        <v>4</v>
      </c>
      <c r="J186" s="31" t="s">
        <v>216</v>
      </c>
      <c r="K186" s="27" t="s">
        <v>200</v>
      </c>
      <c r="L186" s="27" t="s">
        <v>201</v>
      </c>
      <c r="M186" s="32" t="str">
        <f>HYPERLINK("http://slimages.macys.com/is/image/MCY/3899544 ")</f>
        <v xml:space="preserve">http://slimages.macys.com/is/image/MCY/3899544 </v>
      </c>
    </row>
    <row r="187" spans="1:13" ht="15.2" customHeight="1" x14ac:dyDescent="0.2">
      <c r="A187" s="26" t="s">
        <v>4618</v>
      </c>
      <c r="B187" s="27" t="s">
        <v>4619</v>
      </c>
      <c r="C187" s="28">
        <v>1</v>
      </c>
      <c r="D187" s="29">
        <v>11.5</v>
      </c>
      <c r="E187" s="29">
        <v>11.5</v>
      </c>
      <c r="F187" s="30">
        <v>29.99</v>
      </c>
      <c r="G187" s="29">
        <v>29.99</v>
      </c>
      <c r="H187" s="28" t="s">
        <v>233</v>
      </c>
      <c r="I187" s="27" t="s">
        <v>26</v>
      </c>
      <c r="J187" s="31" t="s">
        <v>210</v>
      </c>
      <c r="K187" s="27" t="s">
        <v>200</v>
      </c>
      <c r="L187" s="27" t="s">
        <v>201</v>
      </c>
      <c r="M187" s="32" t="str">
        <f>HYPERLINK("http://slimages.macys.com/is/image/MCY/3899624 ")</f>
        <v xml:space="preserve">http://slimages.macys.com/is/image/MCY/3899624 </v>
      </c>
    </row>
    <row r="188" spans="1:13" ht="15.2" customHeight="1" x14ac:dyDescent="0.2">
      <c r="A188" s="26" t="s">
        <v>231</v>
      </c>
      <c r="B188" s="27" t="s">
        <v>232</v>
      </c>
      <c r="C188" s="28">
        <v>1</v>
      </c>
      <c r="D188" s="29">
        <v>11.5</v>
      </c>
      <c r="E188" s="29">
        <v>11.5</v>
      </c>
      <c r="F188" s="30">
        <v>29.99</v>
      </c>
      <c r="G188" s="29">
        <v>29.99</v>
      </c>
      <c r="H188" s="28" t="s">
        <v>233</v>
      </c>
      <c r="I188" s="27" t="s">
        <v>4</v>
      </c>
      <c r="J188" s="31" t="s">
        <v>234</v>
      </c>
      <c r="K188" s="27" t="s">
        <v>200</v>
      </c>
      <c r="L188" s="27" t="s">
        <v>201</v>
      </c>
      <c r="M188" s="32" t="str">
        <f>HYPERLINK("http://slimages.macys.com/is/image/MCY/3899544 ")</f>
        <v xml:space="preserve">http://slimages.macys.com/is/image/MCY/3899544 </v>
      </c>
    </row>
    <row r="189" spans="1:13" ht="15.2" customHeight="1" x14ac:dyDescent="0.2">
      <c r="A189" s="26" t="s">
        <v>1267</v>
      </c>
      <c r="B189" s="27" t="s">
        <v>1268</v>
      </c>
      <c r="C189" s="28">
        <v>7</v>
      </c>
      <c r="D189" s="29">
        <v>11.5</v>
      </c>
      <c r="E189" s="29">
        <v>80.5</v>
      </c>
      <c r="F189" s="30">
        <v>29.99</v>
      </c>
      <c r="G189" s="29">
        <v>209.93</v>
      </c>
      <c r="H189" s="28" t="s">
        <v>233</v>
      </c>
      <c r="I189" s="27" t="s">
        <v>26</v>
      </c>
      <c r="J189" s="31" t="s">
        <v>69</v>
      </c>
      <c r="K189" s="27" t="s">
        <v>200</v>
      </c>
      <c r="L189" s="27" t="s">
        <v>201</v>
      </c>
      <c r="M189" s="32" t="str">
        <f>HYPERLINK("http://slimages.macys.com/is/image/MCY/3899624 ")</f>
        <v xml:space="preserve">http://slimages.macys.com/is/image/MCY/3899624 </v>
      </c>
    </row>
    <row r="190" spans="1:13" ht="15.2" customHeight="1" x14ac:dyDescent="0.2">
      <c r="A190" s="26" t="s">
        <v>218</v>
      </c>
      <c r="B190" s="27" t="s">
        <v>219</v>
      </c>
      <c r="C190" s="28">
        <v>2</v>
      </c>
      <c r="D190" s="29">
        <v>11.5</v>
      </c>
      <c r="E190" s="29">
        <v>23</v>
      </c>
      <c r="F190" s="30">
        <v>29.99</v>
      </c>
      <c r="G190" s="29">
        <v>59.98</v>
      </c>
      <c r="H190" s="28" t="s">
        <v>220</v>
      </c>
      <c r="I190" s="27" t="s">
        <v>189</v>
      </c>
      <c r="J190" s="31" t="s">
        <v>216</v>
      </c>
      <c r="K190" s="27" t="s">
        <v>200</v>
      </c>
      <c r="L190" s="27" t="s">
        <v>201</v>
      </c>
      <c r="M190" s="32" t="str">
        <f>HYPERLINK("http://slimages.macys.com/is/image/MCY/3899641 ")</f>
        <v xml:space="preserve">http://slimages.macys.com/is/image/MCY/3899641 </v>
      </c>
    </row>
    <row r="191" spans="1:13" ht="15.2" customHeight="1" x14ac:dyDescent="0.2">
      <c r="A191" s="26" t="s">
        <v>8445</v>
      </c>
      <c r="B191" s="27" t="s">
        <v>8446</v>
      </c>
      <c r="C191" s="28">
        <v>2</v>
      </c>
      <c r="D191" s="29">
        <v>11.5</v>
      </c>
      <c r="E191" s="29">
        <v>23</v>
      </c>
      <c r="F191" s="30">
        <v>29.99</v>
      </c>
      <c r="G191" s="29">
        <v>59.98</v>
      </c>
      <c r="H191" s="28" t="s">
        <v>233</v>
      </c>
      <c r="I191" s="27" t="s">
        <v>26</v>
      </c>
      <c r="J191" s="31" t="s">
        <v>230</v>
      </c>
      <c r="K191" s="27" t="s">
        <v>200</v>
      </c>
      <c r="L191" s="27" t="s">
        <v>201</v>
      </c>
      <c r="M191" s="32" t="str">
        <f>HYPERLINK("http://slimages.macys.com/is/image/MCY/3899624 ")</f>
        <v xml:space="preserve">http://slimages.macys.com/is/image/MCY/3899624 </v>
      </c>
    </row>
    <row r="192" spans="1:13" ht="15.2" customHeight="1" x14ac:dyDescent="0.2">
      <c r="A192" s="26" t="s">
        <v>2196</v>
      </c>
      <c r="B192" s="27" t="s">
        <v>2197</v>
      </c>
      <c r="C192" s="28">
        <v>3</v>
      </c>
      <c r="D192" s="29">
        <v>11.5</v>
      </c>
      <c r="E192" s="29">
        <v>34.5</v>
      </c>
      <c r="F192" s="30">
        <v>29.99</v>
      </c>
      <c r="G192" s="29">
        <v>89.97</v>
      </c>
      <c r="H192" s="28" t="s">
        <v>233</v>
      </c>
      <c r="I192" s="27" t="s">
        <v>26</v>
      </c>
      <c r="J192" s="31" t="s">
        <v>214</v>
      </c>
      <c r="K192" s="27" t="s">
        <v>200</v>
      </c>
      <c r="L192" s="27" t="s">
        <v>201</v>
      </c>
      <c r="M192" s="32" t="str">
        <f>HYPERLINK("http://slimages.macys.com/is/image/MCY/3899624 ")</f>
        <v xml:space="preserve">http://slimages.macys.com/is/image/MCY/3899624 </v>
      </c>
    </row>
    <row r="193" spans="1:13" ht="15.2" customHeight="1" x14ac:dyDescent="0.2">
      <c r="A193" s="26" t="s">
        <v>1265</v>
      </c>
      <c r="B193" s="27" t="s">
        <v>1266</v>
      </c>
      <c r="C193" s="28">
        <v>2</v>
      </c>
      <c r="D193" s="29">
        <v>11.5</v>
      </c>
      <c r="E193" s="29">
        <v>23</v>
      </c>
      <c r="F193" s="30">
        <v>29.99</v>
      </c>
      <c r="G193" s="29">
        <v>59.98</v>
      </c>
      <c r="H193" s="28" t="s">
        <v>233</v>
      </c>
      <c r="I193" s="27" t="s">
        <v>26</v>
      </c>
      <c r="J193" s="31" t="s">
        <v>216</v>
      </c>
      <c r="K193" s="27" t="s">
        <v>200</v>
      </c>
      <c r="L193" s="27" t="s">
        <v>201</v>
      </c>
      <c r="M193" s="32" t="str">
        <f>HYPERLINK("http://slimages.macys.com/is/image/MCY/3899624 ")</f>
        <v xml:space="preserve">http://slimages.macys.com/is/image/MCY/3899624 </v>
      </c>
    </row>
    <row r="194" spans="1:13" ht="15.2" customHeight="1" x14ac:dyDescent="0.2">
      <c r="A194" s="26" t="s">
        <v>10503</v>
      </c>
      <c r="B194" s="27" t="s">
        <v>10504</v>
      </c>
      <c r="C194" s="28">
        <v>1</v>
      </c>
      <c r="D194" s="29">
        <v>11.5</v>
      </c>
      <c r="E194" s="29">
        <v>11.5</v>
      </c>
      <c r="F194" s="30">
        <v>25.99</v>
      </c>
      <c r="G194" s="29">
        <v>25.99</v>
      </c>
      <c r="H194" s="28" t="s">
        <v>1269</v>
      </c>
      <c r="I194" s="27"/>
      <c r="J194" s="31" t="s">
        <v>230</v>
      </c>
      <c r="K194" s="27" t="s">
        <v>200</v>
      </c>
      <c r="L194" s="27" t="s">
        <v>133</v>
      </c>
      <c r="M194" s="32" t="str">
        <f>HYPERLINK("http://slimages.macys.com/is/image/MCY/3858043 ")</f>
        <v xml:space="preserve">http://slimages.macys.com/is/image/MCY/3858043 </v>
      </c>
    </row>
    <row r="195" spans="1:13" ht="15.2" customHeight="1" x14ac:dyDescent="0.2">
      <c r="A195" s="26" t="s">
        <v>10286</v>
      </c>
      <c r="B195" s="27" t="s">
        <v>10287</v>
      </c>
      <c r="C195" s="28">
        <v>1</v>
      </c>
      <c r="D195" s="29">
        <v>11.5</v>
      </c>
      <c r="E195" s="29">
        <v>11.5</v>
      </c>
      <c r="F195" s="30">
        <v>39</v>
      </c>
      <c r="G195" s="29">
        <v>39</v>
      </c>
      <c r="H195" s="28" t="s">
        <v>10288</v>
      </c>
      <c r="I195" s="27" t="s">
        <v>4</v>
      </c>
      <c r="J195" s="31" t="s">
        <v>71</v>
      </c>
      <c r="K195" s="27" t="s">
        <v>154</v>
      </c>
      <c r="L195" s="27" t="s">
        <v>155</v>
      </c>
      <c r="M195" s="32" t="str">
        <f>HYPERLINK("http://slimages.macys.com/is/image/MCY/3884266 ")</f>
        <v xml:space="preserve">http://slimages.macys.com/is/image/MCY/3884266 </v>
      </c>
    </row>
    <row r="196" spans="1:13" ht="15.2" customHeight="1" x14ac:dyDescent="0.2">
      <c r="A196" s="26" t="s">
        <v>10505</v>
      </c>
      <c r="B196" s="27" t="s">
        <v>10506</v>
      </c>
      <c r="C196" s="28">
        <v>1</v>
      </c>
      <c r="D196" s="29">
        <v>11.25</v>
      </c>
      <c r="E196" s="29">
        <v>11.25</v>
      </c>
      <c r="F196" s="30">
        <v>25.99</v>
      </c>
      <c r="G196" s="29">
        <v>25.99</v>
      </c>
      <c r="H196" s="28" t="s">
        <v>2202</v>
      </c>
      <c r="I196" s="27" t="s">
        <v>107</v>
      </c>
      <c r="J196" s="31" t="s">
        <v>234</v>
      </c>
      <c r="K196" s="27" t="s">
        <v>200</v>
      </c>
      <c r="L196" s="27" t="s">
        <v>552</v>
      </c>
      <c r="M196" s="32" t="str">
        <f>HYPERLINK("http://slimages.macys.com/is/image/MCY/3755250 ")</f>
        <v xml:space="preserve">http://slimages.macys.com/is/image/MCY/3755250 </v>
      </c>
    </row>
    <row r="197" spans="1:13" ht="15.2" customHeight="1" x14ac:dyDescent="0.2">
      <c r="A197" s="26" t="s">
        <v>10507</v>
      </c>
      <c r="B197" s="27" t="s">
        <v>10508</v>
      </c>
      <c r="C197" s="28">
        <v>1</v>
      </c>
      <c r="D197" s="29">
        <v>11.25</v>
      </c>
      <c r="E197" s="29">
        <v>11.25</v>
      </c>
      <c r="F197" s="30">
        <v>24.99</v>
      </c>
      <c r="G197" s="29">
        <v>24.99</v>
      </c>
      <c r="H197" s="28" t="s">
        <v>10509</v>
      </c>
      <c r="I197" s="27" t="s">
        <v>189</v>
      </c>
      <c r="J197" s="31" t="s">
        <v>71</v>
      </c>
      <c r="K197" s="27" t="s">
        <v>196</v>
      </c>
      <c r="L197" s="27" t="s">
        <v>197</v>
      </c>
      <c r="M197" s="32" t="str">
        <f>HYPERLINK("http://slimages.macys.com/is/image/MCY/3623306 ")</f>
        <v xml:space="preserve">http://slimages.macys.com/is/image/MCY/3623306 </v>
      </c>
    </row>
    <row r="198" spans="1:13" ht="15.2" customHeight="1" x14ac:dyDescent="0.2">
      <c r="A198" s="26" t="s">
        <v>10510</v>
      </c>
      <c r="B198" s="27" t="s">
        <v>10511</v>
      </c>
      <c r="C198" s="28">
        <v>1</v>
      </c>
      <c r="D198" s="29">
        <v>11.25</v>
      </c>
      <c r="E198" s="29">
        <v>11.25</v>
      </c>
      <c r="F198" s="30">
        <v>27.99</v>
      </c>
      <c r="G198" s="29">
        <v>27.99</v>
      </c>
      <c r="H198" s="28" t="s">
        <v>10512</v>
      </c>
      <c r="I198" s="27" t="s">
        <v>82</v>
      </c>
      <c r="J198" s="31" t="s">
        <v>40</v>
      </c>
      <c r="K198" s="27" t="s">
        <v>224</v>
      </c>
      <c r="L198" s="27" t="s">
        <v>260</v>
      </c>
      <c r="M198" s="32" t="str">
        <f>HYPERLINK("http://slimages.macys.com/is/image/MCY/3947477 ")</f>
        <v xml:space="preserve">http://slimages.macys.com/is/image/MCY/3947477 </v>
      </c>
    </row>
    <row r="199" spans="1:13" ht="15.2" customHeight="1" x14ac:dyDescent="0.2">
      <c r="A199" s="26" t="s">
        <v>10513</v>
      </c>
      <c r="B199" s="27" t="s">
        <v>10514</v>
      </c>
      <c r="C199" s="28">
        <v>1</v>
      </c>
      <c r="D199" s="29">
        <v>11.25</v>
      </c>
      <c r="E199" s="29">
        <v>11.25</v>
      </c>
      <c r="F199" s="30">
        <v>24.99</v>
      </c>
      <c r="G199" s="29">
        <v>24.99</v>
      </c>
      <c r="H199" s="28" t="s">
        <v>10509</v>
      </c>
      <c r="I199" s="27" t="s">
        <v>189</v>
      </c>
      <c r="J199" s="31" t="s">
        <v>21</v>
      </c>
      <c r="K199" s="27" t="s">
        <v>196</v>
      </c>
      <c r="L199" s="27" t="s">
        <v>197</v>
      </c>
      <c r="M199" s="32" t="str">
        <f>HYPERLINK("http://slimages.macys.com/is/image/MCY/3623306 ")</f>
        <v xml:space="preserve">http://slimages.macys.com/is/image/MCY/3623306 </v>
      </c>
    </row>
    <row r="200" spans="1:13" ht="15.2" customHeight="1" x14ac:dyDescent="0.2">
      <c r="A200" s="26" t="s">
        <v>7659</v>
      </c>
      <c r="B200" s="27" t="s">
        <v>7660</v>
      </c>
      <c r="C200" s="28">
        <v>1</v>
      </c>
      <c r="D200" s="29">
        <v>11</v>
      </c>
      <c r="E200" s="29">
        <v>11</v>
      </c>
      <c r="F200" s="30">
        <v>39</v>
      </c>
      <c r="G200" s="29">
        <v>39</v>
      </c>
      <c r="H200" s="28" t="s">
        <v>6989</v>
      </c>
      <c r="I200" s="27"/>
      <c r="J200" s="31" t="s">
        <v>71</v>
      </c>
      <c r="K200" s="27" t="s">
        <v>154</v>
      </c>
      <c r="L200" s="27" t="s">
        <v>155</v>
      </c>
      <c r="M200" s="32" t="str">
        <f>HYPERLINK("http://slimages.macys.com/is/image/MCY/3877424 ")</f>
        <v xml:space="preserve">http://slimages.macys.com/is/image/MCY/3877424 </v>
      </c>
    </row>
    <row r="201" spans="1:13" ht="15.2" customHeight="1" x14ac:dyDescent="0.2">
      <c r="A201" s="26" t="s">
        <v>10515</v>
      </c>
      <c r="B201" s="27" t="s">
        <v>10516</v>
      </c>
      <c r="C201" s="28">
        <v>2</v>
      </c>
      <c r="D201" s="29">
        <v>11</v>
      </c>
      <c r="E201" s="29">
        <v>22</v>
      </c>
      <c r="F201" s="30">
        <v>39</v>
      </c>
      <c r="G201" s="29">
        <v>78</v>
      </c>
      <c r="H201" s="28" t="s">
        <v>2204</v>
      </c>
      <c r="I201" s="27" t="s">
        <v>4</v>
      </c>
      <c r="J201" s="31" t="s">
        <v>40</v>
      </c>
      <c r="K201" s="27" t="s">
        <v>154</v>
      </c>
      <c r="L201" s="27" t="s">
        <v>155</v>
      </c>
      <c r="M201" s="32" t="str">
        <f>HYPERLINK("http://slimages.macys.com/is/image/MCY/3540985 ")</f>
        <v xml:space="preserve">http://slimages.macys.com/is/image/MCY/3540985 </v>
      </c>
    </row>
    <row r="202" spans="1:13" ht="15.2" customHeight="1" x14ac:dyDescent="0.2">
      <c r="A202" s="26" t="s">
        <v>10517</v>
      </c>
      <c r="B202" s="27" t="s">
        <v>10518</v>
      </c>
      <c r="C202" s="28">
        <v>1</v>
      </c>
      <c r="D202" s="29">
        <v>11</v>
      </c>
      <c r="E202" s="29">
        <v>11</v>
      </c>
      <c r="F202" s="30">
        <v>29.99</v>
      </c>
      <c r="G202" s="29">
        <v>29.99</v>
      </c>
      <c r="H202" s="28" t="s">
        <v>2203</v>
      </c>
      <c r="I202" s="27" t="s">
        <v>1</v>
      </c>
      <c r="J202" s="31" t="s">
        <v>113</v>
      </c>
      <c r="K202" s="27" t="s">
        <v>200</v>
      </c>
      <c r="L202" s="27" t="s">
        <v>765</v>
      </c>
      <c r="M202" s="32" t="str">
        <f>HYPERLINK("http://slimages.macys.com/is/image/MCY/3364230 ")</f>
        <v xml:space="preserve">http://slimages.macys.com/is/image/MCY/3364230 </v>
      </c>
    </row>
    <row r="203" spans="1:13" ht="15.2" customHeight="1" x14ac:dyDescent="0.2">
      <c r="A203" s="26" t="s">
        <v>10519</v>
      </c>
      <c r="B203" s="27" t="s">
        <v>10520</v>
      </c>
      <c r="C203" s="28">
        <v>1</v>
      </c>
      <c r="D203" s="29">
        <v>11</v>
      </c>
      <c r="E203" s="29">
        <v>11</v>
      </c>
      <c r="F203" s="30">
        <v>26.99</v>
      </c>
      <c r="G203" s="29">
        <v>26.99</v>
      </c>
      <c r="H203" s="28" t="s">
        <v>10521</v>
      </c>
      <c r="I203" s="27" t="s">
        <v>8</v>
      </c>
      <c r="J203" s="31" t="s">
        <v>5</v>
      </c>
      <c r="K203" s="27" t="s">
        <v>70</v>
      </c>
      <c r="L203" s="27" t="s">
        <v>250</v>
      </c>
      <c r="M203" s="32" t="str">
        <f>HYPERLINK("http://slimages.macys.com/is/image/MCY/3664294 ")</f>
        <v xml:space="preserve">http://slimages.macys.com/is/image/MCY/3664294 </v>
      </c>
    </row>
    <row r="204" spans="1:13" ht="15.2" customHeight="1" x14ac:dyDescent="0.2">
      <c r="A204" s="26" t="s">
        <v>10522</v>
      </c>
      <c r="B204" s="27" t="s">
        <v>10523</v>
      </c>
      <c r="C204" s="28">
        <v>1</v>
      </c>
      <c r="D204" s="29">
        <v>10.85</v>
      </c>
      <c r="E204" s="29">
        <v>10.85</v>
      </c>
      <c r="F204" s="30">
        <v>27.99</v>
      </c>
      <c r="G204" s="29">
        <v>27.99</v>
      </c>
      <c r="H204" s="28" t="s">
        <v>7959</v>
      </c>
      <c r="I204" s="27" t="s">
        <v>1472</v>
      </c>
      <c r="J204" s="31" t="s">
        <v>40</v>
      </c>
      <c r="K204" s="27" t="s">
        <v>224</v>
      </c>
      <c r="L204" s="27" t="s">
        <v>197</v>
      </c>
      <c r="M204" s="32" t="str">
        <f>HYPERLINK("http://slimages.macys.com/is/image/MCY/3719940 ")</f>
        <v xml:space="preserve">http://slimages.macys.com/is/image/MCY/3719940 </v>
      </c>
    </row>
    <row r="205" spans="1:13" ht="15.2" customHeight="1" x14ac:dyDescent="0.2">
      <c r="A205" s="26" t="s">
        <v>7392</v>
      </c>
      <c r="B205" s="27" t="s">
        <v>7393</v>
      </c>
      <c r="C205" s="28">
        <v>1</v>
      </c>
      <c r="D205" s="29">
        <v>10.77</v>
      </c>
      <c r="E205" s="29">
        <v>10.77</v>
      </c>
      <c r="F205" s="30">
        <v>29.5</v>
      </c>
      <c r="G205" s="29">
        <v>29.5</v>
      </c>
      <c r="H205" s="28" t="s">
        <v>2205</v>
      </c>
      <c r="I205" s="27" t="s">
        <v>22</v>
      </c>
      <c r="J205" s="31" t="s">
        <v>40</v>
      </c>
      <c r="K205" s="27" t="s">
        <v>41</v>
      </c>
      <c r="L205" s="27" t="s">
        <v>90</v>
      </c>
      <c r="M205" s="32" t="str">
        <f>HYPERLINK("http://slimages.macys.com/is/image/MCY/3711110 ")</f>
        <v xml:space="preserve">http://slimages.macys.com/is/image/MCY/3711110 </v>
      </c>
    </row>
    <row r="206" spans="1:13" ht="15.2" customHeight="1" x14ac:dyDescent="0.2">
      <c r="A206" s="26" t="s">
        <v>6207</v>
      </c>
      <c r="B206" s="27" t="s">
        <v>6208</v>
      </c>
      <c r="C206" s="28">
        <v>1</v>
      </c>
      <c r="D206" s="29">
        <v>10.76</v>
      </c>
      <c r="E206" s="29">
        <v>10.76</v>
      </c>
      <c r="F206" s="30">
        <v>29.5</v>
      </c>
      <c r="G206" s="29">
        <v>29.5</v>
      </c>
      <c r="H206" s="28" t="s">
        <v>3304</v>
      </c>
      <c r="I206" s="27" t="s">
        <v>22</v>
      </c>
      <c r="J206" s="31" t="s">
        <v>71</v>
      </c>
      <c r="K206" s="27" t="s">
        <v>41</v>
      </c>
      <c r="L206" s="27" t="s">
        <v>45</v>
      </c>
      <c r="M206" s="32" t="str">
        <f>HYPERLINK("http://slimages.macys.com/is/image/MCY/3700884 ")</f>
        <v xml:space="preserve">http://slimages.macys.com/is/image/MCY/3700884 </v>
      </c>
    </row>
    <row r="207" spans="1:13" ht="15.2" customHeight="1" x14ac:dyDescent="0.2">
      <c r="A207" s="26" t="s">
        <v>10524</v>
      </c>
      <c r="B207" s="27" t="s">
        <v>10525</v>
      </c>
      <c r="C207" s="28">
        <v>1</v>
      </c>
      <c r="D207" s="29">
        <v>10.7</v>
      </c>
      <c r="E207" s="29">
        <v>10.7</v>
      </c>
      <c r="F207" s="30">
        <v>24.99</v>
      </c>
      <c r="G207" s="29">
        <v>24.99</v>
      </c>
      <c r="H207" s="28" t="s">
        <v>10526</v>
      </c>
      <c r="I207" s="27" t="s">
        <v>1</v>
      </c>
      <c r="J207" s="31" t="s">
        <v>5</v>
      </c>
      <c r="K207" s="27" t="s">
        <v>70</v>
      </c>
      <c r="L207" s="27" t="s">
        <v>25</v>
      </c>
      <c r="M207" s="32" t="str">
        <f>HYPERLINK("http://slimages.macys.com/is/image/MCY/3449790 ")</f>
        <v xml:space="preserve">http://slimages.macys.com/is/image/MCY/3449790 </v>
      </c>
    </row>
    <row r="208" spans="1:13" ht="15.2" customHeight="1" x14ac:dyDescent="0.2">
      <c r="A208" s="26" t="s">
        <v>5034</v>
      </c>
      <c r="B208" s="27" t="s">
        <v>5035</v>
      </c>
      <c r="C208" s="28">
        <v>1</v>
      </c>
      <c r="D208" s="29">
        <v>10.65</v>
      </c>
      <c r="E208" s="29">
        <v>10.65</v>
      </c>
      <c r="F208" s="30">
        <v>27.99</v>
      </c>
      <c r="G208" s="29">
        <v>27.99</v>
      </c>
      <c r="H208" s="28" t="s">
        <v>1290</v>
      </c>
      <c r="I208" s="27" t="s">
        <v>49</v>
      </c>
      <c r="J208" s="31" t="s">
        <v>5</v>
      </c>
      <c r="K208" s="27" t="s">
        <v>224</v>
      </c>
      <c r="L208" s="27" t="s">
        <v>237</v>
      </c>
      <c r="M208" s="32" t="str">
        <f>HYPERLINK("http://slimages.macys.com/is/image/MCY/3787610 ")</f>
        <v xml:space="preserve">http://slimages.macys.com/is/image/MCY/3787610 </v>
      </c>
    </row>
    <row r="209" spans="1:13" ht="15.2" customHeight="1" x14ac:dyDescent="0.2">
      <c r="A209" s="26" t="s">
        <v>784</v>
      </c>
      <c r="B209" s="27" t="s">
        <v>785</v>
      </c>
      <c r="C209" s="28">
        <v>1</v>
      </c>
      <c r="D209" s="29">
        <v>10.6</v>
      </c>
      <c r="E209" s="29">
        <v>10.6</v>
      </c>
      <c r="F209" s="30">
        <v>24.99</v>
      </c>
      <c r="G209" s="29">
        <v>24.99</v>
      </c>
      <c r="H209" s="28" t="s">
        <v>247</v>
      </c>
      <c r="I209" s="27" t="s">
        <v>215</v>
      </c>
      <c r="J209" s="31" t="s">
        <v>52</v>
      </c>
      <c r="K209" s="27" t="s">
        <v>208</v>
      </c>
      <c r="L209" s="27" t="s">
        <v>197</v>
      </c>
      <c r="M209" s="32" t="str">
        <f>HYPERLINK("http://slimages.macys.com/is/image/MCY/3899669 ")</f>
        <v xml:space="preserve">http://slimages.macys.com/is/image/MCY/3899669 </v>
      </c>
    </row>
    <row r="210" spans="1:13" ht="15.2" customHeight="1" x14ac:dyDescent="0.2">
      <c r="A210" s="26" t="s">
        <v>1291</v>
      </c>
      <c r="B210" s="27" t="s">
        <v>1292</v>
      </c>
      <c r="C210" s="28">
        <v>1</v>
      </c>
      <c r="D210" s="29">
        <v>10.6</v>
      </c>
      <c r="E210" s="29">
        <v>10.6</v>
      </c>
      <c r="F210" s="30">
        <v>24.99</v>
      </c>
      <c r="G210" s="29">
        <v>24.99</v>
      </c>
      <c r="H210" s="28" t="s">
        <v>247</v>
      </c>
      <c r="I210" s="27" t="s">
        <v>10</v>
      </c>
      <c r="J210" s="31" t="s">
        <v>5</v>
      </c>
      <c r="K210" s="27" t="s">
        <v>208</v>
      </c>
      <c r="L210" s="27" t="s">
        <v>197</v>
      </c>
      <c r="M210" s="32" t="str">
        <f>HYPERLINK("http://slimages.macys.com/is/image/MCY/3899669 ")</f>
        <v xml:space="preserve">http://slimages.macys.com/is/image/MCY/3899669 </v>
      </c>
    </row>
    <row r="211" spans="1:13" ht="15.2" customHeight="1" x14ac:dyDescent="0.2">
      <c r="A211" s="26" t="s">
        <v>2625</v>
      </c>
      <c r="B211" s="27" t="s">
        <v>1316</v>
      </c>
      <c r="C211" s="28">
        <v>1</v>
      </c>
      <c r="D211" s="29">
        <v>10.5</v>
      </c>
      <c r="E211" s="29">
        <v>10.5</v>
      </c>
      <c r="F211" s="30">
        <v>24.99</v>
      </c>
      <c r="G211" s="29">
        <v>24.99</v>
      </c>
      <c r="H211" s="28" t="s">
        <v>1314</v>
      </c>
      <c r="I211" s="27" t="s">
        <v>103</v>
      </c>
      <c r="J211" s="31" t="s">
        <v>52</v>
      </c>
      <c r="K211" s="27" t="s">
        <v>159</v>
      </c>
      <c r="L211" s="27" t="s">
        <v>160</v>
      </c>
      <c r="M211" s="32" t="str">
        <f>HYPERLINK("http://slimages.macys.com/is/image/MCY/3743320 ")</f>
        <v xml:space="preserve">http://slimages.macys.com/is/image/MCY/3743320 </v>
      </c>
    </row>
    <row r="212" spans="1:13" ht="15.2" customHeight="1" x14ac:dyDescent="0.2">
      <c r="A212" s="26" t="s">
        <v>1303</v>
      </c>
      <c r="B212" s="27" t="s">
        <v>1304</v>
      </c>
      <c r="C212" s="28">
        <v>1</v>
      </c>
      <c r="D212" s="29">
        <v>10.5</v>
      </c>
      <c r="E212" s="29">
        <v>10.5</v>
      </c>
      <c r="F212" s="30">
        <v>25.99</v>
      </c>
      <c r="G212" s="29">
        <v>25.99</v>
      </c>
      <c r="H212" s="28" t="s">
        <v>1305</v>
      </c>
      <c r="I212" s="27" t="s">
        <v>36</v>
      </c>
      <c r="J212" s="31" t="s">
        <v>69</v>
      </c>
      <c r="K212" s="27" t="s">
        <v>200</v>
      </c>
      <c r="L212" s="27" t="s">
        <v>133</v>
      </c>
      <c r="M212" s="32" t="str">
        <f>HYPERLINK("http://slimages.macys.com/is/image/MCY/3773860 ")</f>
        <v xml:space="preserve">http://slimages.macys.com/is/image/MCY/3773860 </v>
      </c>
    </row>
    <row r="213" spans="1:13" ht="15.2" customHeight="1" x14ac:dyDescent="0.2">
      <c r="A213" s="26" t="s">
        <v>2618</v>
      </c>
      <c r="B213" s="27" t="s">
        <v>2619</v>
      </c>
      <c r="C213" s="28">
        <v>1</v>
      </c>
      <c r="D213" s="29">
        <v>10.5</v>
      </c>
      <c r="E213" s="29">
        <v>10.5</v>
      </c>
      <c r="F213" s="30">
        <v>26.99</v>
      </c>
      <c r="G213" s="29">
        <v>26.99</v>
      </c>
      <c r="H213" s="28" t="s">
        <v>2620</v>
      </c>
      <c r="I213" s="27" t="s">
        <v>75</v>
      </c>
      <c r="J213" s="31" t="s">
        <v>52</v>
      </c>
      <c r="K213" s="27" t="s">
        <v>70</v>
      </c>
      <c r="L213" s="27" t="s">
        <v>250</v>
      </c>
      <c r="M213" s="32" t="str">
        <f>HYPERLINK("http://slimages.macys.com/is/image/MCY/3666154 ")</f>
        <v xml:space="preserve">http://slimages.macys.com/is/image/MCY/3666154 </v>
      </c>
    </row>
    <row r="214" spans="1:13" ht="15.2" customHeight="1" x14ac:dyDescent="0.2">
      <c r="A214" s="26" t="s">
        <v>10244</v>
      </c>
      <c r="B214" s="27" t="s">
        <v>10245</v>
      </c>
      <c r="C214" s="28">
        <v>2</v>
      </c>
      <c r="D214" s="29">
        <v>10.5</v>
      </c>
      <c r="E214" s="29">
        <v>21</v>
      </c>
      <c r="F214" s="30">
        <v>22.99</v>
      </c>
      <c r="G214" s="29">
        <v>45.98</v>
      </c>
      <c r="H214" s="28">
        <v>60444926</v>
      </c>
      <c r="I214" s="27" t="s">
        <v>33</v>
      </c>
      <c r="J214" s="31" t="s">
        <v>21</v>
      </c>
      <c r="K214" s="27" t="s">
        <v>208</v>
      </c>
      <c r="L214" s="27" t="s">
        <v>255</v>
      </c>
      <c r="M214" s="32" t="str">
        <f>HYPERLINK("http://slimages.macys.com/is/image/MCY/3834604 ")</f>
        <v xml:space="preserve">http://slimages.macys.com/is/image/MCY/3834604 </v>
      </c>
    </row>
    <row r="215" spans="1:13" ht="15.2" customHeight="1" x14ac:dyDescent="0.2">
      <c r="A215" s="26" t="s">
        <v>10080</v>
      </c>
      <c r="B215" s="27" t="s">
        <v>10081</v>
      </c>
      <c r="C215" s="28">
        <v>1</v>
      </c>
      <c r="D215" s="29">
        <v>10.5</v>
      </c>
      <c r="E215" s="29">
        <v>10.5</v>
      </c>
      <c r="F215" s="30">
        <v>25.99</v>
      </c>
      <c r="G215" s="29">
        <v>25.99</v>
      </c>
      <c r="H215" s="28" t="s">
        <v>1305</v>
      </c>
      <c r="I215" s="27" t="s">
        <v>207</v>
      </c>
      <c r="J215" s="31" t="s">
        <v>210</v>
      </c>
      <c r="K215" s="27" t="s">
        <v>200</v>
      </c>
      <c r="L215" s="27" t="s">
        <v>133</v>
      </c>
      <c r="M215" s="32" t="str">
        <f>HYPERLINK("http://slimages.macys.com/is/image/MCY/3773860 ")</f>
        <v xml:space="preserve">http://slimages.macys.com/is/image/MCY/3773860 </v>
      </c>
    </row>
    <row r="216" spans="1:13" ht="15.2" customHeight="1" x14ac:dyDescent="0.2">
      <c r="A216" s="26" t="s">
        <v>8390</v>
      </c>
      <c r="B216" s="27" t="s">
        <v>8391</v>
      </c>
      <c r="C216" s="28">
        <v>1</v>
      </c>
      <c r="D216" s="29">
        <v>10.5</v>
      </c>
      <c r="E216" s="29">
        <v>10.5</v>
      </c>
      <c r="F216" s="30">
        <v>25.99</v>
      </c>
      <c r="G216" s="29">
        <v>25.99</v>
      </c>
      <c r="H216" s="28" t="s">
        <v>1305</v>
      </c>
      <c r="I216" s="27" t="s">
        <v>207</v>
      </c>
      <c r="J216" s="31" t="s">
        <v>5423</v>
      </c>
      <c r="K216" s="27" t="s">
        <v>200</v>
      </c>
      <c r="L216" s="27" t="s">
        <v>133</v>
      </c>
      <c r="M216" s="32" t="str">
        <f>HYPERLINK("http://slimages.macys.com/is/image/MCY/3773860 ")</f>
        <v xml:space="preserve">http://slimages.macys.com/is/image/MCY/3773860 </v>
      </c>
    </row>
    <row r="217" spans="1:13" ht="15.2" customHeight="1" x14ac:dyDescent="0.2">
      <c r="A217" s="26" t="s">
        <v>10527</v>
      </c>
      <c r="B217" s="27" t="s">
        <v>10528</v>
      </c>
      <c r="C217" s="28">
        <v>1</v>
      </c>
      <c r="D217" s="29">
        <v>10.5</v>
      </c>
      <c r="E217" s="29">
        <v>10.5</v>
      </c>
      <c r="F217" s="30">
        <v>24.99</v>
      </c>
      <c r="G217" s="29">
        <v>24.99</v>
      </c>
      <c r="H217" s="28" t="s">
        <v>1314</v>
      </c>
      <c r="I217" s="27" t="s">
        <v>103</v>
      </c>
      <c r="J217" s="31" t="s">
        <v>71</v>
      </c>
      <c r="K217" s="27" t="s">
        <v>159</v>
      </c>
      <c r="L217" s="27" t="s">
        <v>160</v>
      </c>
      <c r="M217" s="32" t="str">
        <f>HYPERLINK("http://slimages.macys.com/is/image/MCY/3743320 ")</f>
        <v xml:space="preserve">http://slimages.macys.com/is/image/MCY/3743320 </v>
      </c>
    </row>
    <row r="218" spans="1:13" ht="15.2" customHeight="1" x14ac:dyDescent="0.2">
      <c r="A218" s="26" t="s">
        <v>8392</v>
      </c>
      <c r="B218" s="27" t="s">
        <v>8393</v>
      </c>
      <c r="C218" s="28">
        <v>1</v>
      </c>
      <c r="D218" s="29">
        <v>10.45</v>
      </c>
      <c r="E218" s="29">
        <v>10.45</v>
      </c>
      <c r="F218" s="30">
        <v>24.99</v>
      </c>
      <c r="G218" s="29">
        <v>24.99</v>
      </c>
      <c r="H218" s="28" t="s">
        <v>8394</v>
      </c>
      <c r="I218" s="27" t="s">
        <v>291</v>
      </c>
      <c r="J218" s="31" t="s">
        <v>52</v>
      </c>
      <c r="K218" s="27" t="s">
        <v>159</v>
      </c>
      <c r="L218" s="27" t="s">
        <v>160</v>
      </c>
      <c r="M218" s="32" t="str">
        <f>HYPERLINK("http://slimages.macys.com/is/image/MCY/3794616 ")</f>
        <v xml:space="preserve">http://slimages.macys.com/is/image/MCY/3794616 </v>
      </c>
    </row>
    <row r="219" spans="1:13" ht="15.2" customHeight="1" x14ac:dyDescent="0.2">
      <c r="A219" s="26" t="s">
        <v>9427</v>
      </c>
      <c r="B219" s="27" t="s">
        <v>9428</v>
      </c>
      <c r="C219" s="28">
        <v>1</v>
      </c>
      <c r="D219" s="29">
        <v>10.199999999999999</v>
      </c>
      <c r="E219" s="29">
        <v>10.199999999999999</v>
      </c>
      <c r="F219" s="30">
        <v>22.99</v>
      </c>
      <c r="G219" s="29">
        <v>22.99</v>
      </c>
      <c r="H219" s="28" t="s">
        <v>8300</v>
      </c>
      <c r="I219" s="27" t="s">
        <v>4</v>
      </c>
      <c r="J219" s="31" t="s">
        <v>40</v>
      </c>
      <c r="K219" s="27" t="s">
        <v>208</v>
      </c>
      <c r="L219" s="27" t="s">
        <v>197</v>
      </c>
      <c r="M219" s="32" t="str">
        <f>HYPERLINK("http://slimages.macys.com/is/image/MCY/3752197 ")</f>
        <v xml:space="preserve">http://slimages.macys.com/is/image/MCY/3752197 </v>
      </c>
    </row>
    <row r="220" spans="1:13" ht="15.2" customHeight="1" x14ac:dyDescent="0.2">
      <c r="A220" s="26" t="s">
        <v>7397</v>
      </c>
      <c r="B220" s="27" t="s">
        <v>7398</v>
      </c>
      <c r="C220" s="28">
        <v>1</v>
      </c>
      <c r="D220" s="29">
        <v>10</v>
      </c>
      <c r="E220" s="29">
        <v>10</v>
      </c>
      <c r="F220" s="30">
        <v>27.99</v>
      </c>
      <c r="G220" s="29">
        <v>27.99</v>
      </c>
      <c r="H220" s="28" t="s">
        <v>279</v>
      </c>
      <c r="I220" s="27" t="s">
        <v>274</v>
      </c>
      <c r="J220" s="31" t="s">
        <v>5</v>
      </c>
      <c r="K220" s="27" t="s">
        <v>224</v>
      </c>
      <c r="L220" s="27" t="s">
        <v>237</v>
      </c>
      <c r="M220" s="32" t="str">
        <f>HYPERLINK("http://slimages.macys.com/is/image/MCY/3820976 ")</f>
        <v xml:space="preserve">http://slimages.macys.com/is/image/MCY/3820976 </v>
      </c>
    </row>
    <row r="221" spans="1:13" ht="15.2" customHeight="1" x14ac:dyDescent="0.2">
      <c r="A221" s="26" t="s">
        <v>8627</v>
      </c>
      <c r="B221" s="27" t="s">
        <v>8628</v>
      </c>
      <c r="C221" s="28">
        <v>1</v>
      </c>
      <c r="D221" s="29">
        <v>10</v>
      </c>
      <c r="E221" s="29">
        <v>10</v>
      </c>
      <c r="F221" s="30">
        <v>27.99</v>
      </c>
      <c r="G221" s="29">
        <v>27.99</v>
      </c>
      <c r="H221" s="28" t="s">
        <v>279</v>
      </c>
      <c r="I221" s="27" t="s">
        <v>4</v>
      </c>
      <c r="J221" s="31" t="s">
        <v>52</v>
      </c>
      <c r="K221" s="27" t="s">
        <v>224</v>
      </c>
      <c r="L221" s="27" t="s">
        <v>237</v>
      </c>
      <c r="M221" s="32" t="str">
        <f>HYPERLINK("http://slimages.macys.com/is/image/MCY/3820977 ")</f>
        <v xml:space="preserve">http://slimages.macys.com/is/image/MCY/3820977 </v>
      </c>
    </row>
    <row r="222" spans="1:13" ht="15.2" customHeight="1" x14ac:dyDescent="0.2">
      <c r="A222" s="26" t="s">
        <v>2218</v>
      </c>
      <c r="B222" s="27" t="s">
        <v>2219</v>
      </c>
      <c r="C222" s="28">
        <v>1</v>
      </c>
      <c r="D222" s="29">
        <v>10</v>
      </c>
      <c r="E222" s="29">
        <v>10</v>
      </c>
      <c r="F222" s="30">
        <v>24.99</v>
      </c>
      <c r="G222" s="29">
        <v>24.99</v>
      </c>
      <c r="H222" s="28">
        <v>59817</v>
      </c>
      <c r="I222" s="27"/>
      <c r="J222" s="31" t="s">
        <v>40</v>
      </c>
      <c r="K222" s="27" t="s">
        <v>224</v>
      </c>
      <c r="L222" s="27" t="s">
        <v>254</v>
      </c>
      <c r="M222" s="32" t="str">
        <f>HYPERLINK("http://slimages.macys.com/is/image/MCY/3827474 ")</f>
        <v xml:space="preserve">http://slimages.macys.com/is/image/MCY/3827474 </v>
      </c>
    </row>
    <row r="223" spans="1:13" ht="15.2" customHeight="1" x14ac:dyDescent="0.2">
      <c r="A223" s="26" t="s">
        <v>8449</v>
      </c>
      <c r="B223" s="27" t="s">
        <v>8450</v>
      </c>
      <c r="C223" s="28">
        <v>2</v>
      </c>
      <c r="D223" s="29">
        <v>9.75</v>
      </c>
      <c r="E223" s="29">
        <v>19.5</v>
      </c>
      <c r="F223" s="30">
        <v>19.989999999999998</v>
      </c>
      <c r="G223" s="29">
        <v>39.979999999999997</v>
      </c>
      <c r="H223" s="28" t="s">
        <v>2632</v>
      </c>
      <c r="I223" s="27" t="s">
        <v>75</v>
      </c>
      <c r="J223" s="31" t="s">
        <v>21</v>
      </c>
      <c r="K223" s="27" t="s">
        <v>196</v>
      </c>
      <c r="L223" s="27" t="s">
        <v>256</v>
      </c>
      <c r="M223" s="32" t="str">
        <f>HYPERLINK("http://slimages.macys.com/is/image/MCY/3755166 ")</f>
        <v xml:space="preserve">http://slimages.macys.com/is/image/MCY/3755166 </v>
      </c>
    </row>
    <row r="224" spans="1:13" ht="15.2" customHeight="1" x14ac:dyDescent="0.2">
      <c r="A224" s="26" t="s">
        <v>5436</v>
      </c>
      <c r="B224" s="27" t="s">
        <v>5437</v>
      </c>
      <c r="C224" s="28">
        <v>1</v>
      </c>
      <c r="D224" s="29">
        <v>9.75</v>
      </c>
      <c r="E224" s="29">
        <v>9.75</v>
      </c>
      <c r="F224" s="30">
        <v>24.99</v>
      </c>
      <c r="G224" s="29">
        <v>24.99</v>
      </c>
      <c r="H224" s="28" t="s">
        <v>2919</v>
      </c>
      <c r="I224" s="27" t="s">
        <v>383</v>
      </c>
      <c r="J224" s="31" t="s">
        <v>21</v>
      </c>
      <c r="K224" s="27" t="s">
        <v>224</v>
      </c>
      <c r="L224" s="27" t="s">
        <v>197</v>
      </c>
      <c r="M224" s="32" t="str">
        <f>HYPERLINK("http://slimages.macys.com/is/image/MCY/3820960 ")</f>
        <v xml:space="preserve">http://slimages.macys.com/is/image/MCY/3820960 </v>
      </c>
    </row>
    <row r="225" spans="1:13" ht="15.2" customHeight="1" x14ac:dyDescent="0.2">
      <c r="A225" s="26" t="s">
        <v>10529</v>
      </c>
      <c r="B225" s="27" t="s">
        <v>10530</v>
      </c>
      <c r="C225" s="28">
        <v>1</v>
      </c>
      <c r="D225" s="29">
        <v>9.65</v>
      </c>
      <c r="E225" s="29">
        <v>9.65</v>
      </c>
      <c r="F225" s="30">
        <v>27.99</v>
      </c>
      <c r="G225" s="29">
        <v>27.99</v>
      </c>
      <c r="H225" s="28" t="s">
        <v>279</v>
      </c>
      <c r="I225" s="27" t="s">
        <v>280</v>
      </c>
      <c r="J225" s="31" t="s">
        <v>71</v>
      </c>
      <c r="K225" s="27" t="s">
        <v>224</v>
      </c>
      <c r="L225" s="27" t="s">
        <v>237</v>
      </c>
      <c r="M225" s="32" t="str">
        <f>HYPERLINK("http://slimages.macys.com/is/image/MCY/3820978 ")</f>
        <v xml:space="preserve">http://slimages.macys.com/is/image/MCY/3820978 </v>
      </c>
    </row>
    <row r="226" spans="1:13" ht="15.2" customHeight="1" x14ac:dyDescent="0.2">
      <c r="A226" s="26" t="s">
        <v>2926</v>
      </c>
      <c r="B226" s="27" t="s">
        <v>2927</v>
      </c>
      <c r="C226" s="28">
        <v>1</v>
      </c>
      <c r="D226" s="29">
        <v>9.5</v>
      </c>
      <c r="E226" s="29">
        <v>9.5</v>
      </c>
      <c r="F226" s="30">
        <v>24.99</v>
      </c>
      <c r="G226" s="29">
        <v>24.99</v>
      </c>
      <c r="H226" s="28" t="s">
        <v>288</v>
      </c>
      <c r="I226" s="27"/>
      <c r="J226" s="31" t="s">
        <v>40</v>
      </c>
      <c r="K226" s="27" t="s">
        <v>224</v>
      </c>
      <c r="L226" s="27" t="s">
        <v>239</v>
      </c>
      <c r="M226" s="32" t="str">
        <f>HYPERLINK("http://slimages.macys.com/is/image/MCY/3719840 ")</f>
        <v xml:space="preserve">http://slimages.macys.com/is/image/MCY/3719840 </v>
      </c>
    </row>
    <row r="227" spans="1:13" ht="15.2" customHeight="1" x14ac:dyDescent="0.2">
      <c r="A227" s="26" t="s">
        <v>2922</v>
      </c>
      <c r="B227" s="27" t="s">
        <v>2923</v>
      </c>
      <c r="C227" s="28">
        <v>1</v>
      </c>
      <c r="D227" s="29">
        <v>9.5</v>
      </c>
      <c r="E227" s="29">
        <v>9.5</v>
      </c>
      <c r="F227" s="30">
        <v>24.99</v>
      </c>
      <c r="G227" s="29">
        <v>24.99</v>
      </c>
      <c r="H227" s="28" t="s">
        <v>288</v>
      </c>
      <c r="I227" s="27" t="s">
        <v>1</v>
      </c>
      <c r="J227" s="31" t="s">
        <v>21</v>
      </c>
      <c r="K227" s="27" t="s">
        <v>224</v>
      </c>
      <c r="L227" s="27" t="s">
        <v>239</v>
      </c>
      <c r="M227" s="32" t="str">
        <f>HYPERLINK("http://slimages.macys.com/is/image/MCY/3719840 ")</f>
        <v xml:space="preserve">http://slimages.macys.com/is/image/MCY/3719840 </v>
      </c>
    </row>
    <row r="228" spans="1:13" ht="15.2" customHeight="1" x14ac:dyDescent="0.2">
      <c r="A228" s="26" t="s">
        <v>10531</v>
      </c>
      <c r="B228" s="27" t="s">
        <v>10532</v>
      </c>
      <c r="C228" s="28">
        <v>1</v>
      </c>
      <c r="D228" s="29">
        <v>9.5</v>
      </c>
      <c r="E228" s="29">
        <v>9.5</v>
      </c>
      <c r="F228" s="30">
        <v>19.989999999999998</v>
      </c>
      <c r="G228" s="29">
        <v>19.989999999999998</v>
      </c>
      <c r="H228" s="28" t="s">
        <v>281</v>
      </c>
      <c r="I228" s="27" t="s">
        <v>26</v>
      </c>
      <c r="J228" s="31" t="s">
        <v>5</v>
      </c>
      <c r="K228" s="27" t="s">
        <v>282</v>
      </c>
      <c r="L228" s="27" t="s">
        <v>283</v>
      </c>
      <c r="M228" s="32" t="str">
        <f>HYPERLINK("http://slimages.macys.com/is/image/MCY/3875955 ")</f>
        <v xml:space="preserve">http://slimages.macys.com/is/image/MCY/3875955 </v>
      </c>
    </row>
    <row r="229" spans="1:13" ht="15.2" customHeight="1" x14ac:dyDescent="0.2">
      <c r="A229" s="26" t="s">
        <v>10533</v>
      </c>
      <c r="B229" s="27" t="s">
        <v>10534</v>
      </c>
      <c r="C229" s="28">
        <v>1</v>
      </c>
      <c r="D229" s="29">
        <v>9.5</v>
      </c>
      <c r="E229" s="29">
        <v>9.5</v>
      </c>
      <c r="F229" s="30">
        <v>22.99</v>
      </c>
      <c r="G229" s="29">
        <v>22.99</v>
      </c>
      <c r="H229" s="28" t="s">
        <v>286</v>
      </c>
      <c r="I229" s="27" t="s">
        <v>189</v>
      </c>
      <c r="J229" s="31" t="s">
        <v>21</v>
      </c>
      <c r="K229" s="27" t="s">
        <v>200</v>
      </c>
      <c r="L229" s="27" t="s">
        <v>133</v>
      </c>
      <c r="M229" s="32" t="str">
        <f>HYPERLINK("http://slimages.macys.com/is/image/MCY/3773700 ")</f>
        <v xml:space="preserve">http://slimages.macys.com/is/image/MCY/3773700 </v>
      </c>
    </row>
    <row r="230" spans="1:13" ht="15.2" customHeight="1" x14ac:dyDescent="0.2">
      <c r="A230" s="26" t="s">
        <v>10535</v>
      </c>
      <c r="B230" s="27" t="s">
        <v>10536</v>
      </c>
      <c r="C230" s="28">
        <v>2</v>
      </c>
      <c r="D230" s="29">
        <v>9.4499999999999993</v>
      </c>
      <c r="E230" s="29">
        <v>18.899999999999999</v>
      </c>
      <c r="F230" s="30">
        <v>24.99</v>
      </c>
      <c r="G230" s="29">
        <v>49.98</v>
      </c>
      <c r="H230" s="28" t="s">
        <v>10251</v>
      </c>
      <c r="I230" s="27" t="s">
        <v>1</v>
      </c>
      <c r="J230" s="31" t="s">
        <v>40</v>
      </c>
      <c r="K230" s="27" t="s">
        <v>224</v>
      </c>
      <c r="L230" s="27" t="s">
        <v>237</v>
      </c>
      <c r="M230" s="32" t="str">
        <f>HYPERLINK("http://slimages.macys.com/is/image/MCY/3787628 ")</f>
        <v xml:space="preserve">http://slimages.macys.com/is/image/MCY/3787628 </v>
      </c>
    </row>
    <row r="231" spans="1:13" ht="15.2" customHeight="1" x14ac:dyDescent="0.2">
      <c r="A231" s="26" t="s">
        <v>10537</v>
      </c>
      <c r="B231" s="27" t="s">
        <v>10538</v>
      </c>
      <c r="C231" s="28">
        <v>1</v>
      </c>
      <c r="D231" s="29">
        <v>9.4499999999999993</v>
      </c>
      <c r="E231" s="29">
        <v>9.4499999999999993</v>
      </c>
      <c r="F231" s="30">
        <v>24.99</v>
      </c>
      <c r="G231" s="29">
        <v>24.99</v>
      </c>
      <c r="H231" s="28" t="s">
        <v>10251</v>
      </c>
      <c r="I231" s="27" t="s">
        <v>49</v>
      </c>
      <c r="J231" s="31" t="s">
        <v>52</v>
      </c>
      <c r="K231" s="27" t="s">
        <v>224</v>
      </c>
      <c r="L231" s="27" t="s">
        <v>237</v>
      </c>
      <c r="M231" s="32" t="str">
        <f>HYPERLINK("http://slimages.macys.com/is/image/MCY/3787628 ")</f>
        <v xml:space="preserve">http://slimages.macys.com/is/image/MCY/3787628 </v>
      </c>
    </row>
    <row r="232" spans="1:13" ht="15.2" customHeight="1" x14ac:dyDescent="0.2">
      <c r="A232" s="26" t="s">
        <v>9142</v>
      </c>
      <c r="B232" s="27" t="s">
        <v>9143</v>
      </c>
      <c r="C232" s="28">
        <v>1</v>
      </c>
      <c r="D232" s="29">
        <v>9.25</v>
      </c>
      <c r="E232" s="29">
        <v>9.25</v>
      </c>
      <c r="F232" s="30">
        <v>19.989999999999998</v>
      </c>
      <c r="G232" s="29">
        <v>19.989999999999998</v>
      </c>
      <c r="H232" s="28" t="s">
        <v>7555</v>
      </c>
      <c r="I232" s="27" t="s">
        <v>215</v>
      </c>
      <c r="J232" s="31" t="s">
        <v>52</v>
      </c>
      <c r="K232" s="27" t="s">
        <v>282</v>
      </c>
      <c r="L232" s="27" t="s">
        <v>283</v>
      </c>
      <c r="M232" s="32" t="str">
        <f>HYPERLINK("http://slimages.macys.com/is/image/MCY/3832893 ")</f>
        <v xml:space="preserve">http://slimages.macys.com/is/image/MCY/3832893 </v>
      </c>
    </row>
    <row r="233" spans="1:13" ht="15.2" customHeight="1" x14ac:dyDescent="0.2">
      <c r="A233" s="26" t="s">
        <v>8409</v>
      </c>
      <c r="B233" s="27" t="s">
        <v>8410</v>
      </c>
      <c r="C233" s="28">
        <v>2</v>
      </c>
      <c r="D233" s="29">
        <v>9.25</v>
      </c>
      <c r="E233" s="29">
        <v>18.5</v>
      </c>
      <c r="F233" s="30">
        <v>19.989999999999998</v>
      </c>
      <c r="G233" s="29">
        <v>39.979999999999997</v>
      </c>
      <c r="H233" s="28" t="s">
        <v>805</v>
      </c>
      <c r="I233" s="27" t="s">
        <v>4</v>
      </c>
      <c r="J233" s="31" t="s">
        <v>40</v>
      </c>
      <c r="K233" s="27" t="s">
        <v>282</v>
      </c>
      <c r="L233" s="27" t="s">
        <v>283</v>
      </c>
      <c r="M233" s="32" t="str">
        <f>HYPERLINK("http://slimages.macys.com/is/image/MCY/3875953 ")</f>
        <v xml:space="preserve">http://slimages.macys.com/is/image/MCY/3875953 </v>
      </c>
    </row>
    <row r="234" spans="1:13" ht="15.2" customHeight="1" x14ac:dyDescent="0.2">
      <c r="A234" s="26" t="s">
        <v>8650</v>
      </c>
      <c r="B234" s="27" t="s">
        <v>8651</v>
      </c>
      <c r="C234" s="28">
        <v>1</v>
      </c>
      <c r="D234" s="29">
        <v>9.25</v>
      </c>
      <c r="E234" s="29">
        <v>9.25</v>
      </c>
      <c r="F234" s="30">
        <v>19.989999999999998</v>
      </c>
      <c r="G234" s="29">
        <v>19.989999999999998</v>
      </c>
      <c r="H234" s="28" t="s">
        <v>7555</v>
      </c>
      <c r="I234" s="27" t="s">
        <v>215</v>
      </c>
      <c r="J234" s="31" t="s">
        <v>71</v>
      </c>
      <c r="K234" s="27" t="s">
        <v>282</v>
      </c>
      <c r="L234" s="27" t="s">
        <v>283</v>
      </c>
      <c r="M234" s="32" t="str">
        <f>HYPERLINK("http://slimages.macys.com/is/image/MCY/3832893 ")</f>
        <v xml:space="preserve">http://slimages.macys.com/is/image/MCY/3832893 </v>
      </c>
    </row>
    <row r="235" spans="1:13" ht="15.2" customHeight="1" x14ac:dyDescent="0.2">
      <c r="A235" s="26" t="s">
        <v>806</v>
      </c>
      <c r="B235" s="27" t="s">
        <v>807</v>
      </c>
      <c r="C235" s="28">
        <v>1</v>
      </c>
      <c r="D235" s="29">
        <v>9.25</v>
      </c>
      <c r="E235" s="29">
        <v>9.25</v>
      </c>
      <c r="F235" s="30">
        <v>19.989999999999998</v>
      </c>
      <c r="G235" s="29">
        <v>19.989999999999998</v>
      </c>
      <c r="H235" s="28" t="s">
        <v>808</v>
      </c>
      <c r="I235" s="27" t="s">
        <v>4</v>
      </c>
      <c r="J235" s="31" t="s">
        <v>5</v>
      </c>
      <c r="K235" s="27" t="s">
        <v>282</v>
      </c>
      <c r="L235" s="27" t="s">
        <v>283</v>
      </c>
      <c r="M235" s="32" t="str">
        <f>HYPERLINK("http://slimages.macys.com/is/image/MCY/3835617 ")</f>
        <v xml:space="preserve">http://slimages.macys.com/is/image/MCY/3835617 </v>
      </c>
    </row>
    <row r="236" spans="1:13" ht="15.2" customHeight="1" x14ac:dyDescent="0.2">
      <c r="A236" s="26" t="s">
        <v>7553</v>
      </c>
      <c r="B236" s="27" t="s">
        <v>7554</v>
      </c>
      <c r="C236" s="28">
        <v>1</v>
      </c>
      <c r="D236" s="29">
        <v>9.25</v>
      </c>
      <c r="E236" s="29">
        <v>9.25</v>
      </c>
      <c r="F236" s="30">
        <v>19.989999999999998</v>
      </c>
      <c r="G236" s="29">
        <v>19.989999999999998</v>
      </c>
      <c r="H236" s="28" t="s">
        <v>7555</v>
      </c>
      <c r="I236" s="27" t="s">
        <v>215</v>
      </c>
      <c r="J236" s="31" t="s">
        <v>5</v>
      </c>
      <c r="K236" s="27" t="s">
        <v>282</v>
      </c>
      <c r="L236" s="27" t="s">
        <v>283</v>
      </c>
      <c r="M236" s="32" t="str">
        <f>HYPERLINK("http://slimages.macys.com/is/image/MCY/3832893 ")</f>
        <v xml:space="preserve">http://slimages.macys.com/is/image/MCY/3832893 </v>
      </c>
    </row>
    <row r="237" spans="1:13" ht="15.2" customHeight="1" x14ac:dyDescent="0.2">
      <c r="A237" s="26" t="s">
        <v>8652</v>
      </c>
      <c r="B237" s="27" t="s">
        <v>8653</v>
      </c>
      <c r="C237" s="28">
        <v>1</v>
      </c>
      <c r="D237" s="29">
        <v>9.25</v>
      </c>
      <c r="E237" s="29">
        <v>9.25</v>
      </c>
      <c r="F237" s="30">
        <v>19.989999999999998</v>
      </c>
      <c r="G237" s="29">
        <v>19.989999999999998</v>
      </c>
      <c r="H237" s="28" t="s">
        <v>7555</v>
      </c>
      <c r="I237" s="27" t="s">
        <v>215</v>
      </c>
      <c r="J237" s="31" t="s">
        <v>40</v>
      </c>
      <c r="K237" s="27" t="s">
        <v>282</v>
      </c>
      <c r="L237" s="27" t="s">
        <v>283</v>
      </c>
      <c r="M237" s="32" t="str">
        <f>HYPERLINK("http://slimages.macys.com/is/image/MCY/3832893 ")</f>
        <v xml:space="preserve">http://slimages.macys.com/is/image/MCY/3832893 </v>
      </c>
    </row>
    <row r="238" spans="1:13" ht="15.2" customHeight="1" x14ac:dyDescent="0.2">
      <c r="A238" s="26" t="s">
        <v>10539</v>
      </c>
      <c r="B238" s="27" t="s">
        <v>10540</v>
      </c>
      <c r="C238" s="28">
        <v>1</v>
      </c>
      <c r="D238" s="29">
        <v>9.1999999999999993</v>
      </c>
      <c r="E238" s="29">
        <v>9.1999999999999993</v>
      </c>
      <c r="F238" s="30">
        <v>21.99</v>
      </c>
      <c r="G238" s="29">
        <v>21.99</v>
      </c>
      <c r="H238" s="28" t="s">
        <v>5082</v>
      </c>
      <c r="I238" s="27" t="s">
        <v>333</v>
      </c>
      <c r="J238" s="31" t="s">
        <v>52</v>
      </c>
      <c r="K238" s="27" t="s">
        <v>159</v>
      </c>
      <c r="L238" s="27" t="s">
        <v>160</v>
      </c>
      <c r="M238" s="32" t="str">
        <f>HYPERLINK("http://slimages.macys.com/is/image/MCY/3664653 ")</f>
        <v xml:space="preserve">http://slimages.macys.com/is/image/MCY/3664653 </v>
      </c>
    </row>
    <row r="239" spans="1:13" ht="15.2" customHeight="1" x14ac:dyDescent="0.2">
      <c r="A239" s="26" t="s">
        <v>7040</v>
      </c>
      <c r="B239" s="27" t="s">
        <v>7041</v>
      </c>
      <c r="C239" s="28">
        <v>2</v>
      </c>
      <c r="D239" s="29">
        <v>9.1</v>
      </c>
      <c r="E239" s="29">
        <v>18.2</v>
      </c>
      <c r="F239" s="30">
        <v>19.989999999999998</v>
      </c>
      <c r="G239" s="29">
        <v>39.979999999999997</v>
      </c>
      <c r="H239" s="28" t="s">
        <v>305</v>
      </c>
      <c r="I239" s="27" t="s">
        <v>306</v>
      </c>
      <c r="J239" s="31" t="s">
        <v>40</v>
      </c>
      <c r="K239" s="27" t="s">
        <v>224</v>
      </c>
      <c r="L239" s="27" t="s">
        <v>276</v>
      </c>
      <c r="M239" s="32" t="str">
        <f>HYPERLINK("http://slimages.macys.com/is/image/MCY/3821780 ")</f>
        <v xml:space="preserve">http://slimages.macys.com/is/image/MCY/3821780 </v>
      </c>
    </row>
    <row r="240" spans="1:13" ht="15.2" customHeight="1" x14ac:dyDescent="0.2">
      <c r="A240" s="26" t="s">
        <v>307</v>
      </c>
      <c r="B240" s="27" t="s">
        <v>308</v>
      </c>
      <c r="C240" s="28">
        <v>1</v>
      </c>
      <c r="D240" s="29">
        <v>9.1</v>
      </c>
      <c r="E240" s="29">
        <v>9.1</v>
      </c>
      <c r="F240" s="30">
        <v>19.989999999999998</v>
      </c>
      <c r="G240" s="29">
        <v>19.989999999999998</v>
      </c>
      <c r="H240" s="28" t="s">
        <v>305</v>
      </c>
      <c r="I240" s="27" t="s">
        <v>189</v>
      </c>
      <c r="J240" s="31" t="s">
        <v>71</v>
      </c>
      <c r="K240" s="27" t="s">
        <v>224</v>
      </c>
      <c r="L240" s="27" t="s">
        <v>276</v>
      </c>
      <c r="M240" s="32" t="str">
        <f>HYPERLINK("http://slimages.macys.com/is/image/MCY/3820952 ")</f>
        <v xml:space="preserve">http://slimages.macys.com/is/image/MCY/3820952 </v>
      </c>
    </row>
    <row r="241" spans="1:13" ht="15.2" customHeight="1" x14ac:dyDescent="0.2">
      <c r="A241" s="26" t="s">
        <v>10324</v>
      </c>
      <c r="B241" s="27" t="s">
        <v>10325</v>
      </c>
      <c r="C241" s="28">
        <v>1</v>
      </c>
      <c r="D241" s="29">
        <v>8.9</v>
      </c>
      <c r="E241" s="29">
        <v>8.9</v>
      </c>
      <c r="F241" s="30">
        <v>19.989999999999998</v>
      </c>
      <c r="G241" s="29">
        <v>19.989999999999998</v>
      </c>
      <c r="H241" s="28" t="s">
        <v>8529</v>
      </c>
      <c r="I241" s="27" t="s">
        <v>66</v>
      </c>
      <c r="J241" s="31" t="s">
        <v>5</v>
      </c>
      <c r="K241" s="27" t="s">
        <v>224</v>
      </c>
      <c r="L241" s="27" t="s">
        <v>276</v>
      </c>
      <c r="M241" s="32" t="str">
        <f>HYPERLINK("http://slimages.macys.com/is/image/MCY/3829985 ")</f>
        <v xml:space="preserve">http://slimages.macys.com/is/image/MCY/3829985 </v>
      </c>
    </row>
    <row r="242" spans="1:13" ht="15.2" customHeight="1" x14ac:dyDescent="0.2">
      <c r="A242" s="26" t="s">
        <v>10541</v>
      </c>
      <c r="B242" s="27" t="s">
        <v>10542</v>
      </c>
      <c r="C242" s="28">
        <v>1</v>
      </c>
      <c r="D242" s="29">
        <v>8.9</v>
      </c>
      <c r="E242" s="29">
        <v>8.9</v>
      </c>
      <c r="F242" s="30">
        <v>19.989999999999998</v>
      </c>
      <c r="G242" s="29">
        <v>19.989999999999998</v>
      </c>
      <c r="H242" s="28" t="s">
        <v>5438</v>
      </c>
      <c r="I242" s="27" t="s">
        <v>4</v>
      </c>
      <c r="J242" s="31" t="s">
        <v>71</v>
      </c>
      <c r="K242" s="27" t="s">
        <v>224</v>
      </c>
      <c r="L242" s="27" t="s">
        <v>239</v>
      </c>
      <c r="M242" s="32" t="str">
        <f>HYPERLINK("http://slimages.macys.com/is/image/MCY/3832923 ")</f>
        <v xml:space="preserve">http://slimages.macys.com/is/image/MCY/3832923 </v>
      </c>
    </row>
    <row r="243" spans="1:13" ht="15.2" customHeight="1" x14ac:dyDescent="0.2">
      <c r="A243" s="26" t="s">
        <v>10102</v>
      </c>
      <c r="B243" s="27" t="s">
        <v>10103</v>
      </c>
      <c r="C243" s="28">
        <v>1</v>
      </c>
      <c r="D243" s="29">
        <v>8.9</v>
      </c>
      <c r="E243" s="29">
        <v>8.9</v>
      </c>
      <c r="F243" s="30">
        <v>19.989999999999998</v>
      </c>
      <c r="G243" s="29">
        <v>19.989999999999998</v>
      </c>
      <c r="H243" s="28" t="s">
        <v>820</v>
      </c>
      <c r="I243" s="27" t="s">
        <v>33</v>
      </c>
      <c r="J243" s="31" t="s">
        <v>40</v>
      </c>
      <c r="K243" s="27" t="s">
        <v>196</v>
      </c>
      <c r="L243" s="27" t="s">
        <v>239</v>
      </c>
      <c r="M243" s="32" t="str">
        <f>HYPERLINK("http://slimages.macys.com/is/image/MCY/3890920 ")</f>
        <v xml:space="preserve">http://slimages.macys.com/is/image/MCY/3890920 </v>
      </c>
    </row>
    <row r="244" spans="1:13" ht="15.2" customHeight="1" x14ac:dyDescent="0.2">
      <c r="A244" s="26" t="s">
        <v>8530</v>
      </c>
      <c r="B244" s="27" t="s">
        <v>8531</v>
      </c>
      <c r="C244" s="28">
        <v>1</v>
      </c>
      <c r="D244" s="29">
        <v>8.9</v>
      </c>
      <c r="E244" s="29">
        <v>8.9</v>
      </c>
      <c r="F244" s="30">
        <v>19.989999999999998</v>
      </c>
      <c r="G244" s="29">
        <v>19.989999999999998</v>
      </c>
      <c r="H244" s="28" t="s">
        <v>1362</v>
      </c>
      <c r="I244" s="27" t="s">
        <v>4</v>
      </c>
      <c r="J244" s="31" t="s">
        <v>21</v>
      </c>
      <c r="K244" s="27" t="s">
        <v>224</v>
      </c>
      <c r="L244" s="27" t="s">
        <v>276</v>
      </c>
      <c r="M244" s="32" t="str">
        <f>HYPERLINK("http://slimages.macys.com/is/image/MCY/3814584 ")</f>
        <v xml:space="preserve">http://slimages.macys.com/is/image/MCY/3814584 </v>
      </c>
    </row>
    <row r="245" spans="1:13" ht="15.2" customHeight="1" x14ac:dyDescent="0.2">
      <c r="A245" s="26" t="s">
        <v>10543</v>
      </c>
      <c r="B245" s="27" t="s">
        <v>10544</v>
      </c>
      <c r="C245" s="28">
        <v>1</v>
      </c>
      <c r="D245" s="29">
        <v>8.8000000000000007</v>
      </c>
      <c r="E245" s="29">
        <v>8.8000000000000007</v>
      </c>
      <c r="F245" s="30">
        <v>24.5</v>
      </c>
      <c r="G245" s="29">
        <v>24.5</v>
      </c>
      <c r="H245" s="28" t="s">
        <v>10545</v>
      </c>
      <c r="I245" s="27"/>
      <c r="J245" s="31" t="s">
        <v>71</v>
      </c>
      <c r="K245" s="27" t="s">
        <v>159</v>
      </c>
      <c r="L245" s="27" t="s">
        <v>376</v>
      </c>
      <c r="M245" s="32" t="str">
        <f>HYPERLINK("http://slimages.macys.com/is/image/MCY/1987570 ")</f>
        <v xml:space="preserve">http://slimages.macys.com/is/image/MCY/1987570 </v>
      </c>
    </row>
    <row r="246" spans="1:13" ht="15.2" customHeight="1" x14ac:dyDescent="0.2">
      <c r="A246" s="26" t="s">
        <v>1381</v>
      </c>
      <c r="B246" s="27" t="s">
        <v>1382</v>
      </c>
      <c r="C246" s="28">
        <v>1</v>
      </c>
      <c r="D246" s="29">
        <v>8.5</v>
      </c>
      <c r="E246" s="29">
        <v>8.5</v>
      </c>
      <c r="F246" s="30">
        <v>22.99</v>
      </c>
      <c r="G246" s="29">
        <v>22.99</v>
      </c>
      <c r="H246" s="28" t="s">
        <v>1377</v>
      </c>
      <c r="I246" s="27" t="s">
        <v>59</v>
      </c>
      <c r="J246" s="31" t="s">
        <v>5</v>
      </c>
      <c r="K246" s="27" t="s">
        <v>200</v>
      </c>
      <c r="L246" s="27" t="s">
        <v>325</v>
      </c>
      <c r="M246" s="32" t="str">
        <f>HYPERLINK("http://slimages.macys.com/is/image/MCY/3937156 ")</f>
        <v xml:space="preserve">http://slimages.macys.com/is/image/MCY/3937156 </v>
      </c>
    </row>
    <row r="247" spans="1:13" ht="15.2" customHeight="1" x14ac:dyDescent="0.2">
      <c r="A247" s="26" t="s">
        <v>1378</v>
      </c>
      <c r="B247" s="27" t="s">
        <v>1379</v>
      </c>
      <c r="C247" s="28">
        <v>1</v>
      </c>
      <c r="D247" s="29">
        <v>8.5</v>
      </c>
      <c r="E247" s="29">
        <v>8.5</v>
      </c>
      <c r="F247" s="30">
        <v>22.99</v>
      </c>
      <c r="G247" s="29">
        <v>22.99</v>
      </c>
      <c r="H247" s="28" t="s">
        <v>1380</v>
      </c>
      <c r="I247" s="27" t="s">
        <v>4</v>
      </c>
      <c r="J247" s="31" t="s">
        <v>21</v>
      </c>
      <c r="K247" s="27" t="s">
        <v>200</v>
      </c>
      <c r="L247" s="27" t="s">
        <v>325</v>
      </c>
      <c r="M247" s="32" t="str">
        <f>HYPERLINK("http://slimages.macys.com/is/image/MCY/3937156 ")</f>
        <v xml:space="preserve">http://slimages.macys.com/is/image/MCY/3937156 </v>
      </c>
    </row>
    <row r="248" spans="1:13" ht="15.2" customHeight="1" x14ac:dyDescent="0.2">
      <c r="A248" s="26" t="s">
        <v>4763</v>
      </c>
      <c r="B248" s="27" t="s">
        <v>4764</v>
      </c>
      <c r="C248" s="28">
        <v>1</v>
      </c>
      <c r="D248" s="29">
        <v>8.5</v>
      </c>
      <c r="E248" s="29">
        <v>8.5</v>
      </c>
      <c r="F248" s="30">
        <v>19.989999999999998</v>
      </c>
      <c r="G248" s="29">
        <v>19.989999999999998</v>
      </c>
      <c r="H248" s="28" t="s">
        <v>321</v>
      </c>
      <c r="I248" s="27" t="s">
        <v>75</v>
      </c>
      <c r="J248" s="31" t="s">
        <v>40</v>
      </c>
      <c r="K248" s="27" t="s">
        <v>196</v>
      </c>
      <c r="L248" s="27" t="s">
        <v>322</v>
      </c>
      <c r="M248" s="32" t="str">
        <f>HYPERLINK("http://slimages.macys.com/is/image/MCY/3910788 ")</f>
        <v xml:space="preserve">http://slimages.macys.com/is/image/MCY/3910788 </v>
      </c>
    </row>
    <row r="249" spans="1:13" ht="15.2" customHeight="1" x14ac:dyDescent="0.2">
      <c r="A249" s="26" t="s">
        <v>2283</v>
      </c>
      <c r="B249" s="27" t="s">
        <v>2284</v>
      </c>
      <c r="C249" s="28">
        <v>1</v>
      </c>
      <c r="D249" s="29">
        <v>8.5</v>
      </c>
      <c r="E249" s="29">
        <v>8.5</v>
      </c>
      <c r="F249" s="30">
        <v>19.989999999999998</v>
      </c>
      <c r="G249" s="29">
        <v>19.989999999999998</v>
      </c>
      <c r="H249" s="28" t="s">
        <v>323</v>
      </c>
      <c r="I249" s="27" t="s">
        <v>189</v>
      </c>
      <c r="J249" s="31" t="s">
        <v>21</v>
      </c>
      <c r="K249" s="27" t="s">
        <v>196</v>
      </c>
      <c r="L249" s="27" t="s">
        <v>239</v>
      </c>
      <c r="M249" s="32" t="str">
        <f>HYPERLINK("http://slimages.macys.com/is/image/MCY/3890900 ")</f>
        <v xml:space="preserve">http://slimages.macys.com/is/image/MCY/3890900 </v>
      </c>
    </row>
    <row r="250" spans="1:13" ht="15.2" customHeight="1" x14ac:dyDescent="0.2">
      <c r="A250" s="26" t="s">
        <v>5444</v>
      </c>
      <c r="B250" s="27" t="s">
        <v>5445</v>
      </c>
      <c r="C250" s="28">
        <v>1</v>
      </c>
      <c r="D250" s="29">
        <v>8.5</v>
      </c>
      <c r="E250" s="29">
        <v>8.5</v>
      </c>
      <c r="F250" s="30">
        <v>19.989999999999998</v>
      </c>
      <c r="G250" s="29">
        <v>19.989999999999998</v>
      </c>
      <c r="H250" s="28" t="s">
        <v>334</v>
      </c>
      <c r="I250" s="27" t="s">
        <v>33</v>
      </c>
      <c r="J250" s="31" t="s">
        <v>52</v>
      </c>
      <c r="K250" s="27" t="s">
        <v>196</v>
      </c>
      <c r="L250" s="27" t="s">
        <v>239</v>
      </c>
      <c r="M250" s="32" t="str">
        <f>HYPERLINK("http://slimages.macys.com/is/image/MCY/3890886 ")</f>
        <v xml:space="preserve">http://slimages.macys.com/is/image/MCY/3890886 </v>
      </c>
    </row>
    <row r="251" spans="1:13" ht="15.2" customHeight="1" x14ac:dyDescent="0.2">
      <c r="A251" s="26" t="s">
        <v>4842</v>
      </c>
      <c r="B251" s="27" t="s">
        <v>4843</v>
      </c>
      <c r="C251" s="28">
        <v>1</v>
      </c>
      <c r="D251" s="29">
        <v>8.5</v>
      </c>
      <c r="E251" s="29">
        <v>8.5</v>
      </c>
      <c r="F251" s="30">
        <v>22.99</v>
      </c>
      <c r="G251" s="29">
        <v>22.99</v>
      </c>
      <c r="H251" s="28" t="s">
        <v>1380</v>
      </c>
      <c r="I251" s="27" t="s">
        <v>4</v>
      </c>
      <c r="J251" s="31" t="s">
        <v>5</v>
      </c>
      <c r="K251" s="27" t="s">
        <v>200</v>
      </c>
      <c r="L251" s="27" t="s">
        <v>325</v>
      </c>
      <c r="M251" s="32" t="str">
        <f>HYPERLINK("http://slimages.macys.com/is/image/MCY/3937156 ")</f>
        <v xml:space="preserve">http://slimages.macys.com/is/image/MCY/3937156 </v>
      </c>
    </row>
    <row r="252" spans="1:13" ht="15.2" customHeight="1" x14ac:dyDescent="0.2">
      <c r="A252" s="26" t="s">
        <v>7758</v>
      </c>
      <c r="B252" s="27" t="s">
        <v>7759</v>
      </c>
      <c r="C252" s="28">
        <v>1</v>
      </c>
      <c r="D252" s="29">
        <v>8.5</v>
      </c>
      <c r="E252" s="29">
        <v>8.5</v>
      </c>
      <c r="F252" s="30">
        <v>19.989999999999998</v>
      </c>
      <c r="G252" s="29">
        <v>19.989999999999998</v>
      </c>
      <c r="H252" s="28" t="s">
        <v>7760</v>
      </c>
      <c r="I252" s="27" t="s">
        <v>189</v>
      </c>
      <c r="J252" s="31" t="s">
        <v>5</v>
      </c>
      <c r="K252" s="27" t="s">
        <v>282</v>
      </c>
      <c r="L252" s="27" t="s">
        <v>327</v>
      </c>
      <c r="M252" s="32" t="str">
        <f>HYPERLINK("http://slimages.macys.com/is/image/MCY/3961906 ")</f>
        <v xml:space="preserve">http://slimages.macys.com/is/image/MCY/3961906 </v>
      </c>
    </row>
    <row r="253" spans="1:13" ht="15.2" customHeight="1" x14ac:dyDescent="0.2">
      <c r="A253" s="26" t="s">
        <v>8001</v>
      </c>
      <c r="B253" s="27" t="s">
        <v>8002</v>
      </c>
      <c r="C253" s="28">
        <v>1</v>
      </c>
      <c r="D253" s="29">
        <v>8.5</v>
      </c>
      <c r="E253" s="29">
        <v>8.5</v>
      </c>
      <c r="F253" s="30">
        <v>19.989999999999998</v>
      </c>
      <c r="G253" s="29">
        <v>19.989999999999998</v>
      </c>
      <c r="H253" s="28" t="s">
        <v>7760</v>
      </c>
      <c r="I253" s="27" t="s">
        <v>189</v>
      </c>
      <c r="J253" s="31" t="s">
        <v>21</v>
      </c>
      <c r="K253" s="27" t="s">
        <v>282</v>
      </c>
      <c r="L253" s="27" t="s">
        <v>327</v>
      </c>
      <c r="M253" s="32" t="str">
        <f>HYPERLINK("http://slimages.macys.com/is/image/MCY/3961906 ")</f>
        <v xml:space="preserve">http://slimages.macys.com/is/image/MCY/3961906 </v>
      </c>
    </row>
    <row r="254" spans="1:13" ht="15.2" customHeight="1" x14ac:dyDescent="0.2">
      <c r="A254" s="26" t="s">
        <v>7405</v>
      </c>
      <c r="B254" s="27" t="s">
        <v>7406</v>
      </c>
      <c r="C254" s="28">
        <v>1</v>
      </c>
      <c r="D254" s="29">
        <v>8.5</v>
      </c>
      <c r="E254" s="29">
        <v>8.5</v>
      </c>
      <c r="F254" s="30">
        <v>19.989999999999998</v>
      </c>
      <c r="G254" s="29">
        <v>19.989999999999998</v>
      </c>
      <c r="H254" s="28" t="s">
        <v>1374</v>
      </c>
      <c r="I254" s="27" t="s">
        <v>82</v>
      </c>
      <c r="J254" s="31" t="s">
        <v>40</v>
      </c>
      <c r="K254" s="27" t="s">
        <v>196</v>
      </c>
      <c r="L254" s="27" t="s">
        <v>322</v>
      </c>
      <c r="M254" s="32" t="str">
        <f>HYPERLINK("http://slimages.macys.com/is/image/MCY/3915487 ")</f>
        <v xml:space="preserve">http://slimages.macys.com/is/image/MCY/3915487 </v>
      </c>
    </row>
    <row r="255" spans="1:13" ht="15.2" customHeight="1" x14ac:dyDescent="0.2">
      <c r="A255" s="26" t="s">
        <v>2657</v>
      </c>
      <c r="B255" s="27" t="s">
        <v>2658</v>
      </c>
      <c r="C255" s="28">
        <v>1</v>
      </c>
      <c r="D255" s="29">
        <v>8.5</v>
      </c>
      <c r="E255" s="29">
        <v>8.5</v>
      </c>
      <c r="F255" s="30">
        <v>19.989999999999998</v>
      </c>
      <c r="G255" s="29">
        <v>19.989999999999998</v>
      </c>
      <c r="H255" s="28" t="s">
        <v>334</v>
      </c>
      <c r="I255" s="27" t="s">
        <v>33</v>
      </c>
      <c r="J255" s="31" t="s">
        <v>40</v>
      </c>
      <c r="K255" s="27" t="s">
        <v>196</v>
      </c>
      <c r="L255" s="27" t="s">
        <v>239</v>
      </c>
      <c r="M255" s="32" t="str">
        <f>HYPERLINK("http://slimages.macys.com/is/image/MCY/3890886 ")</f>
        <v xml:space="preserve">http://slimages.macys.com/is/image/MCY/3890886 </v>
      </c>
    </row>
    <row r="256" spans="1:13" ht="15.2" customHeight="1" x14ac:dyDescent="0.2">
      <c r="A256" s="26" t="s">
        <v>833</v>
      </c>
      <c r="B256" s="27" t="s">
        <v>834</v>
      </c>
      <c r="C256" s="28">
        <v>1</v>
      </c>
      <c r="D256" s="29">
        <v>8.5</v>
      </c>
      <c r="E256" s="29">
        <v>8.5</v>
      </c>
      <c r="F256" s="30">
        <v>19.989999999999998</v>
      </c>
      <c r="G256" s="29">
        <v>19.989999999999998</v>
      </c>
      <c r="H256" s="28" t="s">
        <v>827</v>
      </c>
      <c r="I256" s="27" t="s">
        <v>144</v>
      </c>
      <c r="J256" s="31" t="s">
        <v>21</v>
      </c>
      <c r="K256" s="27" t="s">
        <v>196</v>
      </c>
      <c r="L256" s="27" t="s">
        <v>260</v>
      </c>
      <c r="M256" s="32" t="str">
        <f>HYPERLINK("http://slimages.macys.com/is/image/MCY/3910806 ")</f>
        <v xml:space="preserve">http://slimages.macys.com/is/image/MCY/3910806 </v>
      </c>
    </row>
    <row r="257" spans="1:13" ht="15.2" customHeight="1" x14ac:dyDescent="0.2">
      <c r="A257" s="26" t="s">
        <v>7763</v>
      </c>
      <c r="B257" s="27" t="s">
        <v>7764</v>
      </c>
      <c r="C257" s="28">
        <v>1</v>
      </c>
      <c r="D257" s="29">
        <v>8.5</v>
      </c>
      <c r="E257" s="29">
        <v>8.5</v>
      </c>
      <c r="F257" s="30">
        <v>19.989999999999998</v>
      </c>
      <c r="G257" s="29">
        <v>19.989999999999998</v>
      </c>
      <c r="H257" s="28" t="s">
        <v>321</v>
      </c>
      <c r="I257" s="27" t="s">
        <v>75</v>
      </c>
      <c r="J257" s="31" t="s">
        <v>5</v>
      </c>
      <c r="K257" s="27" t="s">
        <v>196</v>
      </c>
      <c r="L257" s="27" t="s">
        <v>322</v>
      </c>
      <c r="M257" s="32" t="str">
        <f>HYPERLINK("http://slimages.macys.com/is/image/MCY/3910788 ")</f>
        <v xml:space="preserve">http://slimages.macys.com/is/image/MCY/3910788 </v>
      </c>
    </row>
    <row r="258" spans="1:13" ht="15.2" customHeight="1" x14ac:dyDescent="0.2">
      <c r="A258" s="26" t="s">
        <v>822</v>
      </c>
      <c r="B258" s="27" t="s">
        <v>823</v>
      </c>
      <c r="C258" s="28">
        <v>1</v>
      </c>
      <c r="D258" s="29">
        <v>8.5</v>
      </c>
      <c r="E258" s="29">
        <v>8.5</v>
      </c>
      <c r="F258" s="30">
        <v>19.989999999999998</v>
      </c>
      <c r="G258" s="29">
        <v>19.989999999999998</v>
      </c>
      <c r="H258" s="28" t="s">
        <v>323</v>
      </c>
      <c r="I258" s="27" t="s">
        <v>33</v>
      </c>
      <c r="J258" s="31" t="s">
        <v>40</v>
      </c>
      <c r="K258" s="27" t="s">
        <v>196</v>
      </c>
      <c r="L258" s="27" t="s">
        <v>239</v>
      </c>
      <c r="M258" s="32" t="str">
        <f>HYPERLINK("http://slimages.macys.com/is/image/MCY/3890900 ")</f>
        <v xml:space="preserve">http://slimages.macys.com/is/image/MCY/3890900 </v>
      </c>
    </row>
    <row r="259" spans="1:13" ht="15.2" customHeight="1" x14ac:dyDescent="0.2">
      <c r="A259" s="26" t="s">
        <v>331</v>
      </c>
      <c r="B259" s="27" t="s">
        <v>332</v>
      </c>
      <c r="C259" s="28">
        <v>1</v>
      </c>
      <c r="D259" s="29">
        <v>8.5</v>
      </c>
      <c r="E259" s="29">
        <v>8.5</v>
      </c>
      <c r="F259" s="30">
        <v>19.989999999999998</v>
      </c>
      <c r="G259" s="29">
        <v>19.989999999999998</v>
      </c>
      <c r="H259" s="28" t="s">
        <v>321</v>
      </c>
      <c r="I259" s="27" t="s">
        <v>333</v>
      </c>
      <c r="J259" s="31" t="s">
        <v>21</v>
      </c>
      <c r="K259" s="27" t="s">
        <v>196</v>
      </c>
      <c r="L259" s="27" t="s">
        <v>322</v>
      </c>
      <c r="M259" s="32" t="str">
        <f>HYPERLINK("http://slimages.macys.com/is/image/MCY/3910788 ")</f>
        <v xml:space="preserve">http://slimages.macys.com/is/image/MCY/3910788 </v>
      </c>
    </row>
    <row r="260" spans="1:13" ht="15.2" customHeight="1" x14ac:dyDescent="0.2">
      <c r="A260" s="26" t="s">
        <v>9877</v>
      </c>
      <c r="B260" s="27" t="s">
        <v>9878</v>
      </c>
      <c r="C260" s="28">
        <v>1</v>
      </c>
      <c r="D260" s="29">
        <v>8.25</v>
      </c>
      <c r="E260" s="29">
        <v>8.25</v>
      </c>
      <c r="F260" s="30">
        <v>19.989999999999998</v>
      </c>
      <c r="G260" s="29">
        <v>19.989999999999998</v>
      </c>
      <c r="H260" s="28" t="s">
        <v>3882</v>
      </c>
      <c r="I260" s="27" t="s">
        <v>59</v>
      </c>
      <c r="J260" s="31" t="s">
        <v>40</v>
      </c>
      <c r="K260" s="27" t="s">
        <v>196</v>
      </c>
      <c r="L260" s="27" t="s">
        <v>256</v>
      </c>
      <c r="M260" s="32" t="str">
        <f>HYPERLINK("http://slimages.macys.com/is/image/MCY/3683136 ")</f>
        <v xml:space="preserve">http://slimages.macys.com/is/image/MCY/3683136 </v>
      </c>
    </row>
    <row r="261" spans="1:13" ht="15.2" customHeight="1" x14ac:dyDescent="0.2">
      <c r="A261" s="26" t="s">
        <v>10546</v>
      </c>
      <c r="B261" s="27" t="s">
        <v>10547</v>
      </c>
      <c r="C261" s="28">
        <v>1</v>
      </c>
      <c r="D261" s="29">
        <v>8.25</v>
      </c>
      <c r="E261" s="29">
        <v>8.25</v>
      </c>
      <c r="F261" s="30">
        <v>19.989999999999998</v>
      </c>
      <c r="G261" s="29">
        <v>19.989999999999998</v>
      </c>
      <c r="H261" s="28" t="s">
        <v>3879</v>
      </c>
      <c r="I261" s="27" t="s">
        <v>4</v>
      </c>
      <c r="J261" s="31" t="s">
        <v>5</v>
      </c>
      <c r="K261" s="27" t="s">
        <v>196</v>
      </c>
      <c r="L261" s="27" t="s">
        <v>322</v>
      </c>
      <c r="M261" s="32" t="str">
        <f>HYPERLINK("http://slimages.macys.com/is/image/MCY/3645183 ")</f>
        <v xml:space="preserve">http://slimages.macys.com/is/image/MCY/3645183 </v>
      </c>
    </row>
    <row r="262" spans="1:13" ht="15.2" customHeight="1" x14ac:dyDescent="0.2">
      <c r="A262" s="26" t="s">
        <v>10326</v>
      </c>
      <c r="B262" s="27" t="s">
        <v>10327</v>
      </c>
      <c r="C262" s="28">
        <v>1</v>
      </c>
      <c r="D262" s="29">
        <v>8.25</v>
      </c>
      <c r="E262" s="29">
        <v>8.25</v>
      </c>
      <c r="F262" s="30">
        <v>19.989999999999998</v>
      </c>
      <c r="G262" s="29">
        <v>19.989999999999998</v>
      </c>
      <c r="H262" s="28" t="s">
        <v>3882</v>
      </c>
      <c r="I262" s="27" t="s">
        <v>59</v>
      </c>
      <c r="J262" s="31" t="s">
        <v>5</v>
      </c>
      <c r="K262" s="27" t="s">
        <v>196</v>
      </c>
      <c r="L262" s="27" t="s">
        <v>256</v>
      </c>
      <c r="M262" s="32" t="str">
        <f>HYPERLINK("http://slimages.macys.com/is/image/MCY/3683136 ")</f>
        <v xml:space="preserve">http://slimages.macys.com/is/image/MCY/3683136 </v>
      </c>
    </row>
    <row r="263" spans="1:13" ht="15.2" customHeight="1" x14ac:dyDescent="0.2">
      <c r="A263" s="26" t="s">
        <v>10548</v>
      </c>
      <c r="B263" s="27" t="s">
        <v>10549</v>
      </c>
      <c r="C263" s="28">
        <v>1</v>
      </c>
      <c r="D263" s="29">
        <v>8.25</v>
      </c>
      <c r="E263" s="29">
        <v>8.25</v>
      </c>
      <c r="F263" s="30">
        <v>19.989999999999998</v>
      </c>
      <c r="G263" s="29">
        <v>19.989999999999998</v>
      </c>
      <c r="H263" s="28" t="s">
        <v>3879</v>
      </c>
      <c r="I263" s="27" t="s">
        <v>357</v>
      </c>
      <c r="J263" s="31" t="s">
        <v>5</v>
      </c>
      <c r="K263" s="27" t="s">
        <v>196</v>
      </c>
      <c r="L263" s="27" t="s">
        <v>322</v>
      </c>
      <c r="M263" s="32" t="str">
        <f>HYPERLINK("http://slimages.macys.com/is/image/MCY/3645183 ")</f>
        <v xml:space="preserve">http://slimages.macys.com/is/image/MCY/3645183 </v>
      </c>
    </row>
    <row r="264" spans="1:13" ht="15.2" customHeight="1" x14ac:dyDescent="0.2">
      <c r="A264" s="26" t="s">
        <v>7413</v>
      </c>
      <c r="B264" s="27" t="s">
        <v>7414</v>
      </c>
      <c r="C264" s="28">
        <v>1</v>
      </c>
      <c r="D264" s="29">
        <v>8.25</v>
      </c>
      <c r="E264" s="29">
        <v>8.25</v>
      </c>
      <c r="F264" s="30">
        <v>19.989999999999998</v>
      </c>
      <c r="G264" s="29">
        <v>19.989999999999998</v>
      </c>
      <c r="H264" s="28" t="s">
        <v>1393</v>
      </c>
      <c r="I264" s="27" t="s">
        <v>59</v>
      </c>
      <c r="J264" s="31" t="s">
        <v>40</v>
      </c>
      <c r="K264" s="27" t="s">
        <v>196</v>
      </c>
      <c r="L264" s="27" t="s">
        <v>225</v>
      </c>
      <c r="M264" s="32" t="str">
        <f>HYPERLINK("http://slimages.macys.com/is/image/MCY/3910904 ")</f>
        <v xml:space="preserve">http://slimages.macys.com/is/image/MCY/3910904 </v>
      </c>
    </row>
    <row r="265" spans="1:13" ht="15.2" customHeight="1" x14ac:dyDescent="0.2">
      <c r="A265" s="26" t="s">
        <v>8534</v>
      </c>
      <c r="B265" s="27" t="s">
        <v>8535</v>
      </c>
      <c r="C265" s="28">
        <v>1</v>
      </c>
      <c r="D265" s="29">
        <v>8</v>
      </c>
      <c r="E265" s="29">
        <v>8</v>
      </c>
      <c r="F265" s="30">
        <v>19.989999999999998</v>
      </c>
      <c r="G265" s="29">
        <v>19.989999999999998</v>
      </c>
      <c r="H265" s="28" t="s">
        <v>356</v>
      </c>
      <c r="I265" s="27" t="s">
        <v>357</v>
      </c>
      <c r="J265" s="31" t="s">
        <v>52</v>
      </c>
      <c r="K265" s="27" t="s">
        <v>282</v>
      </c>
      <c r="L265" s="27" t="s">
        <v>358</v>
      </c>
      <c r="M265" s="32" t="str">
        <f>HYPERLINK("http://slimages.macys.com/is/image/MCY/3931073 ")</f>
        <v xml:space="preserve">http://slimages.macys.com/is/image/MCY/3931073 </v>
      </c>
    </row>
    <row r="266" spans="1:13" ht="15.2" customHeight="1" x14ac:dyDescent="0.2">
      <c r="A266" s="26" t="s">
        <v>1408</v>
      </c>
      <c r="B266" s="27" t="s">
        <v>1409</v>
      </c>
      <c r="C266" s="28">
        <v>1</v>
      </c>
      <c r="D266" s="29">
        <v>8</v>
      </c>
      <c r="E266" s="29">
        <v>8</v>
      </c>
      <c r="F266" s="30">
        <v>19.989999999999998</v>
      </c>
      <c r="G266" s="29">
        <v>19.989999999999998</v>
      </c>
      <c r="H266" s="28" t="s">
        <v>348</v>
      </c>
      <c r="I266" s="27" t="s">
        <v>22</v>
      </c>
      <c r="J266" s="31" t="s">
        <v>71</v>
      </c>
      <c r="K266" s="27" t="s">
        <v>282</v>
      </c>
      <c r="L266" s="27" t="s">
        <v>349</v>
      </c>
      <c r="M266" s="32" t="str">
        <f>HYPERLINK("http://slimages.macys.com/is/image/MCY/3857787 ")</f>
        <v xml:space="preserve">http://slimages.macys.com/is/image/MCY/3857787 </v>
      </c>
    </row>
    <row r="267" spans="1:13" ht="15.2" customHeight="1" x14ac:dyDescent="0.2">
      <c r="A267" s="26" t="s">
        <v>853</v>
      </c>
      <c r="B267" s="27" t="s">
        <v>854</v>
      </c>
      <c r="C267" s="28">
        <v>1</v>
      </c>
      <c r="D267" s="29">
        <v>8</v>
      </c>
      <c r="E267" s="29">
        <v>8</v>
      </c>
      <c r="F267" s="30">
        <v>19.989999999999998</v>
      </c>
      <c r="G267" s="29">
        <v>19.989999999999998</v>
      </c>
      <c r="H267" s="28" t="s">
        <v>364</v>
      </c>
      <c r="I267" s="27" t="s">
        <v>280</v>
      </c>
      <c r="J267" s="31" t="s">
        <v>21</v>
      </c>
      <c r="K267" s="27" t="s">
        <v>282</v>
      </c>
      <c r="L267" s="27" t="s">
        <v>358</v>
      </c>
      <c r="M267" s="32" t="str">
        <f>HYPERLINK("http://slimages.macys.com/is/image/MCY/3931077 ")</f>
        <v xml:space="preserve">http://slimages.macys.com/is/image/MCY/3931077 </v>
      </c>
    </row>
    <row r="268" spans="1:13" ht="15.2" customHeight="1" x14ac:dyDescent="0.2">
      <c r="A268" s="26" t="s">
        <v>846</v>
      </c>
      <c r="B268" s="27" t="s">
        <v>847</v>
      </c>
      <c r="C268" s="28">
        <v>1</v>
      </c>
      <c r="D268" s="29">
        <v>8</v>
      </c>
      <c r="E268" s="29">
        <v>8</v>
      </c>
      <c r="F268" s="30">
        <v>19.989999999999998</v>
      </c>
      <c r="G268" s="29">
        <v>19.989999999999998</v>
      </c>
      <c r="H268" s="28" t="s">
        <v>848</v>
      </c>
      <c r="I268" s="27" t="s">
        <v>265</v>
      </c>
      <c r="J268" s="31" t="s">
        <v>21</v>
      </c>
      <c r="K268" s="27" t="s">
        <v>282</v>
      </c>
      <c r="L268" s="27" t="s">
        <v>358</v>
      </c>
      <c r="M268" s="32" t="str">
        <f>HYPERLINK("http://slimages.macys.com/is/image/MCY/3931076 ")</f>
        <v xml:space="preserve">http://slimages.macys.com/is/image/MCY/3931076 </v>
      </c>
    </row>
    <row r="269" spans="1:13" ht="15.2" customHeight="1" x14ac:dyDescent="0.2">
      <c r="A269" s="26" t="s">
        <v>1402</v>
      </c>
      <c r="B269" s="27" t="s">
        <v>1403</v>
      </c>
      <c r="C269" s="28">
        <v>1</v>
      </c>
      <c r="D269" s="29">
        <v>8</v>
      </c>
      <c r="E269" s="29">
        <v>8</v>
      </c>
      <c r="F269" s="30">
        <v>19.989999999999998</v>
      </c>
      <c r="G269" s="29">
        <v>19.989999999999998</v>
      </c>
      <c r="H269" s="28" t="s">
        <v>356</v>
      </c>
      <c r="I269" s="27" t="s">
        <v>357</v>
      </c>
      <c r="J269" s="31" t="s">
        <v>5</v>
      </c>
      <c r="K269" s="27" t="s">
        <v>282</v>
      </c>
      <c r="L269" s="27" t="s">
        <v>358</v>
      </c>
      <c r="M269" s="32" t="str">
        <f>HYPERLINK("http://slimages.macys.com/is/image/MCY/3931073 ")</f>
        <v xml:space="preserve">http://slimages.macys.com/is/image/MCY/3931073 </v>
      </c>
    </row>
    <row r="270" spans="1:13" ht="15.2" customHeight="1" x14ac:dyDescent="0.2">
      <c r="A270" s="26" t="s">
        <v>10329</v>
      </c>
      <c r="B270" s="27" t="s">
        <v>10330</v>
      </c>
      <c r="C270" s="28">
        <v>1</v>
      </c>
      <c r="D270" s="29">
        <v>8</v>
      </c>
      <c r="E270" s="29">
        <v>8</v>
      </c>
      <c r="F270" s="30">
        <v>19.989999999999998</v>
      </c>
      <c r="G270" s="29">
        <v>19.989999999999998</v>
      </c>
      <c r="H270" s="28">
        <v>60450157</v>
      </c>
      <c r="I270" s="27" t="s">
        <v>33</v>
      </c>
      <c r="J270" s="31" t="s">
        <v>71</v>
      </c>
      <c r="K270" s="27" t="s">
        <v>208</v>
      </c>
      <c r="L270" s="27" t="s">
        <v>255</v>
      </c>
      <c r="M270" s="32" t="str">
        <f>HYPERLINK("http://slimages.macys.com/is/image/MCY/3913047 ")</f>
        <v xml:space="preserve">http://slimages.macys.com/is/image/MCY/3913047 </v>
      </c>
    </row>
    <row r="271" spans="1:13" ht="15.2" customHeight="1" x14ac:dyDescent="0.2">
      <c r="A271" s="26" t="s">
        <v>2318</v>
      </c>
      <c r="B271" s="27" t="s">
        <v>2319</v>
      </c>
      <c r="C271" s="28">
        <v>1</v>
      </c>
      <c r="D271" s="29">
        <v>8</v>
      </c>
      <c r="E271" s="29">
        <v>8</v>
      </c>
      <c r="F271" s="30">
        <v>19.989999999999998</v>
      </c>
      <c r="G271" s="29">
        <v>19.989999999999998</v>
      </c>
      <c r="H271" s="28">
        <v>60450157</v>
      </c>
      <c r="I271" s="27" t="s">
        <v>33</v>
      </c>
      <c r="J271" s="31" t="s">
        <v>65</v>
      </c>
      <c r="K271" s="27" t="s">
        <v>208</v>
      </c>
      <c r="L271" s="27" t="s">
        <v>255</v>
      </c>
      <c r="M271" s="32" t="str">
        <f>HYPERLINK("http://slimages.macys.com/is/image/MCY/3913047 ")</f>
        <v xml:space="preserve">http://slimages.macys.com/is/image/MCY/3913047 </v>
      </c>
    </row>
    <row r="272" spans="1:13" ht="15.2" customHeight="1" x14ac:dyDescent="0.2">
      <c r="A272" s="26" t="s">
        <v>10550</v>
      </c>
      <c r="B272" s="27" t="s">
        <v>10551</v>
      </c>
      <c r="C272" s="28">
        <v>1</v>
      </c>
      <c r="D272" s="29">
        <v>8</v>
      </c>
      <c r="E272" s="29">
        <v>8</v>
      </c>
      <c r="F272" s="30">
        <v>19.989999999999998</v>
      </c>
      <c r="G272" s="29">
        <v>19.989999999999998</v>
      </c>
      <c r="H272" s="28">
        <v>60450162</v>
      </c>
      <c r="I272" s="27" t="s">
        <v>238</v>
      </c>
      <c r="J272" s="31" t="s">
        <v>71</v>
      </c>
      <c r="K272" s="27" t="s">
        <v>208</v>
      </c>
      <c r="L272" s="27" t="s">
        <v>255</v>
      </c>
      <c r="M272" s="32" t="str">
        <f>HYPERLINK("http://slimages.macys.com/is/image/MCY/3913047 ")</f>
        <v xml:space="preserve">http://slimages.macys.com/is/image/MCY/3913047 </v>
      </c>
    </row>
    <row r="273" spans="1:13" ht="15.2" customHeight="1" x14ac:dyDescent="0.2">
      <c r="A273" s="26" t="s">
        <v>8532</v>
      </c>
      <c r="B273" s="27" t="s">
        <v>8533</v>
      </c>
      <c r="C273" s="28">
        <v>1</v>
      </c>
      <c r="D273" s="29">
        <v>8</v>
      </c>
      <c r="E273" s="29">
        <v>8</v>
      </c>
      <c r="F273" s="30">
        <v>19.989999999999998</v>
      </c>
      <c r="G273" s="29">
        <v>19.989999999999998</v>
      </c>
      <c r="H273" s="28">
        <v>60450157</v>
      </c>
      <c r="I273" s="27" t="s">
        <v>33</v>
      </c>
      <c r="J273" s="31" t="s">
        <v>172</v>
      </c>
      <c r="K273" s="27" t="s">
        <v>208</v>
      </c>
      <c r="L273" s="27" t="s">
        <v>255</v>
      </c>
      <c r="M273" s="32" t="str">
        <f>HYPERLINK("http://slimages.macys.com/is/image/MCY/3913047 ")</f>
        <v xml:space="preserve">http://slimages.macys.com/is/image/MCY/3913047 </v>
      </c>
    </row>
    <row r="274" spans="1:13" ht="15.2" customHeight="1" x14ac:dyDescent="0.2">
      <c r="A274" s="26" t="s">
        <v>1395</v>
      </c>
      <c r="B274" s="27" t="s">
        <v>1396</v>
      </c>
      <c r="C274" s="28">
        <v>1</v>
      </c>
      <c r="D274" s="29">
        <v>8</v>
      </c>
      <c r="E274" s="29">
        <v>8</v>
      </c>
      <c r="F274" s="30">
        <v>22.99</v>
      </c>
      <c r="G274" s="29">
        <v>22.99</v>
      </c>
      <c r="H274" s="28" t="s">
        <v>1397</v>
      </c>
      <c r="I274" s="27" t="s">
        <v>94</v>
      </c>
      <c r="J274" s="31" t="s">
        <v>21</v>
      </c>
      <c r="K274" s="27" t="s">
        <v>200</v>
      </c>
      <c r="L274" s="27" t="s">
        <v>325</v>
      </c>
      <c r="M274" s="32" t="str">
        <f>HYPERLINK("http://slimages.macys.com/is/image/MCY/3937194 ")</f>
        <v xml:space="preserve">http://slimages.macys.com/is/image/MCY/3937194 </v>
      </c>
    </row>
    <row r="275" spans="1:13" ht="15.2" customHeight="1" x14ac:dyDescent="0.2">
      <c r="A275" s="26" t="s">
        <v>10552</v>
      </c>
      <c r="B275" s="27" t="s">
        <v>10553</v>
      </c>
      <c r="C275" s="28">
        <v>2</v>
      </c>
      <c r="D275" s="29">
        <v>8</v>
      </c>
      <c r="E275" s="29">
        <v>16</v>
      </c>
      <c r="F275" s="30">
        <v>19.989999999999998</v>
      </c>
      <c r="G275" s="29">
        <v>39.979999999999997</v>
      </c>
      <c r="H275" s="28">
        <v>60450157</v>
      </c>
      <c r="I275" s="27" t="s">
        <v>33</v>
      </c>
      <c r="J275" s="31" t="s">
        <v>21</v>
      </c>
      <c r="K275" s="27" t="s">
        <v>208</v>
      </c>
      <c r="L275" s="27" t="s">
        <v>255</v>
      </c>
      <c r="M275" s="32" t="str">
        <f>HYPERLINK("http://slimages.macys.com/is/image/MCY/3913047 ")</f>
        <v xml:space="preserve">http://slimages.macys.com/is/image/MCY/3913047 </v>
      </c>
    </row>
    <row r="276" spans="1:13" ht="15.2" customHeight="1" x14ac:dyDescent="0.2">
      <c r="A276" s="26" t="s">
        <v>10554</v>
      </c>
      <c r="B276" s="27" t="s">
        <v>10555</v>
      </c>
      <c r="C276" s="28">
        <v>1</v>
      </c>
      <c r="D276" s="29">
        <v>8</v>
      </c>
      <c r="E276" s="29">
        <v>8</v>
      </c>
      <c r="F276" s="30">
        <v>19.989999999999998</v>
      </c>
      <c r="G276" s="29">
        <v>19.989999999999998</v>
      </c>
      <c r="H276" s="28" t="s">
        <v>8836</v>
      </c>
      <c r="I276" s="27" t="s">
        <v>59</v>
      </c>
      <c r="J276" s="31" t="s">
        <v>5</v>
      </c>
      <c r="K276" s="27" t="s">
        <v>196</v>
      </c>
      <c r="L276" s="27" t="s">
        <v>322</v>
      </c>
      <c r="M276" s="32" t="str">
        <f>HYPERLINK("http://slimages.macys.com/is/image/MCY/3517480 ")</f>
        <v xml:space="preserve">http://slimages.macys.com/is/image/MCY/3517480 </v>
      </c>
    </row>
    <row r="277" spans="1:13" ht="15.2" customHeight="1" x14ac:dyDescent="0.2">
      <c r="A277" s="26" t="s">
        <v>2299</v>
      </c>
      <c r="B277" s="27" t="s">
        <v>2300</v>
      </c>
      <c r="C277" s="28">
        <v>1</v>
      </c>
      <c r="D277" s="29">
        <v>8</v>
      </c>
      <c r="E277" s="29">
        <v>8</v>
      </c>
      <c r="F277" s="30">
        <v>19.989999999999998</v>
      </c>
      <c r="G277" s="29">
        <v>19.989999999999998</v>
      </c>
      <c r="H277" s="28" t="s">
        <v>356</v>
      </c>
      <c r="I277" s="27" t="s">
        <v>357</v>
      </c>
      <c r="J277" s="31" t="s">
        <v>40</v>
      </c>
      <c r="K277" s="27" t="s">
        <v>282</v>
      </c>
      <c r="L277" s="27" t="s">
        <v>358</v>
      </c>
      <c r="M277" s="32" t="str">
        <f>HYPERLINK("http://slimages.macys.com/is/image/MCY/3931073 ")</f>
        <v xml:space="preserve">http://slimages.macys.com/is/image/MCY/3931073 </v>
      </c>
    </row>
    <row r="278" spans="1:13" ht="15.2" customHeight="1" x14ac:dyDescent="0.2">
      <c r="A278" s="26" t="s">
        <v>10556</v>
      </c>
      <c r="B278" s="27" t="s">
        <v>10557</v>
      </c>
      <c r="C278" s="28">
        <v>1</v>
      </c>
      <c r="D278" s="29">
        <v>7.95</v>
      </c>
      <c r="E278" s="29">
        <v>7.95</v>
      </c>
      <c r="F278" s="30">
        <v>19.989999999999998</v>
      </c>
      <c r="G278" s="29">
        <v>19.989999999999998</v>
      </c>
      <c r="H278" s="28" t="s">
        <v>9221</v>
      </c>
      <c r="I278" s="27" t="s">
        <v>468</v>
      </c>
      <c r="J278" s="31" t="s">
        <v>5</v>
      </c>
      <c r="K278" s="27" t="s">
        <v>196</v>
      </c>
      <c r="L278" s="27" t="s">
        <v>256</v>
      </c>
      <c r="M278" s="32" t="str">
        <f>HYPERLINK("http://slimages.macys.com/is/image/MCY/3609984 ")</f>
        <v xml:space="preserve">http://slimages.macys.com/is/image/MCY/3609984 </v>
      </c>
    </row>
    <row r="279" spans="1:13" ht="15.2" customHeight="1" x14ac:dyDescent="0.2">
      <c r="A279" s="26" t="s">
        <v>2977</v>
      </c>
      <c r="B279" s="27" t="s">
        <v>2978</v>
      </c>
      <c r="C279" s="28">
        <v>2</v>
      </c>
      <c r="D279" s="29">
        <v>7.85</v>
      </c>
      <c r="E279" s="29">
        <v>15.7</v>
      </c>
      <c r="F279" s="30">
        <v>24.99</v>
      </c>
      <c r="G279" s="29">
        <v>49.98</v>
      </c>
      <c r="H279" s="28" t="s">
        <v>367</v>
      </c>
      <c r="I279" s="27" t="s">
        <v>26</v>
      </c>
      <c r="J279" s="31" t="s">
        <v>21</v>
      </c>
      <c r="K279" s="27" t="s">
        <v>224</v>
      </c>
      <c r="L279" s="27" t="s">
        <v>260</v>
      </c>
      <c r="M279" s="32" t="str">
        <f>HYPERLINK("http://slimages.macys.com/is/image/MCY/3853703 ")</f>
        <v xml:space="preserve">http://slimages.macys.com/is/image/MCY/3853703 </v>
      </c>
    </row>
    <row r="280" spans="1:13" ht="15.2" customHeight="1" x14ac:dyDescent="0.2">
      <c r="A280" s="26" t="s">
        <v>9883</v>
      </c>
      <c r="B280" s="27" t="s">
        <v>9884</v>
      </c>
      <c r="C280" s="28">
        <v>1</v>
      </c>
      <c r="D280" s="29">
        <v>7.85</v>
      </c>
      <c r="E280" s="29">
        <v>7.85</v>
      </c>
      <c r="F280" s="30">
        <v>27.99</v>
      </c>
      <c r="G280" s="29">
        <v>27.99</v>
      </c>
      <c r="H280" s="28" t="s">
        <v>1419</v>
      </c>
      <c r="I280" s="27" t="s">
        <v>274</v>
      </c>
      <c r="J280" s="31" t="s">
        <v>5</v>
      </c>
      <c r="K280" s="27" t="s">
        <v>224</v>
      </c>
      <c r="L280" s="27" t="s">
        <v>260</v>
      </c>
      <c r="M280" s="32" t="str">
        <f>HYPERLINK("http://slimages.macys.com/is/image/MCY/3798032 ")</f>
        <v xml:space="preserve">http://slimages.macys.com/is/image/MCY/3798032 </v>
      </c>
    </row>
    <row r="281" spans="1:13" ht="15.2" customHeight="1" x14ac:dyDescent="0.2">
      <c r="A281" s="26" t="s">
        <v>5112</v>
      </c>
      <c r="B281" s="27" t="s">
        <v>5113</v>
      </c>
      <c r="C281" s="28">
        <v>1</v>
      </c>
      <c r="D281" s="29">
        <v>7.85</v>
      </c>
      <c r="E281" s="29">
        <v>7.85</v>
      </c>
      <c r="F281" s="30">
        <v>24.99</v>
      </c>
      <c r="G281" s="29">
        <v>24.99</v>
      </c>
      <c r="H281" s="28" t="s">
        <v>367</v>
      </c>
      <c r="I281" s="27" t="s">
        <v>4</v>
      </c>
      <c r="J281" s="31" t="s">
        <v>21</v>
      </c>
      <c r="K281" s="27" t="s">
        <v>224</v>
      </c>
      <c r="L281" s="27" t="s">
        <v>260</v>
      </c>
      <c r="M281" s="32" t="str">
        <f>HYPERLINK("http://slimages.macys.com/is/image/MCY/3853703 ")</f>
        <v xml:space="preserve">http://slimages.macys.com/is/image/MCY/3853703 </v>
      </c>
    </row>
    <row r="282" spans="1:13" ht="15.2" customHeight="1" x14ac:dyDescent="0.2">
      <c r="A282" s="26" t="s">
        <v>8221</v>
      </c>
      <c r="B282" s="27" t="s">
        <v>8222</v>
      </c>
      <c r="C282" s="28">
        <v>1</v>
      </c>
      <c r="D282" s="29">
        <v>7.82</v>
      </c>
      <c r="E282" s="29">
        <v>7.82</v>
      </c>
      <c r="F282" s="30">
        <v>16.989999999999998</v>
      </c>
      <c r="G282" s="29">
        <v>16.989999999999998</v>
      </c>
      <c r="H282" s="28">
        <v>60450149</v>
      </c>
      <c r="I282" s="27" t="s">
        <v>4</v>
      </c>
      <c r="J282" s="31" t="s">
        <v>71</v>
      </c>
      <c r="K282" s="27" t="s">
        <v>208</v>
      </c>
      <c r="L282" s="27" t="s">
        <v>255</v>
      </c>
      <c r="M282" s="32" t="str">
        <f>HYPERLINK("http://slimages.macys.com/is/image/MCY/3955026 ")</f>
        <v xml:space="preserve">http://slimages.macys.com/is/image/MCY/3955026 </v>
      </c>
    </row>
    <row r="283" spans="1:13" ht="15.2" customHeight="1" x14ac:dyDescent="0.2">
      <c r="A283" s="26" t="s">
        <v>10558</v>
      </c>
      <c r="B283" s="27" t="s">
        <v>10559</v>
      </c>
      <c r="C283" s="28">
        <v>1</v>
      </c>
      <c r="D283" s="29">
        <v>7.82</v>
      </c>
      <c r="E283" s="29">
        <v>7.82</v>
      </c>
      <c r="F283" s="30">
        <v>19.989999999999998</v>
      </c>
      <c r="G283" s="29">
        <v>19.989999999999998</v>
      </c>
      <c r="H283" s="28">
        <v>60450133</v>
      </c>
      <c r="I283" s="27" t="s">
        <v>4</v>
      </c>
      <c r="J283" s="31" t="s">
        <v>52</v>
      </c>
      <c r="K283" s="27" t="s">
        <v>208</v>
      </c>
      <c r="L283" s="27" t="s">
        <v>255</v>
      </c>
      <c r="M283" s="32" t="str">
        <f>HYPERLINK("http://slimages.macys.com/is/image/MCY/3913070 ")</f>
        <v xml:space="preserve">http://slimages.macys.com/is/image/MCY/3913070 </v>
      </c>
    </row>
    <row r="284" spans="1:13" ht="15.2" customHeight="1" x14ac:dyDescent="0.2">
      <c r="A284" s="26" t="s">
        <v>10560</v>
      </c>
      <c r="B284" s="27" t="s">
        <v>10561</v>
      </c>
      <c r="C284" s="28">
        <v>1</v>
      </c>
      <c r="D284" s="29">
        <v>7.8</v>
      </c>
      <c r="E284" s="29">
        <v>7.8</v>
      </c>
      <c r="F284" s="30">
        <v>19.989999999999998</v>
      </c>
      <c r="G284" s="29">
        <v>19.989999999999998</v>
      </c>
      <c r="H284" s="28" t="s">
        <v>9224</v>
      </c>
      <c r="I284" s="27" t="s">
        <v>20</v>
      </c>
      <c r="J284" s="31" t="s">
        <v>40</v>
      </c>
      <c r="K284" s="27" t="s">
        <v>70</v>
      </c>
      <c r="L284" s="27" t="s">
        <v>260</v>
      </c>
      <c r="M284" s="32" t="str">
        <f>HYPERLINK("http://slimages.macys.com/is/image/MCY/3624358 ")</f>
        <v xml:space="preserve">http://slimages.macys.com/is/image/MCY/3624358 </v>
      </c>
    </row>
    <row r="285" spans="1:13" ht="15.2" customHeight="1" x14ac:dyDescent="0.2">
      <c r="A285" s="26" t="s">
        <v>10562</v>
      </c>
      <c r="B285" s="27" t="s">
        <v>10563</v>
      </c>
      <c r="C285" s="28">
        <v>1</v>
      </c>
      <c r="D285" s="29">
        <v>7.5</v>
      </c>
      <c r="E285" s="29">
        <v>7.5</v>
      </c>
      <c r="F285" s="30">
        <v>19.989999999999998</v>
      </c>
      <c r="G285" s="29">
        <v>19.989999999999998</v>
      </c>
      <c r="H285" s="28" t="s">
        <v>1427</v>
      </c>
      <c r="I285" s="27" t="s">
        <v>144</v>
      </c>
      <c r="J285" s="31" t="s">
        <v>52</v>
      </c>
      <c r="K285" s="27" t="s">
        <v>196</v>
      </c>
      <c r="L285" s="27" t="s">
        <v>336</v>
      </c>
      <c r="M285" s="32" t="str">
        <f>HYPERLINK("http://slimages.macys.com/is/image/MCY/3852983 ")</f>
        <v xml:space="preserve">http://slimages.macys.com/is/image/MCY/3852983 </v>
      </c>
    </row>
    <row r="286" spans="1:13" ht="15.2" customHeight="1" x14ac:dyDescent="0.2">
      <c r="A286" s="26" t="s">
        <v>9933</v>
      </c>
      <c r="B286" s="27" t="s">
        <v>9934</v>
      </c>
      <c r="C286" s="28">
        <v>1</v>
      </c>
      <c r="D286" s="29">
        <v>7.5</v>
      </c>
      <c r="E286" s="29">
        <v>7.5</v>
      </c>
      <c r="F286" s="30">
        <v>19.989999999999998</v>
      </c>
      <c r="G286" s="29">
        <v>19.989999999999998</v>
      </c>
      <c r="H286" s="28" t="s">
        <v>1433</v>
      </c>
      <c r="I286" s="27" t="s">
        <v>690</v>
      </c>
      <c r="J286" s="31" t="s">
        <v>21</v>
      </c>
      <c r="K286" s="27" t="s">
        <v>196</v>
      </c>
      <c r="L286" s="27" t="s">
        <v>336</v>
      </c>
      <c r="M286" s="32" t="str">
        <f>HYPERLINK("http://slimages.macys.com/is/image/MCY/3821001 ")</f>
        <v xml:space="preserve">http://slimages.macys.com/is/image/MCY/3821001 </v>
      </c>
    </row>
    <row r="287" spans="1:13" ht="15.2" customHeight="1" x14ac:dyDescent="0.2">
      <c r="A287" s="26" t="s">
        <v>7785</v>
      </c>
      <c r="B287" s="27" t="s">
        <v>7786</v>
      </c>
      <c r="C287" s="28">
        <v>2</v>
      </c>
      <c r="D287" s="29">
        <v>7.5</v>
      </c>
      <c r="E287" s="29">
        <v>15</v>
      </c>
      <c r="F287" s="30">
        <v>19.989999999999998</v>
      </c>
      <c r="G287" s="29">
        <v>39.979999999999997</v>
      </c>
      <c r="H287" s="28" t="s">
        <v>1900</v>
      </c>
      <c r="I287" s="27" t="s">
        <v>248</v>
      </c>
      <c r="J287" s="31" t="s">
        <v>21</v>
      </c>
      <c r="K287" s="27" t="s">
        <v>196</v>
      </c>
      <c r="L287" s="27" t="s">
        <v>225</v>
      </c>
      <c r="M287" s="32" t="str">
        <f>HYPERLINK("http://slimages.macys.com/is/image/MCY/3953461 ")</f>
        <v xml:space="preserve">http://slimages.macys.com/is/image/MCY/3953461 </v>
      </c>
    </row>
    <row r="288" spans="1:13" ht="15.2" customHeight="1" x14ac:dyDescent="0.2">
      <c r="A288" s="26" t="s">
        <v>9829</v>
      </c>
      <c r="B288" s="27" t="s">
        <v>9830</v>
      </c>
      <c r="C288" s="28">
        <v>1</v>
      </c>
      <c r="D288" s="29">
        <v>7.5</v>
      </c>
      <c r="E288" s="29">
        <v>7.5</v>
      </c>
      <c r="F288" s="30">
        <v>16.989999999999998</v>
      </c>
      <c r="G288" s="29">
        <v>16.989999999999998</v>
      </c>
      <c r="H288" s="28" t="s">
        <v>4355</v>
      </c>
      <c r="I288" s="27" t="s">
        <v>33</v>
      </c>
      <c r="J288" s="31" t="s">
        <v>40</v>
      </c>
      <c r="K288" s="27" t="s">
        <v>282</v>
      </c>
      <c r="L288" s="27" t="s">
        <v>260</v>
      </c>
      <c r="M288" s="32" t="str">
        <f>HYPERLINK("http://slimages.macys.com/is/image/MCY/3798083 ")</f>
        <v xml:space="preserve">http://slimages.macys.com/is/image/MCY/3798083 </v>
      </c>
    </row>
    <row r="289" spans="1:13" ht="15.2" customHeight="1" x14ac:dyDescent="0.2">
      <c r="A289" s="26" t="s">
        <v>8559</v>
      </c>
      <c r="B289" s="27" t="s">
        <v>8560</v>
      </c>
      <c r="C289" s="28">
        <v>1</v>
      </c>
      <c r="D289" s="29">
        <v>7.5</v>
      </c>
      <c r="E289" s="29">
        <v>7.5</v>
      </c>
      <c r="F289" s="30">
        <v>19.989999999999998</v>
      </c>
      <c r="G289" s="29">
        <v>19.989999999999998</v>
      </c>
      <c r="H289" s="28" t="s">
        <v>1433</v>
      </c>
      <c r="I289" s="27" t="s">
        <v>690</v>
      </c>
      <c r="J289" s="31" t="s">
        <v>5</v>
      </c>
      <c r="K289" s="27" t="s">
        <v>196</v>
      </c>
      <c r="L289" s="27" t="s">
        <v>336</v>
      </c>
      <c r="M289" s="32" t="str">
        <f>HYPERLINK("http://slimages.macys.com/is/image/MCY/3821001 ")</f>
        <v xml:space="preserve">http://slimages.macys.com/is/image/MCY/3821001 </v>
      </c>
    </row>
    <row r="290" spans="1:13" ht="15.2" customHeight="1" x14ac:dyDescent="0.2">
      <c r="A290" s="26" t="s">
        <v>5125</v>
      </c>
      <c r="B290" s="27" t="s">
        <v>5126</v>
      </c>
      <c r="C290" s="28">
        <v>1</v>
      </c>
      <c r="D290" s="29">
        <v>7.25</v>
      </c>
      <c r="E290" s="29">
        <v>7.25</v>
      </c>
      <c r="F290" s="30">
        <v>12.99</v>
      </c>
      <c r="G290" s="29">
        <v>12.99</v>
      </c>
      <c r="H290" s="28" t="s">
        <v>5124</v>
      </c>
      <c r="I290" s="27" t="s">
        <v>82</v>
      </c>
      <c r="J290" s="31" t="s">
        <v>5</v>
      </c>
      <c r="K290" s="27" t="s">
        <v>282</v>
      </c>
      <c r="L290" s="27" t="s">
        <v>283</v>
      </c>
      <c r="M290" s="32" t="str">
        <f>HYPERLINK("http://slimages.macys.com/is/image/MCY/3774190 ")</f>
        <v xml:space="preserve">http://slimages.macys.com/is/image/MCY/3774190 </v>
      </c>
    </row>
    <row r="291" spans="1:13" ht="15.2" customHeight="1" x14ac:dyDescent="0.2">
      <c r="A291" s="26" t="s">
        <v>1901</v>
      </c>
      <c r="B291" s="27" t="s">
        <v>1902</v>
      </c>
      <c r="C291" s="28">
        <v>1</v>
      </c>
      <c r="D291" s="29">
        <v>7.23</v>
      </c>
      <c r="E291" s="29">
        <v>7.23</v>
      </c>
      <c r="F291" s="30">
        <v>16.989999999999998</v>
      </c>
      <c r="G291" s="29">
        <v>16.989999999999998</v>
      </c>
      <c r="H291" s="28" t="s">
        <v>1903</v>
      </c>
      <c r="I291" s="27" t="s">
        <v>4</v>
      </c>
      <c r="J291" s="31" t="s">
        <v>65</v>
      </c>
      <c r="K291" s="27" t="s">
        <v>159</v>
      </c>
      <c r="L291" s="27" t="s">
        <v>160</v>
      </c>
      <c r="M291" s="32" t="str">
        <f>HYPERLINK("http://slimages.macys.com/is/image/MCY/3634309 ")</f>
        <v xml:space="preserve">http://slimages.macys.com/is/image/MCY/3634309 </v>
      </c>
    </row>
    <row r="292" spans="1:13" ht="15.2" customHeight="1" x14ac:dyDescent="0.2">
      <c r="A292" s="26" t="s">
        <v>10564</v>
      </c>
      <c r="B292" s="27" t="s">
        <v>10565</v>
      </c>
      <c r="C292" s="28">
        <v>1</v>
      </c>
      <c r="D292" s="29">
        <v>7</v>
      </c>
      <c r="E292" s="29">
        <v>7</v>
      </c>
      <c r="F292" s="30">
        <v>16.989999999999998</v>
      </c>
      <c r="G292" s="29">
        <v>16.989999999999998</v>
      </c>
      <c r="H292" s="28">
        <v>60444408</v>
      </c>
      <c r="I292" s="27" t="s">
        <v>33</v>
      </c>
      <c r="J292" s="31" t="s">
        <v>40</v>
      </c>
      <c r="K292" s="27" t="s">
        <v>208</v>
      </c>
      <c r="L292" s="27" t="s">
        <v>255</v>
      </c>
      <c r="M292" s="32" t="str">
        <f>HYPERLINK("http://slimages.macys.com/is/image/MCY/3820346 ")</f>
        <v xml:space="preserve">http://slimages.macys.com/is/image/MCY/3820346 </v>
      </c>
    </row>
    <row r="293" spans="1:13" ht="15.2" customHeight="1" x14ac:dyDescent="0.2">
      <c r="A293" s="26" t="s">
        <v>4356</v>
      </c>
      <c r="B293" s="27" t="s">
        <v>4357</v>
      </c>
      <c r="C293" s="28">
        <v>1</v>
      </c>
      <c r="D293" s="29">
        <v>7</v>
      </c>
      <c r="E293" s="29">
        <v>7</v>
      </c>
      <c r="F293" s="30">
        <v>19.989999999999998</v>
      </c>
      <c r="G293" s="29">
        <v>19.989999999999998</v>
      </c>
      <c r="H293" s="28" t="s">
        <v>1909</v>
      </c>
      <c r="I293" s="27" t="s">
        <v>82</v>
      </c>
      <c r="J293" s="31" t="s">
        <v>5</v>
      </c>
      <c r="K293" s="27" t="s">
        <v>282</v>
      </c>
      <c r="L293" s="27" t="s">
        <v>358</v>
      </c>
      <c r="M293" s="32" t="str">
        <f>HYPERLINK("http://slimages.macys.com/is/image/MCY/3773262 ")</f>
        <v xml:space="preserve">http://slimages.macys.com/is/image/MCY/3773262 </v>
      </c>
    </row>
    <row r="294" spans="1:13" ht="15.2" customHeight="1" x14ac:dyDescent="0.2">
      <c r="A294" s="26" t="s">
        <v>5772</v>
      </c>
      <c r="B294" s="27" t="s">
        <v>5773</v>
      </c>
      <c r="C294" s="28">
        <v>1</v>
      </c>
      <c r="D294" s="29">
        <v>7</v>
      </c>
      <c r="E294" s="29">
        <v>7</v>
      </c>
      <c r="F294" s="30">
        <v>19.989999999999998</v>
      </c>
      <c r="G294" s="29">
        <v>19.989999999999998</v>
      </c>
      <c r="H294" s="28" t="s">
        <v>2984</v>
      </c>
      <c r="I294" s="27" t="s">
        <v>189</v>
      </c>
      <c r="J294" s="31" t="s">
        <v>5</v>
      </c>
      <c r="K294" s="27" t="s">
        <v>196</v>
      </c>
      <c r="L294" s="27" t="s">
        <v>239</v>
      </c>
      <c r="M294" s="32" t="str">
        <f>HYPERLINK("http://slimages.macys.com/is/image/MCY/3685480 ")</f>
        <v xml:space="preserve">http://slimages.macys.com/is/image/MCY/3685480 </v>
      </c>
    </row>
    <row r="295" spans="1:13" ht="15.2" customHeight="1" x14ac:dyDescent="0.2">
      <c r="A295" s="26" t="s">
        <v>865</v>
      </c>
      <c r="B295" s="27" t="s">
        <v>866</v>
      </c>
      <c r="C295" s="28">
        <v>1</v>
      </c>
      <c r="D295" s="29">
        <v>7</v>
      </c>
      <c r="E295" s="29">
        <v>7</v>
      </c>
      <c r="F295" s="30">
        <v>19.989999999999998</v>
      </c>
      <c r="G295" s="29">
        <v>19.989999999999998</v>
      </c>
      <c r="H295" s="28" t="s">
        <v>380</v>
      </c>
      <c r="I295" s="27" t="s">
        <v>39</v>
      </c>
      <c r="J295" s="31" t="s">
        <v>21</v>
      </c>
      <c r="K295" s="27" t="s">
        <v>196</v>
      </c>
      <c r="L295" s="27" t="s">
        <v>260</v>
      </c>
      <c r="M295" s="32" t="str">
        <f>HYPERLINK("http://slimages.macys.com/is/image/MCY/3910801 ")</f>
        <v xml:space="preserve">http://slimages.macys.com/is/image/MCY/3910801 </v>
      </c>
    </row>
    <row r="296" spans="1:13" ht="15.2" customHeight="1" x14ac:dyDescent="0.2">
      <c r="A296" s="26" t="s">
        <v>10566</v>
      </c>
      <c r="B296" s="27" t="s">
        <v>10567</v>
      </c>
      <c r="C296" s="28">
        <v>1</v>
      </c>
      <c r="D296" s="29">
        <v>6.85</v>
      </c>
      <c r="E296" s="29">
        <v>6.85</v>
      </c>
      <c r="F296" s="30">
        <v>19.989999999999998</v>
      </c>
      <c r="G296" s="29">
        <v>19.989999999999998</v>
      </c>
      <c r="H296" s="28" t="s">
        <v>2989</v>
      </c>
      <c r="I296" s="27" t="s">
        <v>4</v>
      </c>
      <c r="J296" s="31" t="s">
        <v>52</v>
      </c>
      <c r="K296" s="27" t="s">
        <v>196</v>
      </c>
      <c r="L296" s="27" t="s">
        <v>239</v>
      </c>
      <c r="M296" s="32" t="str">
        <f>HYPERLINK("http://slimages.macys.com/is/image/MCY/3602847 ")</f>
        <v xml:space="preserve">http://slimages.macys.com/is/image/MCY/3602847 </v>
      </c>
    </row>
    <row r="297" spans="1:13" ht="15.2" customHeight="1" x14ac:dyDescent="0.2">
      <c r="A297" s="26" t="s">
        <v>10568</v>
      </c>
      <c r="B297" s="27" t="s">
        <v>10569</v>
      </c>
      <c r="C297" s="28">
        <v>1</v>
      </c>
      <c r="D297" s="29">
        <v>6.85</v>
      </c>
      <c r="E297" s="29">
        <v>6.85</v>
      </c>
      <c r="F297" s="30">
        <v>19.989999999999998</v>
      </c>
      <c r="G297" s="29">
        <v>19.989999999999998</v>
      </c>
      <c r="H297" s="28" t="s">
        <v>2989</v>
      </c>
      <c r="I297" s="27" t="s">
        <v>75</v>
      </c>
      <c r="J297" s="31" t="s">
        <v>21</v>
      </c>
      <c r="K297" s="27" t="s">
        <v>196</v>
      </c>
      <c r="L297" s="27" t="s">
        <v>239</v>
      </c>
      <c r="M297" s="32" t="str">
        <f>HYPERLINK("http://slimages.macys.com/is/image/MCY/3602847 ")</f>
        <v xml:space="preserve">http://slimages.macys.com/is/image/MCY/3602847 </v>
      </c>
    </row>
    <row r="298" spans="1:13" ht="15.2" customHeight="1" x14ac:dyDescent="0.2">
      <c r="A298" s="26" t="s">
        <v>1442</v>
      </c>
      <c r="B298" s="27" t="s">
        <v>1443</v>
      </c>
      <c r="C298" s="28">
        <v>1</v>
      </c>
      <c r="D298" s="29">
        <v>6.75</v>
      </c>
      <c r="E298" s="29">
        <v>6.75</v>
      </c>
      <c r="F298" s="30">
        <v>12.99</v>
      </c>
      <c r="G298" s="29">
        <v>12.99</v>
      </c>
      <c r="H298" s="28" t="s">
        <v>874</v>
      </c>
      <c r="I298" s="27" t="s">
        <v>59</v>
      </c>
      <c r="J298" s="31" t="s">
        <v>5</v>
      </c>
      <c r="K298" s="27" t="s">
        <v>282</v>
      </c>
      <c r="L298" s="27" t="s">
        <v>225</v>
      </c>
      <c r="M298" s="32" t="str">
        <f>HYPERLINK("http://slimages.macys.com/is/image/MCY/3905659 ")</f>
        <v xml:space="preserve">http://slimages.macys.com/is/image/MCY/3905659 </v>
      </c>
    </row>
    <row r="299" spans="1:13" ht="15.2" customHeight="1" x14ac:dyDescent="0.2">
      <c r="A299" s="26" t="s">
        <v>10570</v>
      </c>
      <c r="B299" s="27" t="s">
        <v>10571</v>
      </c>
      <c r="C299" s="28">
        <v>1</v>
      </c>
      <c r="D299" s="29">
        <v>6.75</v>
      </c>
      <c r="E299" s="29">
        <v>6.75</v>
      </c>
      <c r="F299" s="30">
        <v>14.99</v>
      </c>
      <c r="G299" s="29">
        <v>14.99</v>
      </c>
      <c r="H299" s="28">
        <v>60444950</v>
      </c>
      <c r="I299" s="27" t="s">
        <v>75</v>
      </c>
      <c r="J299" s="31" t="s">
        <v>52</v>
      </c>
      <c r="K299" s="27" t="s">
        <v>208</v>
      </c>
      <c r="L299" s="27" t="s">
        <v>255</v>
      </c>
      <c r="M299" s="32" t="str">
        <f>HYPERLINK("http://slimages.macys.com/is/image/MCY/3927794 ")</f>
        <v xml:space="preserve">http://slimages.macys.com/is/image/MCY/3927794 </v>
      </c>
    </row>
    <row r="300" spans="1:13" ht="15.2" customHeight="1" x14ac:dyDescent="0.2">
      <c r="A300" s="26" t="s">
        <v>389</v>
      </c>
      <c r="B300" s="27" t="s">
        <v>390</v>
      </c>
      <c r="C300" s="28">
        <v>1</v>
      </c>
      <c r="D300" s="29">
        <v>6.7</v>
      </c>
      <c r="E300" s="29">
        <v>6.7</v>
      </c>
      <c r="F300" s="30">
        <v>16.989999999999998</v>
      </c>
      <c r="G300" s="29">
        <v>16.989999999999998</v>
      </c>
      <c r="H300" s="28" t="s">
        <v>391</v>
      </c>
      <c r="I300" s="27" t="s">
        <v>10</v>
      </c>
      <c r="J300" s="31" t="s">
        <v>40</v>
      </c>
      <c r="K300" s="27" t="s">
        <v>208</v>
      </c>
      <c r="L300" s="27" t="s">
        <v>197</v>
      </c>
      <c r="M300" s="32" t="str">
        <f>HYPERLINK("http://slimages.macys.com/is/image/MCY/3733822 ")</f>
        <v xml:space="preserve">http://slimages.macys.com/is/image/MCY/3733822 </v>
      </c>
    </row>
    <row r="301" spans="1:13" ht="15.2" customHeight="1" x14ac:dyDescent="0.2">
      <c r="A301" s="26" t="s">
        <v>10572</v>
      </c>
      <c r="B301" s="27" t="s">
        <v>10573</v>
      </c>
      <c r="C301" s="28">
        <v>1</v>
      </c>
      <c r="D301" s="29">
        <v>6.5</v>
      </c>
      <c r="E301" s="29">
        <v>6.5</v>
      </c>
      <c r="F301" s="30">
        <v>13.99</v>
      </c>
      <c r="G301" s="29">
        <v>13.99</v>
      </c>
      <c r="H301" s="28" t="s">
        <v>10574</v>
      </c>
      <c r="I301" s="27" t="s">
        <v>94</v>
      </c>
      <c r="J301" s="31" t="s">
        <v>40</v>
      </c>
      <c r="K301" s="27" t="s">
        <v>282</v>
      </c>
      <c r="L301" s="27" t="s">
        <v>260</v>
      </c>
      <c r="M301" s="32" t="str">
        <f>HYPERLINK("http://slimages.macys.com/is/image/MCY/3773900 ")</f>
        <v xml:space="preserve">http://slimages.macys.com/is/image/MCY/3773900 </v>
      </c>
    </row>
    <row r="302" spans="1:13" ht="15.2" customHeight="1" x14ac:dyDescent="0.2">
      <c r="A302" s="26" t="s">
        <v>10575</v>
      </c>
      <c r="B302" s="27" t="s">
        <v>10576</v>
      </c>
      <c r="C302" s="28">
        <v>1</v>
      </c>
      <c r="D302" s="29">
        <v>6.35</v>
      </c>
      <c r="E302" s="29">
        <v>6.35</v>
      </c>
      <c r="F302" s="30">
        <v>13.99</v>
      </c>
      <c r="G302" s="29">
        <v>13.99</v>
      </c>
      <c r="H302" s="28" t="s">
        <v>1924</v>
      </c>
      <c r="I302" s="27" t="s">
        <v>33</v>
      </c>
      <c r="J302" s="31" t="s">
        <v>52</v>
      </c>
      <c r="K302" s="27" t="s">
        <v>282</v>
      </c>
      <c r="L302" s="27" t="s">
        <v>312</v>
      </c>
      <c r="M302" s="32" t="str">
        <f>HYPERLINK("http://slimages.macys.com/is/image/MCY/3845015 ")</f>
        <v xml:space="preserve">http://slimages.macys.com/is/image/MCY/3845015 </v>
      </c>
    </row>
    <row r="303" spans="1:13" ht="15.2" customHeight="1" x14ac:dyDescent="0.2">
      <c r="A303" s="26" t="s">
        <v>7577</v>
      </c>
      <c r="B303" s="27" t="s">
        <v>7578</v>
      </c>
      <c r="C303" s="28">
        <v>1</v>
      </c>
      <c r="D303" s="29">
        <v>6.3</v>
      </c>
      <c r="E303" s="29">
        <v>6.3</v>
      </c>
      <c r="F303" s="30">
        <v>16.989999999999998</v>
      </c>
      <c r="G303" s="29">
        <v>16.989999999999998</v>
      </c>
      <c r="H303" s="28" t="s">
        <v>7579</v>
      </c>
      <c r="I303" s="27" t="s">
        <v>4</v>
      </c>
      <c r="J303" s="31" t="s">
        <v>40</v>
      </c>
      <c r="K303" s="27" t="s">
        <v>159</v>
      </c>
      <c r="L303" s="27" t="s">
        <v>160</v>
      </c>
      <c r="M303" s="32" t="str">
        <f>HYPERLINK("http://slimages.macys.com/is/image/MCY/3623500 ")</f>
        <v xml:space="preserve">http://slimages.macys.com/is/image/MCY/3623500 </v>
      </c>
    </row>
    <row r="304" spans="1:13" ht="15.2" customHeight="1" x14ac:dyDescent="0.2">
      <c r="A304" s="26" t="s">
        <v>1927</v>
      </c>
      <c r="B304" s="27" t="s">
        <v>1928</v>
      </c>
      <c r="C304" s="28">
        <v>1</v>
      </c>
      <c r="D304" s="29">
        <v>6.3</v>
      </c>
      <c r="E304" s="29">
        <v>6.3</v>
      </c>
      <c r="F304" s="30">
        <v>14.99</v>
      </c>
      <c r="G304" s="29">
        <v>14.99</v>
      </c>
      <c r="H304" s="28" t="s">
        <v>1925</v>
      </c>
      <c r="I304" s="27" t="s">
        <v>82</v>
      </c>
      <c r="J304" s="31" t="s">
        <v>40</v>
      </c>
      <c r="K304" s="27" t="s">
        <v>159</v>
      </c>
      <c r="L304" s="27" t="s">
        <v>160</v>
      </c>
      <c r="M304" s="32" t="str">
        <f>HYPERLINK("http://slimages.macys.com/is/image/MCY/3953479 ")</f>
        <v xml:space="preserve">http://slimages.macys.com/is/image/MCY/3953479 </v>
      </c>
    </row>
    <row r="305" spans="1:13" ht="15.2" customHeight="1" x14ac:dyDescent="0.2">
      <c r="A305" s="26" t="s">
        <v>8706</v>
      </c>
      <c r="B305" s="27" t="s">
        <v>8707</v>
      </c>
      <c r="C305" s="28">
        <v>1</v>
      </c>
      <c r="D305" s="29">
        <v>6.25</v>
      </c>
      <c r="E305" s="29">
        <v>6.25</v>
      </c>
      <c r="F305" s="30">
        <v>12.99</v>
      </c>
      <c r="G305" s="29">
        <v>12.99</v>
      </c>
      <c r="H305" s="28" t="s">
        <v>1470</v>
      </c>
      <c r="I305" s="27" t="s">
        <v>215</v>
      </c>
      <c r="J305" s="31" t="s">
        <v>5</v>
      </c>
      <c r="K305" s="27" t="s">
        <v>282</v>
      </c>
      <c r="L305" s="27" t="s">
        <v>283</v>
      </c>
      <c r="M305" s="32" t="str">
        <f>HYPERLINK("http://slimages.macys.com/is/image/MCY/3773406 ")</f>
        <v xml:space="preserve">http://slimages.macys.com/is/image/MCY/3773406 </v>
      </c>
    </row>
    <row r="306" spans="1:13" ht="15.2" customHeight="1" x14ac:dyDescent="0.2">
      <c r="A306" s="26" t="s">
        <v>10297</v>
      </c>
      <c r="B306" s="27" t="s">
        <v>10298</v>
      </c>
      <c r="C306" s="28">
        <v>1</v>
      </c>
      <c r="D306" s="29">
        <v>6.25</v>
      </c>
      <c r="E306" s="29">
        <v>6.25</v>
      </c>
      <c r="F306" s="30">
        <v>12.99</v>
      </c>
      <c r="G306" s="29">
        <v>12.99</v>
      </c>
      <c r="H306" s="28" t="s">
        <v>2373</v>
      </c>
      <c r="I306" s="27" t="s">
        <v>82</v>
      </c>
      <c r="J306" s="31" t="s">
        <v>52</v>
      </c>
      <c r="K306" s="27" t="s">
        <v>282</v>
      </c>
      <c r="L306" s="27" t="s">
        <v>283</v>
      </c>
      <c r="M306" s="32" t="str">
        <f>HYPERLINK("http://slimages.macys.com/is/image/MCY/3773475 ")</f>
        <v xml:space="preserve">http://slimages.macys.com/is/image/MCY/3773475 </v>
      </c>
    </row>
    <row r="307" spans="1:13" ht="15.2" customHeight="1" x14ac:dyDescent="0.2">
      <c r="A307" s="26" t="s">
        <v>7685</v>
      </c>
      <c r="B307" s="27" t="s">
        <v>7686</v>
      </c>
      <c r="C307" s="28">
        <v>1</v>
      </c>
      <c r="D307" s="29">
        <v>6.25</v>
      </c>
      <c r="E307" s="29">
        <v>6.25</v>
      </c>
      <c r="F307" s="30">
        <v>13.99</v>
      </c>
      <c r="G307" s="29">
        <v>13.99</v>
      </c>
      <c r="H307" s="28" t="s">
        <v>2374</v>
      </c>
      <c r="I307" s="27" t="s">
        <v>189</v>
      </c>
      <c r="J307" s="31" t="s">
        <v>52</v>
      </c>
      <c r="K307" s="27" t="s">
        <v>282</v>
      </c>
      <c r="L307" s="27" t="s">
        <v>260</v>
      </c>
      <c r="M307" s="32" t="str">
        <f>HYPERLINK("http://slimages.macys.com/is/image/MCY/3879621 ")</f>
        <v xml:space="preserve">http://slimages.macys.com/is/image/MCY/3879621 </v>
      </c>
    </row>
    <row r="308" spans="1:13" ht="15.2" customHeight="1" x14ac:dyDescent="0.2">
      <c r="A308" s="26" t="s">
        <v>885</v>
      </c>
      <c r="B308" s="27" t="s">
        <v>886</v>
      </c>
      <c r="C308" s="28">
        <v>1</v>
      </c>
      <c r="D308" s="29">
        <v>6.25</v>
      </c>
      <c r="E308" s="29">
        <v>6.25</v>
      </c>
      <c r="F308" s="30">
        <v>12.99</v>
      </c>
      <c r="G308" s="29">
        <v>12.99</v>
      </c>
      <c r="H308" s="28" t="s">
        <v>887</v>
      </c>
      <c r="I308" s="27" t="s">
        <v>82</v>
      </c>
      <c r="J308" s="31" t="s">
        <v>40</v>
      </c>
      <c r="K308" s="27" t="s">
        <v>282</v>
      </c>
      <c r="L308" s="27" t="s">
        <v>283</v>
      </c>
      <c r="M308" s="32" t="str">
        <f>HYPERLINK("http://slimages.macys.com/is/image/MCY/3774229 ")</f>
        <v xml:space="preserve">http://slimages.macys.com/is/image/MCY/3774229 </v>
      </c>
    </row>
    <row r="309" spans="1:13" ht="15.2" customHeight="1" x14ac:dyDescent="0.2">
      <c r="A309" s="26" t="s">
        <v>8072</v>
      </c>
      <c r="B309" s="27" t="s">
        <v>8073</v>
      </c>
      <c r="C309" s="28">
        <v>1</v>
      </c>
      <c r="D309" s="29">
        <v>6.25</v>
      </c>
      <c r="E309" s="29">
        <v>6.25</v>
      </c>
      <c r="F309" s="30">
        <v>19.989999999999998</v>
      </c>
      <c r="G309" s="29">
        <v>19.989999999999998</v>
      </c>
      <c r="H309" s="28" t="s">
        <v>1471</v>
      </c>
      <c r="I309" s="27" t="s">
        <v>94</v>
      </c>
      <c r="J309" s="31" t="s">
        <v>21</v>
      </c>
      <c r="K309" s="27" t="s">
        <v>196</v>
      </c>
      <c r="L309" s="27" t="s">
        <v>239</v>
      </c>
      <c r="M309" s="32" t="str">
        <f>HYPERLINK("http://slimages.macys.com/is/image/MCY/3671543 ")</f>
        <v xml:space="preserve">http://slimages.macys.com/is/image/MCY/3671543 </v>
      </c>
    </row>
    <row r="310" spans="1:13" ht="15.2" customHeight="1" x14ac:dyDescent="0.2">
      <c r="A310" s="26" t="s">
        <v>2686</v>
      </c>
      <c r="B310" s="27" t="s">
        <v>2687</v>
      </c>
      <c r="C310" s="28">
        <v>1</v>
      </c>
      <c r="D310" s="29">
        <v>6.25</v>
      </c>
      <c r="E310" s="29">
        <v>6.25</v>
      </c>
      <c r="F310" s="30">
        <v>12.99</v>
      </c>
      <c r="G310" s="29">
        <v>12.99</v>
      </c>
      <c r="H310" s="28" t="s">
        <v>887</v>
      </c>
      <c r="I310" s="27" t="s">
        <v>82</v>
      </c>
      <c r="J310" s="31" t="s">
        <v>21</v>
      </c>
      <c r="K310" s="27" t="s">
        <v>282</v>
      </c>
      <c r="L310" s="27" t="s">
        <v>283</v>
      </c>
      <c r="M310" s="32" t="str">
        <f>HYPERLINK("http://slimages.macys.com/is/image/MCY/3774229 ")</f>
        <v xml:space="preserve">http://slimages.macys.com/is/image/MCY/3774229 </v>
      </c>
    </row>
    <row r="311" spans="1:13" ht="15.2" customHeight="1" x14ac:dyDescent="0.2">
      <c r="A311" s="26" t="s">
        <v>7580</v>
      </c>
      <c r="B311" s="27" t="s">
        <v>7581</v>
      </c>
      <c r="C311" s="28">
        <v>1</v>
      </c>
      <c r="D311" s="29">
        <v>6.25</v>
      </c>
      <c r="E311" s="29">
        <v>6.25</v>
      </c>
      <c r="F311" s="30">
        <v>12.99</v>
      </c>
      <c r="G311" s="29">
        <v>12.99</v>
      </c>
      <c r="H311" s="28" t="s">
        <v>887</v>
      </c>
      <c r="I311" s="27" t="s">
        <v>82</v>
      </c>
      <c r="J311" s="31" t="s">
        <v>71</v>
      </c>
      <c r="K311" s="27" t="s">
        <v>282</v>
      </c>
      <c r="L311" s="27" t="s">
        <v>283</v>
      </c>
      <c r="M311" s="32" t="str">
        <f>HYPERLINK("http://slimages.macys.com/is/image/MCY/3774229 ")</f>
        <v xml:space="preserve">http://slimages.macys.com/is/image/MCY/3774229 </v>
      </c>
    </row>
    <row r="312" spans="1:13" ht="15.2" customHeight="1" x14ac:dyDescent="0.2">
      <c r="A312" s="26" t="s">
        <v>2370</v>
      </c>
      <c r="B312" s="27" t="s">
        <v>2371</v>
      </c>
      <c r="C312" s="28">
        <v>2</v>
      </c>
      <c r="D312" s="29">
        <v>6.25</v>
      </c>
      <c r="E312" s="29">
        <v>12.5</v>
      </c>
      <c r="F312" s="30">
        <v>12.99</v>
      </c>
      <c r="G312" s="29">
        <v>25.98</v>
      </c>
      <c r="H312" s="28" t="s">
        <v>2372</v>
      </c>
      <c r="I312" s="27" t="s">
        <v>10</v>
      </c>
      <c r="J312" s="31" t="s">
        <v>40</v>
      </c>
      <c r="K312" s="27" t="s">
        <v>282</v>
      </c>
      <c r="L312" s="27" t="s">
        <v>283</v>
      </c>
      <c r="M312" s="32" t="str">
        <f>HYPERLINK("http://slimages.macys.com/is/image/MCY/3821010 ")</f>
        <v xml:space="preserve">http://slimages.macys.com/is/image/MCY/3821010 </v>
      </c>
    </row>
    <row r="313" spans="1:13" ht="15.2" customHeight="1" x14ac:dyDescent="0.2">
      <c r="A313" s="26" t="s">
        <v>7150</v>
      </c>
      <c r="B313" s="27" t="s">
        <v>7151</v>
      </c>
      <c r="C313" s="28">
        <v>1</v>
      </c>
      <c r="D313" s="29">
        <v>6.15</v>
      </c>
      <c r="E313" s="29">
        <v>6.15</v>
      </c>
      <c r="F313" s="30">
        <v>13.99</v>
      </c>
      <c r="G313" s="29">
        <v>13.99</v>
      </c>
      <c r="H313" s="28" t="s">
        <v>407</v>
      </c>
      <c r="I313" s="27" t="s">
        <v>4</v>
      </c>
      <c r="J313" s="31" t="s">
        <v>71</v>
      </c>
      <c r="K313" s="27" t="s">
        <v>282</v>
      </c>
      <c r="L313" s="27" t="s">
        <v>260</v>
      </c>
      <c r="M313" s="32" t="str">
        <f>HYPERLINK("http://slimages.macys.com/is/image/MCY/3910835 ")</f>
        <v xml:space="preserve">http://slimages.macys.com/is/image/MCY/3910835 </v>
      </c>
    </row>
    <row r="314" spans="1:13" ht="15.2" customHeight="1" x14ac:dyDescent="0.2">
      <c r="A314" s="26" t="s">
        <v>10577</v>
      </c>
      <c r="B314" s="27" t="s">
        <v>10578</v>
      </c>
      <c r="C314" s="28">
        <v>1</v>
      </c>
      <c r="D314" s="29">
        <v>6.15</v>
      </c>
      <c r="E314" s="29">
        <v>6.15</v>
      </c>
      <c r="F314" s="30">
        <v>14.99</v>
      </c>
      <c r="G314" s="29">
        <v>14.99</v>
      </c>
      <c r="H314" s="28" t="s">
        <v>5478</v>
      </c>
      <c r="I314" s="27" t="s">
        <v>4</v>
      </c>
      <c r="J314" s="31" t="s">
        <v>71</v>
      </c>
      <c r="K314" s="27" t="s">
        <v>159</v>
      </c>
      <c r="L314" s="27" t="s">
        <v>160</v>
      </c>
      <c r="M314" s="32" t="str">
        <f>HYPERLINK("http://slimages.macys.com/is/image/MCY/3857666 ")</f>
        <v xml:space="preserve">http://slimages.macys.com/is/image/MCY/3857666 </v>
      </c>
    </row>
    <row r="315" spans="1:13" ht="15.2" customHeight="1" x14ac:dyDescent="0.2">
      <c r="A315" s="26" t="s">
        <v>10579</v>
      </c>
      <c r="B315" s="27" t="s">
        <v>10580</v>
      </c>
      <c r="C315" s="28">
        <v>1</v>
      </c>
      <c r="D315" s="29">
        <v>6.05</v>
      </c>
      <c r="E315" s="29">
        <v>6.05</v>
      </c>
      <c r="F315" s="30">
        <v>13.99</v>
      </c>
      <c r="G315" s="29">
        <v>13.99</v>
      </c>
      <c r="H315" s="28" t="s">
        <v>6051</v>
      </c>
      <c r="I315" s="27" t="s">
        <v>36</v>
      </c>
      <c r="J315" s="31" t="s">
        <v>52</v>
      </c>
      <c r="K315" s="27" t="s">
        <v>282</v>
      </c>
      <c r="L315" s="27" t="s">
        <v>256</v>
      </c>
      <c r="M315" s="32" t="str">
        <f>HYPERLINK("http://slimages.macys.com/is/image/MCY/3634511 ")</f>
        <v xml:space="preserve">http://slimages.macys.com/is/image/MCY/3634511 </v>
      </c>
    </row>
    <row r="316" spans="1:13" ht="15.2" customHeight="1" x14ac:dyDescent="0.2">
      <c r="A316" s="26" t="s">
        <v>1488</v>
      </c>
      <c r="B316" s="27" t="s">
        <v>1489</v>
      </c>
      <c r="C316" s="28">
        <v>1</v>
      </c>
      <c r="D316" s="29">
        <v>6</v>
      </c>
      <c r="E316" s="29">
        <v>6</v>
      </c>
      <c r="F316" s="30">
        <v>12.99</v>
      </c>
      <c r="G316" s="29">
        <v>12.99</v>
      </c>
      <c r="H316" s="28" t="s">
        <v>898</v>
      </c>
      <c r="I316" s="27" t="s">
        <v>215</v>
      </c>
      <c r="J316" s="31" t="s">
        <v>5</v>
      </c>
      <c r="K316" s="27" t="s">
        <v>282</v>
      </c>
      <c r="L316" s="27" t="s">
        <v>283</v>
      </c>
      <c r="M316" s="32" t="str">
        <f>HYPERLINK("http://slimages.macys.com/is/image/MCY/3875957 ")</f>
        <v xml:space="preserve">http://slimages.macys.com/is/image/MCY/3875957 </v>
      </c>
    </row>
    <row r="317" spans="1:13" ht="15.2" customHeight="1" x14ac:dyDescent="0.2">
      <c r="A317" s="26" t="s">
        <v>10581</v>
      </c>
      <c r="B317" s="27" t="s">
        <v>10582</v>
      </c>
      <c r="C317" s="28">
        <v>1</v>
      </c>
      <c r="D317" s="29">
        <v>6</v>
      </c>
      <c r="E317" s="29">
        <v>6</v>
      </c>
      <c r="F317" s="30">
        <v>16.989999999999998</v>
      </c>
      <c r="G317" s="29">
        <v>16.989999999999998</v>
      </c>
      <c r="H317" s="28" t="s">
        <v>8716</v>
      </c>
      <c r="I317" s="27"/>
      <c r="J317" s="31" t="s">
        <v>40</v>
      </c>
      <c r="K317" s="27" t="s">
        <v>196</v>
      </c>
      <c r="L317" s="27" t="s">
        <v>256</v>
      </c>
      <c r="M317" s="32" t="str">
        <f>HYPERLINK("http://slimages.macys.com/is/image/MCY/3799640 ")</f>
        <v xml:space="preserve">http://slimages.macys.com/is/image/MCY/3799640 </v>
      </c>
    </row>
    <row r="318" spans="1:13" ht="15.2" customHeight="1" x14ac:dyDescent="0.2">
      <c r="A318" s="26" t="s">
        <v>2375</v>
      </c>
      <c r="B318" s="27" t="s">
        <v>2376</v>
      </c>
      <c r="C318" s="28">
        <v>1</v>
      </c>
      <c r="D318" s="29">
        <v>6</v>
      </c>
      <c r="E318" s="29">
        <v>6</v>
      </c>
      <c r="F318" s="30">
        <v>12.99</v>
      </c>
      <c r="G318" s="29">
        <v>12.99</v>
      </c>
      <c r="H318" s="28" t="s">
        <v>891</v>
      </c>
      <c r="I318" s="27" t="s">
        <v>478</v>
      </c>
      <c r="J318" s="31" t="s">
        <v>21</v>
      </c>
      <c r="K318" s="27" t="s">
        <v>282</v>
      </c>
      <c r="L318" s="27" t="s">
        <v>327</v>
      </c>
      <c r="M318" s="32" t="str">
        <f>HYPERLINK("http://slimages.macys.com/is/image/MCY/3773739 ")</f>
        <v xml:space="preserve">http://slimages.macys.com/is/image/MCY/3773739 </v>
      </c>
    </row>
    <row r="319" spans="1:13" ht="15.2" customHeight="1" x14ac:dyDescent="0.2">
      <c r="A319" s="26" t="s">
        <v>1935</v>
      </c>
      <c r="B319" s="27" t="s">
        <v>1936</v>
      </c>
      <c r="C319" s="28">
        <v>1</v>
      </c>
      <c r="D319" s="29">
        <v>6</v>
      </c>
      <c r="E319" s="29">
        <v>6</v>
      </c>
      <c r="F319" s="30">
        <v>12.99</v>
      </c>
      <c r="G319" s="29">
        <v>12.99</v>
      </c>
      <c r="H319" s="28" t="s">
        <v>1502</v>
      </c>
      <c r="I319" s="27" t="s">
        <v>82</v>
      </c>
      <c r="J319" s="31" t="s">
        <v>21</v>
      </c>
      <c r="K319" s="27" t="s">
        <v>282</v>
      </c>
      <c r="L319" s="27" t="s">
        <v>283</v>
      </c>
      <c r="M319" s="32" t="str">
        <f>HYPERLINK("http://slimages.macys.com/is/image/MCY/3910978 ")</f>
        <v xml:space="preserve">http://slimages.macys.com/is/image/MCY/3910978 </v>
      </c>
    </row>
    <row r="320" spans="1:13" ht="15.2" customHeight="1" x14ac:dyDescent="0.2">
      <c r="A320" s="26" t="s">
        <v>10583</v>
      </c>
      <c r="B320" s="27" t="s">
        <v>10584</v>
      </c>
      <c r="C320" s="28">
        <v>1</v>
      </c>
      <c r="D320" s="29">
        <v>6</v>
      </c>
      <c r="E320" s="29">
        <v>6</v>
      </c>
      <c r="F320" s="30">
        <v>12.99</v>
      </c>
      <c r="G320" s="29">
        <v>12.99</v>
      </c>
      <c r="H320" s="28" t="s">
        <v>10585</v>
      </c>
      <c r="I320" s="27"/>
      <c r="J320" s="31" t="s">
        <v>5</v>
      </c>
      <c r="K320" s="27" t="s">
        <v>282</v>
      </c>
      <c r="L320" s="27" t="s">
        <v>327</v>
      </c>
      <c r="M320" s="32" t="str">
        <f>HYPERLINK("http://slimages.macys.com/is/image/MCY/3812937 ")</f>
        <v xml:space="preserve">http://slimages.macys.com/is/image/MCY/3812937 </v>
      </c>
    </row>
    <row r="321" spans="1:13" ht="15.2" customHeight="1" x14ac:dyDescent="0.2">
      <c r="A321" s="26" t="s">
        <v>7161</v>
      </c>
      <c r="B321" s="27" t="s">
        <v>7162</v>
      </c>
      <c r="C321" s="28">
        <v>1</v>
      </c>
      <c r="D321" s="29">
        <v>6</v>
      </c>
      <c r="E321" s="29">
        <v>6</v>
      </c>
      <c r="F321" s="30">
        <v>13.99</v>
      </c>
      <c r="G321" s="29">
        <v>13.99</v>
      </c>
      <c r="H321" s="28" t="s">
        <v>407</v>
      </c>
      <c r="I321" s="27" t="s">
        <v>4</v>
      </c>
      <c r="J321" s="31" t="s">
        <v>71</v>
      </c>
      <c r="K321" s="27" t="s">
        <v>282</v>
      </c>
      <c r="L321" s="27" t="s">
        <v>260</v>
      </c>
      <c r="M321" s="32" t="str">
        <f>HYPERLINK("http://slimages.macys.com/is/image/MCY/3886683 ")</f>
        <v xml:space="preserve">http://slimages.macys.com/is/image/MCY/3886683 </v>
      </c>
    </row>
    <row r="322" spans="1:13" ht="15.2" customHeight="1" x14ac:dyDescent="0.2">
      <c r="A322" s="26" t="s">
        <v>10164</v>
      </c>
      <c r="B322" s="27" t="s">
        <v>10165</v>
      </c>
      <c r="C322" s="28">
        <v>1</v>
      </c>
      <c r="D322" s="29">
        <v>6</v>
      </c>
      <c r="E322" s="29">
        <v>6</v>
      </c>
      <c r="F322" s="30">
        <v>12.99</v>
      </c>
      <c r="G322" s="29">
        <v>12.99</v>
      </c>
      <c r="H322" s="28" t="s">
        <v>894</v>
      </c>
      <c r="I322" s="27" t="s">
        <v>343</v>
      </c>
      <c r="J322" s="31" t="s">
        <v>71</v>
      </c>
      <c r="K322" s="27" t="s">
        <v>282</v>
      </c>
      <c r="L322" s="27" t="s">
        <v>312</v>
      </c>
      <c r="M322" s="32" t="str">
        <f>HYPERLINK("http://slimages.macys.com/is/image/MCY/3947468 ")</f>
        <v xml:space="preserve">http://slimages.macys.com/is/image/MCY/3947468 </v>
      </c>
    </row>
    <row r="323" spans="1:13" ht="15.2" customHeight="1" x14ac:dyDescent="0.2">
      <c r="A323" s="26" t="s">
        <v>10586</v>
      </c>
      <c r="B323" s="27" t="s">
        <v>10587</v>
      </c>
      <c r="C323" s="28">
        <v>1</v>
      </c>
      <c r="D323" s="29">
        <v>6</v>
      </c>
      <c r="E323" s="29">
        <v>6</v>
      </c>
      <c r="F323" s="30">
        <v>12.99</v>
      </c>
      <c r="G323" s="29">
        <v>12.99</v>
      </c>
      <c r="H323" s="28" t="s">
        <v>7171</v>
      </c>
      <c r="I323" s="27" t="s">
        <v>4</v>
      </c>
      <c r="J323" s="31" t="s">
        <v>52</v>
      </c>
      <c r="K323" s="27" t="s">
        <v>282</v>
      </c>
      <c r="L323" s="27" t="s">
        <v>283</v>
      </c>
      <c r="M323" s="32" t="str">
        <f>HYPERLINK("http://slimages.macys.com/is/image/MCY/3875954 ")</f>
        <v xml:space="preserve">http://slimages.macys.com/is/image/MCY/3875954 </v>
      </c>
    </row>
    <row r="324" spans="1:13" ht="15.2" customHeight="1" x14ac:dyDescent="0.2">
      <c r="A324" s="26" t="s">
        <v>2389</v>
      </c>
      <c r="B324" s="27" t="s">
        <v>2390</v>
      </c>
      <c r="C324" s="28">
        <v>1</v>
      </c>
      <c r="D324" s="29">
        <v>6</v>
      </c>
      <c r="E324" s="29">
        <v>6</v>
      </c>
      <c r="F324" s="30">
        <v>12.99</v>
      </c>
      <c r="G324" s="29">
        <v>12.99</v>
      </c>
      <c r="H324" s="28" t="s">
        <v>1502</v>
      </c>
      <c r="I324" s="27" t="s">
        <v>82</v>
      </c>
      <c r="J324" s="31" t="s">
        <v>40</v>
      </c>
      <c r="K324" s="27" t="s">
        <v>282</v>
      </c>
      <c r="L324" s="27" t="s">
        <v>283</v>
      </c>
      <c r="M324" s="32" t="str">
        <f>HYPERLINK("http://slimages.macys.com/is/image/MCY/3910978 ")</f>
        <v xml:space="preserve">http://slimages.macys.com/is/image/MCY/3910978 </v>
      </c>
    </row>
    <row r="325" spans="1:13" ht="15.2" customHeight="1" x14ac:dyDescent="0.2">
      <c r="A325" s="26" t="s">
        <v>10588</v>
      </c>
      <c r="B325" s="27" t="s">
        <v>10589</v>
      </c>
      <c r="C325" s="28">
        <v>1</v>
      </c>
      <c r="D325" s="29">
        <v>6</v>
      </c>
      <c r="E325" s="29">
        <v>6</v>
      </c>
      <c r="F325" s="30">
        <v>13.99</v>
      </c>
      <c r="G325" s="29">
        <v>13.99</v>
      </c>
      <c r="H325" s="28" t="s">
        <v>407</v>
      </c>
      <c r="I325" s="27" t="s">
        <v>26</v>
      </c>
      <c r="J325" s="31" t="s">
        <v>52</v>
      </c>
      <c r="K325" s="27" t="s">
        <v>282</v>
      </c>
      <c r="L325" s="27" t="s">
        <v>260</v>
      </c>
      <c r="M325" s="32" t="str">
        <f>HYPERLINK("http://slimages.macys.com/is/image/MCY/3910835 ")</f>
        <v xml:space="preserve">http://slimages.macys.com/is/image/MCY/3910835 </v>
      </c>
    </row>
    <row r="326" spans="1:13" ht="15.2" customHeight="1" x14ac:dyDescent="0.2">
      <c r="A326" s="26" t="s">
        <v>2385</v>
      </c>
      <c r="B326" s="27" t="s">
        <v>2386</v>
      </c>
      <c r="C326" s="28">
        <v>1</v>
      </c>
      <c r="D326" s="29">
        <v>6</v>
      </c>
      <c r="E326" s="29">
        <v>6</v>
      </c>
      <c r="F326" s="30">
        <v>12.99</v>
      </c>
      <c r="G326" s="29">
        <v>12.99</v>
      </c>
      <c r="H326" s="28" t="s">
        <v>894</v>
      </c>
      <c r="I326" s="27" t="s">
        <v>343</v>
      </c>
      <c r="J326" s="31" t="s">
        <v>40</v>
      </c>
      <c r="K326" s="27" t="s">
        <v>282</v>
      </c>
      <c r="L326" s="27" t="s">
        <v>312</v>
      </c>
      <c r="M326" s="32" t="str">
        <f>HYPERLINK("http://slimages.macys.com/is/image/MCY/3947468 ")</f>
        <v xml:space="preserve">http://slimages.macys.com/is/image/MCY/3947468 </v>
      </c>
    </row>
    <row r="327" spans="1:13" ht="15.2" customHeight="1" x14ac:dyDescent="0.2">
      <c r="A327" s="26" t="s">
        <v>5792</v>
      </c>
      <c r="B327" s="27" t="s">
        <v>5793</v>
      </c>
      <c r="C327" s="28">
        <v>1</v>
      </c>
      <c r="D327" s="29">
        <v>6</v>
      </c>
      <c r="E327" s="29">
        <v>6</v>
      </c>
      <c r="F327" s="30">
        <v>12.99</v>
      </c>
      <c r="G327" s="29">
        <v>12.99</v>
      </c>
      <c r="H327" s="28" t="s">
        <v>890</v>
      </c>
      <c r="I327" s="27" t="s">
        <v>82</v>
      </c>
      <c r="J327" s="31" t="s">
        <v>71</v>
      </c>
      <c r="K327" s="27" t="s">
        <v>282</v>
      </c>
      <c r="L327" s="27" t="s">
        <v>283</v>
      </c>
      <c r="M327" s="32" t="str">
        <f>HYPERLINK("http://slimages.macys.com/is/image/MCY/3875958 ")</f>
        <v xml:space="preserve">http://slimages.macys.com/is/image/MCY/3875958 </v>
      </c>
    </row>
    <row r="328" spans="1:13" ht="15.2" customHeight="1" x14ac:dyDescent="0.2">
      <c r="A328" s="26" t="s">
        <v>1485</v>
      </c>
      <c r="B328" s="27" t="s">
        <v>1486</v>
      </c>
      <c r="C328" s="28">
        <v>1</v>
      </c>
      <c r="D328" s="29">
        <v>6</v>
      </c>
      <c r="E328" s="29">
        <v>6</v>
      </c>
      <c r="F328" s="30">
        <v>12.99</v>
      </c>
      <c r="G328" s="29">
        <v>12.99</v>
      </c>
      <c r="H328" s="28" t="s">
        <v>1487</v>
      </c>
      <c r="I328" s="27" t="s">
        <v>271</v>
      </c>
      <c r="J328" s="31" t="s">
        <v>21</v>
      </c>
      <c r="K328" s="27" t="s">
        <v>282</v>
      </c>
      <c r="L328" s="27" t="s">
        <v>327</v>
      </c>
      <c r="M328" s="32" t="str">
        <f>HYPERLINK("http://slimages.macys.com/is/image/MCY/3832160 ")</f>
        <v xml:space="preserve">http://slimages.macys.com/is/image/MCY/3832160 </v>
      </c>
    </row>
    <row r="329" spans="1:13" ht="15.2" customHeight="1" x14ac:dyDescent="0.2">
      <c r="A329" s="26" t="s">
        <v>10590</v>
      </c>
      <c r="B329" s="27" t="s">
        <v>10591</v>
      </c>
      <c r="C329" s="28">
        <v>1</v>
      </c>
      <c r="D329" s="29">
        <v>5.95</v>
      </c>
      <c r="E329" s="29">
        <v>5.95</v>
      </c>
      <c r="F329" s="30">
        <v>12.99</v>
      </c>
      <c r="G329" s="29">
        <v>12.99</v>
      </c>
      <c r="H329" s="28" t="s">
        <v>10592</v>
      </c>
      <c r="I329" s="27" t="s">
        <v>280</v>
      </c>
      <c r="J329" s="31" t="s">
        <v>21</v>
      </c>
      <c r="K329" s="27" t="s">
        <v>282</v>
      </c>
      <c r="L329" s="27" t="s">
        <v>358</v>
      </c>
      <c r="M329" s="32" t="str">
        <f>HYPERLINK("http://slimages.macys.com/is/image/MCY/3704436 ")</f>
        <v xml:space="preserve">http://slimages.macys.com/is/image/MCY/3704436 </v>
      </c>
    </row>
    <row r="330" spans="1:13" ht="15.2" customHeight="1" x14ac:dyDescent="0.2">
      <c r="A330" s="26" t="s">
        <v>10258</v>
      </c>
      <c r="B330" s="27" t="s">
        <v>10259</v>
      </c>
      <c r="C330" s="28">
        <v>1</v>
      </c>
      <c r="D330" s="29">
        <v>5.95</v>
      </c>
      <c r="E330" s="29">
        <v>5.95</v>
      </c>
      <c r="F330" s="30">
        <v>12.99</v>
      </c>
      <c r="G330" s="29">
        <v>12.99</v>
      </c>
      <c r="H330" s="28" t="s">
        <v>8083</v>
      </c>
      <c r="I330" s="27" t="s">
        <v>82</v>
      </c>
      <c r="J330" s="31" t="s">
        <v>5</v>
      </c>
      <c r="K330" s="27" t="s">
        <v>282</v>
      </c>
      <c r="L330" s="27" t="s">
        <v>358</v>
      </c>
      <c r="M330" s="32" t="str">
        <f>HYPERLINK("http://slimages.macys.com/is/image/MCY/3755128 ")</f>
        <v xml:space="preserve">http://slimages.macys.com/is/image/MCY/3755128 </v>
      </c>
    </row>
    <row r="331" spans="1:13" ht="15.2" customHeight="1" x14ac:dyDescent="0.2">
      <c r="A331" s="26" t="s">
        <v>10593</v>
      </c>
      <c r="B331" s="27" t="s">
        <v>10594</v>
      </c>
      <c r="C331" s="28">
        <v>2</v>
      </c>
      <c r="D331" s="29">
        <v>5.95</v>
      </c>
      <c r="E331" s="29">
        <v>11.9</v>
      </c>
      <c r="F331" s="30">
        <v>12.99</v>
      </c>
      <c r="G331" s="29">
        <v>25.98</v>
      </c>
      <c r="H331" s="28" t="s">
        <v>10595</v>
      </c>
      <c r="I331" s="27" t="s">
        <v>333</v>
      </c>
      <c r="J331" s="31" t="s">
        <v>71</v>
      </c>
      <c r="K331" s="27" t="s">
        <v>282</v>
      </c>
      <c r="L331" s="27" t="s">
        <v>358</v>
      </c>
      <c r="M331" s="32" t="str">
        <f>HYPERLINK("http://slimages.macys.com/is/image/MCY/3779131 ")</f>
        <v xml:space="preserve">http://slimages.macys.com/is/image/MCY/3779131 </v>
      </c>
    </row>
    <row r="332" spans="1:13" ht="15.2" customHeight="1" x14ac:dyDescent="0.2">
      <c r="A332" s="26" t="s">
        <v>8722</v>
      </c>
      <c r="B332" s="27" t="s">
        <v>8723</v>
      </c>
      <c r="C332" s="28">
        <v>1</v>
      </c>
      <c r="D332" s="29">
        <v>5.95</v>
      </c>
      <c r="E332" s="29">
        <v>5.95</v>
      </c>
      <c r="F332" s="30">
        <v>12.99</v>
      </c>
      <c r="G332" s="29">
        <v>12.99</v>
      </c>
      <c r="H332" s="28" t="s">
        <v>6054</v>
      </c>
      <c r="I332" s="27" t="s">
        <v>82</v>
      </c>
      <c r="J332" s="31" t="s">
        <v>21</v>
      </c>
      <c r="K332" s="27" t="s">
        <v>282</v>
      </c>
      <c r="L332" s="27" t="s">
        <v>358</v>
      </c>
      <c r="M332" s="32" t="str">
        <f>HYPERLINK("http://slimages.macys.com/is/image/MCY/3773694 ")</f>
        <v xml:space="preserve">http://slimages.macys.com/is/image/MCY/3773694 </v>
      </c>
    </row>
    <row r="333" spans="1:13" ht="15.2" customHeight="1" x14ac:dyDescent="0.2">
      <c r="A333" s="26" t="s">
        <v>8720</v>
      </c>
      <c r="B333" s="27" t="s">
        <v>8721</v>
      </c>
      <c r="C333" s="28">
        <v>1</v>
      </c>
      <c r="D333" s="29">
        <v>5.95</v>
      </c>
      <c r="E333" s="29">
        <v>5.95</v>
      </c>
      <c r="F333" s="30">
        <v>12.99</v>
      </c>
      <c r="G333" s="29">
        <v>12.99</v>
      </c>
      <c r="H333" s="28" t="s">
        <v>6054</v>
      </c>
      <c r="I333" s="27" t="s">
        <v>82</v>
      </c>
      <c r="J333" s="31" t="s">
        <v>5</v>
      </c>
      <c r="K333" s="27" t="s">
        <v>282</v>
      </c>
      <c r="L333" s="27" t="s">
        <v>358</v>
      </c>
      <c r="M333" s="32" t="str">
        <f>HYPERLINK("http://slimages.macys.com/is/image/MCY/3773694 ")</f>
        <v xml:space="preserve">http://slimages.macys.com/is/image/MCY/3773694 </v>
      </c>
    </row>
    <row r="334" spans="1:13" ht="15.2" customHeight="1" x14ac:dyDescent="0.2">
      <c r="A334" s="26" t="s">
        <v>7442</v>
      </c>
      <c r="B334" s="27" t="s">
        <v>7443</v>
      </c>
      <c r="C334" s="28">
        <v>1</v>
      </c>
      <c r="D334" s="29">
        <v>5.9</v>
      </c>
      <c r="E334" s="29">
        <v>5.9</v>
      </c>
      <c r="F334" s="30">
        <v>13.99</v>
      </c>
      <c r="G334" s="29">
        <v>13.99</v>
      </c>
      <c r="H334" s="28" t="s">
        <v>425</v>
      </c>
      <c r="I334" s="27" t="s">
        <v>26</v>
      </c>
      <c r="J334" s="31" t="s">
        <v>40</v>
      </c>
      <c r="K334" s="27" t="s">
        <v>282</v>
      </c>
      <c r="L334" s="27" t="s">
        <v>260</v>
      </c>
      <c r="M334" s="32" t="str">
        <f>HYPERLINK("http://slimages.macys.com/is/image/MCY/3773724 ")</f>
        <v xml:space="preserve">http://slimages.macys.com/is/image/MCY/3773724 </v>
      </c>
    </row>
    <row r="335" spans="1:13" ht="15.2" customHeight="1" x14ac:dyDescent="0.2">
      <c r="A335" s="26" t="s">
        <v>10596</v>
      </c>
      <c r="B335" s="27" t="s">
        <v>9940</v>
      </c>
      <c r="C335" s="28">
        <v>1</v>
      </c>
      <c r="D335" s="29">
        <v>5.9</v>
      </c>
      <c r="E335" s="29">
        <v>5.9</v>
      </c>
      <c r="F335" s="30">
        <v>12.99</v>
      </c>
      <c r="G335" s="29">
        <v>12.99</v>
      </c>
      <c r="H335" s="28" t="s">
        <v>10597</v>
      </c>
      <c r="I335" s="27" t="s">
        <v>82</v>
      </c>
      <c r="J335" s="31" t="s">
        <v>40</v>
      </c>
      <c r="K335" s="27" t="s">
        <v>282</v>
      </c>
      <c r="L335" s="27" t="s">
        <v>349</v>
      </c>
      <c r="M335" s="32" t="str">
        <f>HYPERLINK("http://slimages.macys.com/is/image/MCY/3700198 ")</f>
        <v xml:space="preserve">http://slimages.macys.com/is/image/MCY/3700198 </v>
      </c>
    </row>
    <row r="336" spans="1:13" ht="15.2" customHeight="1" x14ac:dyDescent="0.2">
      <c r="A336" s="26" t="s">
        <v>10598</v>
      </c>
      <c r="B336" s="27" t="s">
        <v>10599</v>
      </c>
      <c r="C336" s="28">
        <v>1</v>
      </c>
      <c r="D336" s="29">
        <v>5.9</v>
      </c>
      <c r="E336" s="29">
        <v>5.9</v>
      </c>
      <c r="F336" s="30">
        <v>13.99</v>
      </c>
      <c r="G336" s="29">
        <v>13.99</v>
      </c>
      <c r="H336" s="28" t="s">
        <v>425</v>
      </c>
      <c r="I336" s="27" t="s">
        <v>26</v>
      </c>
      <c r="J336" s="31" t="s">
        <v>5</v>
      </c>
      <c r="K336" s="27" t="s">
        <v>282</v>
      </c>
      <c r="L336" s="27" t="s">
        <v>260</v>
      </c>
      <c r="M336" s="32" t="str">
        <f>HYPERLINK("http://slimages.macys.com/is/image/MCY/3773724 ")</f>
        <v xml:space="preserve">http://slimages.macys.com/is/image/MCY/3773724 </v>
      </c>
    </row>
    <row r="337" spans="1:13" ht="15.2" customHeight="1" x14ac:dyDescent="0.2">
      <c r="A337" s="26" t="s">
        <v>10600</v>
      </c>
      <c r="B337" s="27" t="s">
        <v>10601</v>
      </c>
      <c r="C337" s="28">
        <v>2</v>
      </c>
      <c r="D337" s="29">
        <v>5.9</v>
      </c>
      <c r="E337" s="29">
        <v>11.8</v>
      </c>
      <c r="F337" s="30">
        <v>12.99</v>
      </c>
      <c r="G337" s="29">
        <v>25.98</v>
      </c>
      <c r="H337" s="28" t="s">
        <v>10597</v>
      </c>
      <c r="I337" s="27" t="s">
        <v>82</v>
      </c>
      <c r="J337" s="31" t="s">
        <v>5</v>
      </c>
      <c r="K337" s="27" t="s">
        <v>282</v>
      </c>
      <c r="L337" s="27" t="s">
        <v>349</v>
      </c>
      <c r="M337" s="32" t="str">
        <f>HYPERLINK("http://slimages.macys.com/is/image/MCY/3700198 ")</f>
        <v xml:space="preserve">http://slimages.macys.com/is/image/MCY/3700198 </v>
      </c>
    </row>
    <row r="338" spans="1:13" ht="15.2" customHeight="1" x14ac:dyDescent="0.2">
      <c r="A338" s="26" t="s">
        <v>10602</v>
      </c>
      <c r="B338" s="27" t="s">
        <v>10603</v>
      </c>
      <c r="C338" s="28">
        <v>1</v>
      </c>
      <c r="D338" s="29">
        <v>5.9</v>
      </c>
      <c r="E338" s="29">
        <v>5.9</v>
      </c>
      <c r="F338" s="30">
        <v>12.99</v>
      </c>
      <c r="G338" s="29">
        <v>12.99</v>
      </c>
      <c r="H338" s="28" t="s">
        <v>10597</v>
      </c>
      <c r="I338" s="27" t="s">
        <v>82</v>
      </c>
      <c r="J338" s="31" t="s">
        <v>52</v>
      </c>
      <c r="K338" s="27" t="s">
        <v>282</v>
      </c>
      <c r="L338" s="27" t="s">
        <v>349</v>
      </c>
      <c r="M338" s="32" t="str">
        <f>HYPERLINK("http://slimages.macys.com/is/image/MCY/3700198 ")</f>
        <v xml:space="preserve">http://slimages.macys.com/is/image/MCY/3700198 </v>
      </c>
    </row>
    <row r="339" spans="1:13" ht="15.2" customHeight="1" x14ac:dyDescent="0.2">
      <c r="A339" s="26" t="s">
        <v>10604</v>
      </c>
      <c r="B339" s="27" t="s">
        <v>8856</v>
      </c>
      <c r="C339" s="28">
        <v>2</v>
      </c>
      <c r="D339" s="29">
        <v>5.9</v>
      </c>
      <c r="E339" s="29">
        <v>11.8</v>
      </c>
      <c r="F339" s="30">
        <v>12.99</v>
      </c>
      <c r="G339" s="29">
        <v>25.98</v>
      </c>
      <c r="H339" s="28" t="s">
        <v>10597</v>
      </c>
      <c r="I339" s="27" t="s">
        <v>82</v>
      </c>
      <c r="J339" s="31" t="s">
        <v>21</v>
      </c>
      <c r="K339" s="27" t="s">
        <v>282</v>
      </c>
      <c r="L339" s="27" t="s">
        <v>349</v>
      </c>
      <c r="M339" s="32" t="str">
        <f>HYPERLINK("http://slimages.macys.com/is/image/MCY/3700198 ")</f>
        <v xml:space="preserve">http://slimages.macys.com/is/image/MCY/3700198 </v>
      </c>
    </row>
    <row r="340" spans="1:13" ht="15.2" customHeight="1" x14ac:dyDescent="0.2">
      <c r="A340" s="26" t="s">
        <v>7440</v>
      </c>
      <c r="B340" s="27" t="s">
        <v>7441</v>
      </c>
      <c r="C340" s="28">
        <v>1</v>
      </c>
      <c r="D340" s="29">
        <v>5.9</v>
      </c>
      <c r="E340" s="29">
        <v>5.9</v>
      </c>
      <c r="F340" s="30">
        <v>13.99</v>
      </c>
      <c r="G340" s="29">
        <v>13.99</v>
      </c>
      <c r="H340" s="28" t="s">
        <v>425</v>
      </c>
      <c r="I340" s="27" t="s">
        <v>274</v>
      </c>
      <c r="J340" s="31" t="s">
        <v>5</v>
      </c>
      <c r="K340" s="27" t="s">
        <v>282</v>
      </c>
      <c r="L340" s="27" t="s">
        <v>260</v>
      </c>
      <c r="M340" s="32" t="str">
        <f>HYPERLINK("http://slimages.macys.com/is/image/MCY/3773724 ")</f>
        <v xml:space="preserve">http://slimages.macys.com/is/image/MCY/3773724 </v>
      </c>
    </row>
    <row r="341" spans="1:13" ht="15.2" customHeight="1" x14ac:dyDescent="0.2">
      <c r="A341" s="26" t="s">
        <v>10605</v>
      </c>
      <c r="B341" s="27" t="s">
        <v>10606</v>
      </c>
      <c r="C341" s="28">
        <v>1</v>
      </c>
      <c r="D341" s="29">
        <v>5.85</v>
      </c>
      <c r="E341" s="29">
        <v>5.85</v>
      </c>
      <c r="F341" s="30">
        <v>13.99</v>
      </c>
      <c r="G341" s="29">
        <v>13.99</v>
      </c>
      <c r="H341" s="28" t="s">
        <v>1520</v>
      </c>
      <c r="I341" s="27" t="s">
        <v>33</v>
      </c>
      <c r="J341" s="31" t="s">
        <v>52</v>
      </c>
      <c r="K341" s="27" t="s">
        <v>282</v>
      </c>
      <c r="L341" s="27" t="s">
        <v>312</v>
      </c>
      <c r="M341" s="32" t="str">
        <f>HYPERLINK("http://slimages.macys.com/is/image/MCY/3787423 ")</f>
        <v xml:space="preserve">http://slimages.macys.com/is/image/MCY/3787423 </v>
      </c>
    </row>
    <row r="342" spans="1:13" ht="15.2" customHeight="1" x14ac:dyDescent="0.2">
      <c r="A342" s="26" t="s">
        <v>8563</v>
      </c>
      <c r="B342" s="27" t="s">
        <v>8564</v>
      </c>
      <c r="C342" s="28">
        <v>1</v>
      </c>
      <c r="D342" s="29">
        <v>5.85</v>
      </c>
      <c r="E342" s="29">
        <v>5.85</v>
      </c>
      <c r="F342" s="30">
        <v>13.99</v>
      </c>
      <c r="G342" s="29">
        <v>13.99</v>
      </c>
      <c r="H342" s="28" t="s">
        <v>8565</v>
      </c>
      <c r="I342" s="27" t="s">
        <v>4</v>
      </c>
      <c r="J342" s="31" t="s">
        <v>5</v>
      </c>
      <c r="K342" s="27" t="s">
        <v>282</v>
      </c>
      <c r="L342" s="27" t="s">
        <v>312</v>
      </c>
      <c r="M342" s="32" t="str">
        <f>HYPERLINK("http://slimages.macys.com/is/image/MCY/3779701 ")</f>
        <v xml:space="preserve">http://slimages.macys.com/is/image/MCY/3779701 </v>
      </c>
    </row>
    <row r="343" spans="1:13" ht="15.2" customHeight="1" x14ac:dyDescent="0.2">
      <c r="A343" s="26" t="s">
        <v>1521</v>
      </c>
      <c r="B343" s="27" t="s">
        <v>1522</v>
      </c>
      <c r="C343" s="28">
        <v>1</v>
      </c>
      <c r="D343" s="29">
        <v>5.85</v>
      </c>
      <c r="E343" s="29">
        <v>5.85</v>
      </c>
      <c r="F343" s="30">
        <v>13.99</v>
      </c>
      <c r="G343" s="29">
        <v>13.99</v>
      </c>
      <c r="H343" s="28" t="s">
        <v>1520</v>
      </c>
      <c r="I343" s="27" t="s">
        <v>33</v>
      </c>
      <c r="J343" s="31" t="s">
        <v>5</v>
      </c>
      <c r="K343" s="27" t="s">
        <v>282</v>
      </c>
      <c r="L343" s="27" t="s">
        <v>312</v>
      </c>
      <c r="M343" s="32" t="str">
        <f>HYPERLINK("http://slimages.macys.com/is/image/MCY/3787423 ")</f>
        <v xml:space="preserve">http://slimages.macys.com/is/image/MCY/3787423 </v>
      </c>
    </row>
    <row r="344" spans="1:13" ht="15.2" customHeight="1" x14ac:dyDescent="0.2">
      <c r="A344" s="26" t="s">
        <v>8726</v>
      </c>
      <c r="B344" s="27" t="s">
        <v>8727</v>
      </c>
      <c r="C344" s="28">
        <v>1</v>
      </c>
      <c r="D344" s="29">
        <v>5.75</v>
      </c>
      <c r="E344" s="29">
        <v>5.75</v>
      </c>
      <c r="F344" s="30">
        <v>16.989999999999998</v>
      </c>
      <c r="G344" s="29">
        <v>16.989999999999998</v>
      </c>
      <c r="H344" s="28" t="s">
        <v>8728</v>
      </c>
      <c r="I344" s="27" t="s">
        <v>4</v>
      </c>
      <c r="J344" s="31" t="s">
        <v>52</v>
      </c>
      <c r="K344" s="27" t="s">
        <v>196</v>
      </c>
      <c r="L344" s="27" t="s">
        <v>225</v>
      </c>
      <c r="M344" s="32" t="str">
        <f>HYPERLINK("http://slimages.macys.com/is/image/MCY/3685385 ")</f>
        <v xml:space="preserve">http://slimages.macys.com/is/image/MCY/3685385 </v>
      </c>
    </row>
    <row r="345" spans="1:13" ht="15.2" customHeight="1" x14ac:dyDescent="0.2">
      <c r="A345" s="26" t="s">
        <v>8229</v>
      </c>
      <c r="B345" s="27" t="s">
        <v>8230</v>
      </c>
      <c r="C345" s="28">
        <v>1</v>
      </c>
      <c r="D345" s="29">
        <v>5.75</v>
      </c>
      <c r="E345" s="29">
        <v>5.75</v>
      </c>
      <c r="F345" s="30">
        <v>13.99</v>
      </c>
      <c r="G345" s="29">
        <v>13.99</v>
      </c>
      <c r="H345" s="28" t="s">
        <v>8231</v>
      </c>
      <c r="I345" s="27" t="s">
        <v>4</v>
      </c>
      <c r="J345" s="31" t="s">
        <v>21</v>
      </c>
      <c r="K345" s="27" t="s">
        <v>282</v>
      </c>
      <c r="L345" s="27" t="s">
        <v>312</v>
      </c>
      <c r="M345" s="32" t="str">
        <f>HYPERLINK("http://slimages.macys.com/is/image/MCY/3814605 ")</f>
        <v xml:space="preserve">http://slimages.macys.com/is/image/MCY/3814605 </v>
      </c>
    </row>
    <row r="346" spans="1:13" ht="15.2" customHeight="1" x14ac:dyDescent="0.2">
      <c r="A346" s="26" t="s">
        <v>902</v>
      </c>
      <c r="B346" s="27" t="s">
        <v>903</v>
      </c>
      <c r="C346" s="28">
        <v>1</v>
      </c>
      <c r="D346" s="29">
        <v>5.75</v>
      </c>
      <c r="E346" s="29">
        <v>5.75</v>
      </c>
      <c r="F346" s="30">
        <v>12.99</v>
      </c>
      <c r="G346" s="29">
        <v>12.99</v>
      </c>
      <c r="H346" s="28" t="s">
        <v>428</v>
      </c>
      <c r="I346" s="27" t="s">
        <v>82</v>
      </c>
      <c r="J346" s="31" t="s">
        <v>40</v>
      </c>
      <c r="K346" s="27" t="s">
        <v>282</v>
      </c>
      <c r="L346" s="27" t="s">
        <v>283</v>
      </c>
      <c r="M346" s="32" t="str">
        <f>HYPERLINK("http://slimages.macys.com/is/image/MCY/3773484 ")</f>
        <v xml:space="preserve">http://slimages.macys.com/is/image/MCY/3773484 </v>
      </c>
    </row>
    <row r="347" spans="1:13" ht="15.2" customHeight="1" x14ac:dyDescent="0.2">
      <c r="A347" s="26" t="s">
        <v>8232</v>
      </c>
      <c r="B347" s="27" t="s">
        <v>8233</v>
      </c>
      <c r="C347" s="28">
        <v>1</v>
      </c>
      <c r="D347" s="29">
        <v>5.75</v>
      </c>
      <c r="E347" s="29">
        <v>5.75</v>
      </c>
      <c r="F347" s="30">
        <v>12.99</v>
      </c>
      <c r="G347" s="29">
        <v>12.99</v>
      </c>
      <c r="H347" s="28" t="s">
        <v>906</v>
      </c>
      <c r="I347" s="27" t="s">
        <v>189</v>
      </c>
      <c r="J347" s="31" t="s">
        <v>71</v>
      </c>
      <c r="K347" s="27" t="s">
        <v>282</v>
      </c>
      <c r="L347" s="27" t="s">
        <v>283</v>
      </c>
      <c r="M347" s="32" t="str">
        <f>HYPERLINK("http://slimages.macys.com/is/image/MCY/3832194 ")</f>
        <v xml:space="preserve">http://slimages.macys.com/is/image/MCY/3832194 </v>
      </c>
    </row>
    <row r="348" spans="1:13" ht="15.2" customHeight="1" x14ac:dyDescent="0.2">
      <c r="A348" s="26" t="s">
        <v>10261</v>
      </c>
      <c r="B348" s="27" t="s">
        <v>10262</v>
      </c>
      <c r="C348" s="28">
        <v>1</v>
      </c>
      <c r="D348" s="29">
        <v>5.65</v>
      </c>
      <c r="E348" s="29">
        <v>5.65</v>
      </c>
      <c r="F348" s="30">
        <v>12.99</v>
      </c>
      <c r="G348" s="29">
        <v>12.99</v>
      </c>
      <c r="H348" s="28" t="s">
        <v>1541</v>
      </c>
      <c r="I348" s="27" t="s">
        <v>280</v>
      </c>
      <c r="J348" s="31" t="s">
        <v>21</v>
      </c>
      <c r="K348" s="27" t="s">
        <v>282</v>
      </c>
      <c r="L348" s="27" t="s">
        <v>393</v>
      </c>
      <c r="M348" s="32" t="str">
        <f>HYPERLINK("http://slimages.macys.com/is/image/MCY/3797971 ")</f>
        <v xml:space="preserve">http://slimages.macys.com/is/image/MCY/3797971 </v>
      </c>
    </row>
    <row r="349" spans="1:13" ht="15.2" customHeight="1" x14ac:dyDescent="0.2">
      <c r="A349" s="26" t="s">
        <v>10335</v>
      </c>
      <c r="B349" s="27" t="s">
        <v>10336</v>
      </c>
      <c r="C349" s="28">
        <v>1</v>
      </c>
      <c r="D349" s="29">
        <v>5.65</v>
      </c>
      <c r="E349" s="29">
        <v>5.65</v>
      </c>
      <c r="F349" s="30">
        <v>12.99</v>
      </c>
      <c r="G349" s="29">
        <v>12.99</v>
      </c>
      <c r="H349" s="28" t="s">
        <v>1541</v>
      </c>
      <c r="I349" s="27" t="s">
        <v>280</v>
      </c>
      <c r="J349" s="31" t="s">
        <v>40</v>
      </c>
      <c r="K349" s="27" t="s">
        <v>282</v>
      </c>
      <c r="L349" s="27" t="s">
        <v>393</v>
      </c>
      <c r="M349" s="32" t="str">
        <f>HYPERLINK("http://slimages.macys.com/is/image/MCY/3797971 ")</f>
        <v xml:space="preserve">http://slimages.macys.com/is/image/MCY/3797971 </v>
      </c>
    </row>
    <row r="350" spans="1:13" ht="15.2" customHeight="1" x14ac:dyDescent="0.2">
      <c r="A350" s="26" t="s">
        <v>1539</v>
      </c>
      <c r="B350" s="27" t="s">
        <v>1540</v>
      </c>
      <c r="C350" s="28">
        <v>1</v>
      </c>
      <c r="D350" s="29">
        <v>5.65</v>
      </c>
      <c r="E350" s="29">
        <v>5.65</v>
      </c>
      <c r="F350" s="30">
        <v>12.99</v>
      </c>
      <c r="G350" s="29">
        <v>12.99</v>
      </c>
      <c r="H350" s="28" t="s">
        <v>1541</v>
      </c>
      <c r="I350" s="27" t="s">
        <v>280</v>
      </c>
      <c r="J350" s="31" t="s">
        <v>71</v>
      </c>
      <c r="K350" s="27" t="s">
        <v>282</v>
      </c>
      <c r="L350" s="27" t="s">
        <v>393</v>
      </c>
      <c r="M350" s="32" t="str">
        <f>HYPERLINK("http://slimages.macys.com/is/image/MCY/3797971 ")</f>
        <v xml:space="preserve">http://slimages.macys.com/is/image/MCY/3797971 </v>
      </c>
    </row>
    <row r="351" spans="1:13" ht="15.2" customHeight="1" x14ac:dyDescent="0.2">
      <c r="A351" s="26" t="s">
        <v>10607</v>
      </c>
      <c r="B351" s="27" t="s">
        <v>10608</v>
      </c>
      <c r="C351" s="28">
        <v>1</v>
      </c>
      <c r="D351" s="29">
        <v>5.6</v>
      </c>
      <c r="E351" s="29">
        <v>5.6</v>
      </c>
      <c r="F351" s="30">
        <v>13.99</v>
      </c>
      <c r="G351" s="29">
        <v>13.99</v>
      </c>
      <c r="H351" s="28" t="s">
        <v>1542</v>
      </c>
      <c r="I351" s="27" t="s">
        <v>26</v>
      </c>
      <c r="J351" s="31" t="s">
        <v>5</v>
      </c>
      <c r="K351" s="27" t="s">
        <v>282</v>
      </c>
      <c r="L351" s="27" t="s">
        <v>260</v>
      </c>
      <c r="M351" s="32" t="str">
        <f>HYPERLINK("http://slimages.macys.com/is/image/MCY/3755619 ")</f>
        <v xml:space="preserve">http://slimages.macys.com/is/image/MCY/3755619 </v>
      </c>
    </row>
    <row r="352" spans="1:13" ht="15.2" customHeight="1" x14ac:dyDescent="0.2">
      <c r="A352" s="26" t="s">
        <v>10609</v>
      </c>
      <c r="B352" s="27" t="s">
        <v>10610</v>
      </c>
      <c r="C352" s="28">
        <v>1</v>
      </c>
      <c r="D352" s="29">
        <v>5.6</v>
      </c>
      <c r="E352" s="29">
        <v>5.6</v>
      </c>
      <c r="F352" s="30">
        <v>13.99</v>
      </c>
      <c r="G352" s="29">
        <v>13.99</v>
      </c>
      <c r="H352" s="28" t="s">
        <v>1542</v>
      </c>
      <c r="I352" s="27" t="s">
        <v>26</v>
      </c>
      <c r="J352" s="31" t="s">
        <v>21</v>
      </c>
      <c r="K352" s="27" t="s">
        <v>282</v>
      </c>
      <c r="L352" s="27" t="s">
        <v>260</v>
      </c>
      <c r="M352" s="32" t="str">
        <f>HYPERLINK("http://slimages.macys.com/is/image/MCY/3755619 ")</f>
        <v xml:space="preserve">http://slimages.macys.com/is/image/MCY/3755619 </v>
      </c>
    </row>
    <row r="353" spans="1:13" ht="15.2" customHeight="1" x14ac:dyDescent="0.2">
      <c r="A353" s="26" t="s">
        <v>10611</v>
      </c>
      <c r="B353" s="27" t="s">
        <v>10612</v>
      </c>
      <c r="C353" s="28">
        <v>1</v>
      </c>
      <c r="D353" s="29">
        <v>5.5</v>
      </c>
      <c r="E353" s="29">
        <v>5.5</v>
      </c>
      <c r="F353" s="30">
        <v>13.99</v>
      </c>
      <c r="G353" s="29">
        <v>13.99</v>
      </c>
      <c r="H353" s="28" t="s">
        <v>930</v>
      </c>
      <c r="I353" s="27" t="s">
        <v>94</v>
      </c>
      <c r="J353" s="31" t="s">
        <v>71</v>
      </c>
      <c r="K353" s="27" t="s">
        <v>282</v>
      </c>
      <c r="L353" s="27" t="s">
        <v>260</v>
      </c>
      <c r="M353" s="32" t="str">
        <f>HYPERLINK("http://slimages.macys.com/is/image/MCY/3773895 ")</f>
        <v xml:space="preserve">http://slimages.macys.com/is/image/MCY/3773895 </v>
      </c>
    </row>
    <row r="354" spans="1:13" ht="15.2" customHeight="1" x14ac:dyDescent="0.2">
      <c r="A354" s="26" t="s">
        <v>8090</v>
      </c>
      <c r="B354" s="27" t="s">
        <v>8091</v>
      </c>
      <c r="C354" s="28">
        <v>1</v>
      </c>
      <c r="D354" s="29">
        <v>5.5</v>
      </c>
      <c r="E354" s="29">
        <v>5.5</v>
      </c>
      <c r="F354" s="30">
        <v>12.99</v>
      </c>
      <c r="G354" s="29">
        <v>12.99</v>
      </c>
      <c r="H354" s="28" t="s">
        <v>1547</v>
      </c>
      <c r="I354" s="27" t="s">
        <v>82</v>
      </c>
      <c r="J354" s="31" t="s">
        <v>21</v>
      </c>
      <c r="K354" s="27" t="s">
        <v>282</v>
      </c>
      <c r="L354" s="27" t="s">
        <v>312</v>
      </c>
      <c r="M354" s="32" t="str">
        <f>HYPERLINK("http://slimages.macys.com/is/image/MCY/3777672 ")</f>
        <v xml:space="preserve">http://slimages.macys.com/is/image/MCY/3777672 </v>
      </c>
    </row>
    <row r="355" spans="1:13" ht="15.2" customHeight="1" x14ac:dyDescent="0.2">
      <c r="A355" s="26" t="s">
        <v>7810</v>
      </c>
      <c r="B355" s="27" t="s">
        <v>7811</v>
      </c>
      <c r="C355" s="28">
        <v>1</v>
      </c>
      <c r="D355" s="29">
        <v>5.5</v>
      </c>
      <c r="E355" s="29">
        <v>5.5</v>
      </c>
      <c r="F355" s="30">
        <v>12.99</v>
      </c>
      <c r="G355" s="29">
        <v>12.99</v>
      </c>
      <c r="H355" s="28" t="s">
        <v>7812</v>
      </c>
      <c r="I355" s="27" t="s">
        <v>4</v>
      </c>
      <c r="J355" s="31" t="s">
        <v>21</v>
      </c>
      <c r="K355" s="27" t="s">
        <v>282</v>
      </c>
      <c r="L355" s="27" t="s">
        <v>349</v>
      </c>
      <c r="M355" s="32" t="str">
        <f>HYPERLINK("http://slimages.macys.com/is/image/MCY/3755097 ")</f>
        <v xml:space="preserve">http://slimages.macys.com/is/image/MCY/3755097 </v>
      </c>
    </row>
    <row r="356" spans="1:13" ht="15.2" customHeight="1" x14ac:dyDescent="0.2">
      <c r="A356" s="26" t="s">
        <v>6617</v>
      </c>
      <c r="B356" s="27" t="s">
        <v>6618</v>
      </c>
      <c r="C356" s="28">
        <v>1</v>
      </c>
      <c r="D356" s="29">
        <v>5.5</v>
      </c>
      <c r="E356" s="29">
        <v>5.5</v>
      </c>
      <c r="F356" s="30">
        <v>12.99</v>
      </c>
      <c r="G356" s="29">
        <v>12.99</v>
      </c>
      <c r="H356" s="28" t="s">
        <v>5486</v>
      </c>
      <c r="I356" s="27" t="s">
        <v>144</v>
      </c>
      <c r="J356" s="31" t="s">
        <v>71</v>
      </c>
      <c r="K356" s="27" t="s">
        <v>282</v>
      </c>
      <c r="L356" s="27" t="s">
        <v>312</v>
      </c>
      <c r="M356" s="32" t="str">
        <f>HYPERLINK("http://slimages.macys.com/is/image/MCY/3777674 ")</f>
        <v xml:space="preserve">http://slimages.macys.com/is/image/MCY/3777674 </v>
      </c>
    </row>
    <row r="357" spans="1:13" ht="15.2" customHeight="1" x14ac:dyDescent="0.2">
      <c r="A357" s="26" t="s">
        <v>10337</v>
      </c>
      <c r="B357" s="27" t="s">
        <v>10338</v>
      </c>
      <c r="C357" s="28">
        <v>1</v>
      </c>
      <c r="D357" s="29">
        <v>5.5</v>
      </c>
      <c r="E357" s="29">
        <v>5.5</v>
      </c>
      <c r="F357" s="30">
        <v>12.99</v>
      </c>
      <c r="G357" s="29">
        <v>12.99</v>
      </c>
      <c r="H357" s="28" t="s">
        <v>9737</v>
      </c>
      <c r="I357" s="27" t="s">
        <v>4</v>
      </c>
      <c r="J357" s="31" t="s">
        <v>21</v>
      </c>
      <c r="K357" s="27" t="s">
        <v>282</v>
      </c>
      <c r="L357" s="27" t="s">
        <v>349</v>
      </c>
      <c r="M357" s="32" t="str">
        <f>HYPERLINK("http://slimages.macys.com/is/image/MCY/3755118 ")</f>
        <v xml:space="preserve">http://slimages.macys.com/is/image/MCY/3755118 </v>
      </c>
    </row>
    <row r="358" spans="1:13" ht="15.2" customHeight="1" x14ac:dyDescent="0.2">
      <c r="A358" s="26" t="s">
        <v>1555</v>
      </c>
      <c r="B358" s="27" t="s">
        <v>1556</v>
      </c>
      <c r="C358" s="28">
        <v>1</v>
      </c>
      <c r="D358" s="29">
        <v>5.5</v>
      </c>
      <c r="E358" s="29">
        <v>5.5</v>
      </c>
      <c r="F358" s="30">
        <v>12.99</v>
      </c>
      <c r="G358" s="29">
        <v>12.99</v>
      </c>
      <c r="H358" s="28" t="s">
        <v>1550</v>
      </c>
      <c r="I358" s="27" t="s">
        <v>215</v>
      </c>
      <c r="J358" s="31" t="s">
        <v>5</v>
      </c>
      <c r="K358" s="27" t="s">
        <v>282</v>
      </c>
      <c r="L358" s="27" t="s">
        <v>283</v>
      </c>
      <c r="M358" s="32" t="str">
        <f>HYPERLINK("http://slimages.macys.com/is/image/MCY/3820329 ")</f>
        <v xml:space="preserve">http://slimages.macys.com/is/image/MCY/3820329 </v>
      </c>
    </row>
    <row r="359" spans="1:13" ht="15.2" customHeight="1" x14ac:dyDescent="0.2">
      <c r="A359" s="26" t="s">
        <v>10613</v>
      </c>
      <c r="B359" s="27" t="s">
        <v>10614</v>
      </c>
      <c r="C359" s="28">
        <v>1</v>
      </c>
      <c r="D359" s="29">
        <v>5.45</v>
      </c>
      <c r="E359" s="29">
        <v>5.45</v>
      </c>
      <c r="F359" s="30">
        <v>12.99</v>
      </c>
      <c r="G359" s="29">
        <v>12.99</v>
      </c>
      <c r="H359" s="28" t="s">
        <v>6062</v>
      </c>
      <c r="I359" s="27" t="s">
        <v>82</v>
      </c>
      <c r="J359" s="31" t="s">
        <v>71</v>
      </c>
      <c r="K359" s="27" t="s">
        <v>159</v>
      </c>
      <c r="L359" s="27" t="s">
        <v>160</v>
      </c>
      <c r="M359" s="32" t="str">
        <f>HYPERLINK("http://slimages.macys.com/is/image/MCY/3314215 ")</f>
        <v xml:space="preserve">http://slimages.macys.com/is/image/MCY/3314215 </v>
      </c>
    </row>
    <row r="360" spans="1:13" ht="15.2" customHeight="1" x14ac:dyDescent="0.2">
      <c r="A360" s="26" t="s">
        <v>446</v>
      </c>
      <c r="B360" s="27" t="s">
        <v>447</v>
      </c>
      <c r="C360" s="28">
        <v>1</v>
      </c>
      <c r="D360" s="29">
        <v>5.25</v>
      </c>
      <c r="E360" s="29">
        <v>5.25</v>
      </c>
      <c r="F360" s="30">
        <v>12.99</v>
      </c>
      <c r="G360" s="29">
        <v>12.99</v>
      </c>
      <c r="H360" s="28" t="s">
        <v>448</v>
      </c>
      <c r="I360" s="27" t="s">
        <v>82</v>
      </c>
      <c r="J360" s="31" t="s">
        <v>52</v>
      </c>
      <c r="K360" s="27" t="s">
        <v>282</v>
      </c>
      <c r="L360" s="27" t="s">
        <v>358</v>
      </c>
      <c r="M360" s="32" t="str">
        <f>HYPERLINK("http://slimages.macys.com/is/image/MCY/3875975 ")</f>
        <v xml:space="preserve">http://slimages.macys.com/is/image/MCY/3875975 </v>
      </c>
    </row>
    <row r="361" spans="1:13" ht="15.2" customHeight="1" x14ac:dyDescent="0.2">
      <c r="A361" s="26" t="s">
        <v>940</v>
      </c>
      <c r="B361" s="27" t="s">
        <v>941</v>
      </c>
      <c r="C361" s="28">
        <v>1</v>
      </c>
      <c r="D361" s="29">
        <v>4.6500000000000004</v>
      </c>
      <c r="E361" s="29">
        <v>4.6500000000000004</v>
      </c>
      <c r="F361" s="30">
        <v>10.99</v>
      </c>
      <c r="G361" s="29">
        <v>10.99</v>
      </c>
      <c r="H361" s="28">
        <v>60359814</v>
      </c>
      <c r="I361" s="27" t="s">
        <v>22</v>
      </c>
      <c r="J361" s="31" t="s">
        <v>21</v>
      </c>
      <c r="K361" s="27" t="s">
        <v>282</v>
      </c>
      <c r="L361" s="27" t="s">
        <v>255</v>
      </c>
      <c r="M361" s="32" t="str">
        <f t="shared" ref="M361:M367" si="0">HYPERLINK("http://slimages.macys.com/is/image/MCY/2308510 ")</f>
        <v xml:space="preserve">http://slimages.macys.com/is/image/MCY/2308510 </v>
      </c>
    </row>
    <row r="362" spans="1:13" ht="15.2" customHeight="1" x14ac:dyDescent="0.2">
      <c r="A362" s="26" t="s">
        <v>1588</v>
      </c>
      <c r="B362" s="27" t="s">
        <v>1589</v>
      </c>
      <c r="C362" s="28">
        <v>1</v>
      </c>
      <c r="D362" s="29">
        <v>4.6500000000000004</v>
      </c>
      <c r="E362" s="29">
        <v>4.6500000000000004</v>
      </c>
      <c r="F362" s="30">
        <v>10.99</v>
      </c>
      <c r="G362" s="29">
        <v>10.99</v>
      </c>
      <c r="H362" s="28">
        <v>60359814</v>
      </c>
      <c r="I362" s="27" t="s">
        <v>22</v>
      </c>
      <c r="J362" s="31" t="s">
        <v>40</v>
      </c>
      <c r="K362" s="27" t="s">
        <v>282</v>
      </c>
      <c r="L362" s="27" t="s">
        <v>255</v>
      </c>
      <c r="M362" s="32" t="str">
        <f t="shared" si="0"/>
        <v xml:space="preserve">http://slimages.macys.com/is/image/MCY/2308510 </v>
      </c>
    </row>
    <row r="363" spans="1:13" ht="15.2" customHeight="1" x14ac:dyDescent="0.2">
      <c r="A363" s="26" t="s">
        <v>1966</v>
      </c>
      <c r="B363" s="27" t="s">
        <v>1967</v>
      </c>
      <c r="C363" s="28">
        <v>1</v>
      </c>
      <c r="D363" s="29">
        <v>4.6500000000000004</v>
      </c>
      <c r="E363" s="29">
        <v>4.6500000000000004</v>
      </c>
      <c r="F363" s="30">
        <v>10.99</v>
      </c>
      <c r="G363" s="29">
        <v>10.99</v>
      </c>
      <c r="H363" s="28">
        <v>60359814</v>
      </c>
      <c r="I363" s="27" t="s">
        <v>82</v>
      </c>
      <c r="J363" s="31" t="s">
        <v>52</v>
      </c>
      <c r="K363" s="27" t="s">
        <v>282</v>
      </c>
      <c r="L363" s="27" t="s">
        <v>255</v>
      </c>
      <c r="M363" s="32" t="str">
        <f t="shared" si="0"/>
        <v xml:space="preserve">http://slimages.macys.com/is/image/MCY/2308510 </v>
      </c>
    </row>
    <row r="364" spans="1:13" ht="15.2" customHeight="1" x14ac:dyDescent="0.2">
      <c r="A364" s="26" t="s">
        <v>7193</v>
      </c>
      <c r="B364" s="27" t="s">
        <v>7194</v>
      </c>
      <c r="C364" s="28">
        <v>1</v>
      </c>
      <c r="D364" s="29">
        <v>4.6500000000000004</v>
      </c>
      <c r="E364" s="29">
        <v>4.6500000000000004</v>
      </c>
      <c r="F364" s="30">
        <v>10.99</v>
      </c>
      <c r="G364" s="29">
        <v>10.99</v>
      </c>
      <c r="H364" s="28">
        <v>60359814</v>
      </c>
      <c r="I364" s="27" t="s">
        <v>22</v>
      </c>
      <c r="J364" s="31" t="s">
        <v>5</v>
      </c>
      <c r="K364" s="27" t="s">
        <v>282</v>
      </c>
      <c r="L364" s="27" t="s">
        <v>255</v>
      </c>
      <c r="M364" s="32" t="str">
        <f t="shared" si="0"/>
        <v xml:space="preserve">http://slimages.macys.com/is/image/MCY/2308510 </v>
      </c>
    </row>
    <row r="365" spans="1:13" ht="15.2" customHeight="1" x14ac:dyDescent="0.2">
      <c r="A365" s="26" t="s">
        <v>5557</v>
      </c>
      <c r="B365" s="27" t="s">
        <v>5558</v>
      </c>
      <c r="C365" s="28">
        <v>1</v>
      </c>
      <c r="D365" s="29">
        <v>4.6500000000000004</v>
      </c>
      <c r="E365" s="29">
        <v>4.6500000000000004</v>
      </c>
      <c r="F365" s="30">
        <v>10.99</v>
      </c>
      <c r="G365" s="29">
        <v>10.99</v>
      </c>
      <c r="H365" s="28">
        <v>60359814</v>
      </c>
      <c r="I365" s="27" t="s">
        <v>59</v>
      </c>
      <c r="J365" s="31" t="s">
        <v>40</v>
      </c>
      <c r="K365" s="27" t="s">
        <v>282</v>
      </c>
      <c r="L365" s="27" t="s">
        <v>255</v>
      </c>
      <c r="M365" s="32" t="str">
        <f t="shared" si="0"/>
        <v xml:space="preserve">http://slimages.macys.com/is/image/MCY/2308510 </v>
      </c>
    </row>
    <row r="366" spans="1:13" ht="15.2" customHeight="1" x14ac:dyDescent="0.2">
      <c r="A366" s="26" t="s">
        <v>7195</v>
      </c>
      <c r="B366" s="27" t="s">
        <v>7196</v>
      </c>
      <c r="C366" s="28">
        <v>1</v>
      </c>
      <c r="D366" s="29">
        <v>4.6500000000000004</v>
      </c>
      <c r="E366" s="29">
        <v>4.6500000000000004</v>
      </c>
      <c r="F366" s="30">
        <v>10.99</v>
      </c>
      <c r="G366" s="29">
        <v>10.99</v>
      </c>
      <c r="H366" s="28">
        <v>60359814</v>
      </c>
      <c r="I366" s="27" t="s">
        <v>22</v>
      </c>
      <c r="J366" s="31" t="s">
        <v>65</v>
      </c>
      <c r="K366" s="27" t="s">
        <v>282</v>
      </c>
      <c r="L366" s="27" t="s">
        <v>255</v>
      </c>
      <c r="M366" s="32" t="str">
        <f t="shared" si="0"/>
        <v xml:space="preserve">http://slimages.macys.com/is/image/MCY/2308510 </v>
      </c>
    </row>
    <row r="367" spans="1:13" ht="15.2" customHeight="1" x14ac:dyDescent="0.2">
      <c r="A367" s="26" t="s">
        <v>1586</v>
      </c>
      <c r="B367" s="27" t="s">
        <v>1587</v>
      </c>
      <c r="C367" s="28">
        <v>1</v>
      </c>
      <c r="D367" s="29">
        <v>4.6500000000000004</v>
      </c>
      <c r="E367" s="29">
        <v>4.6500000000000004</v>
      </c>
      <c r="F367" s="30">
        <v>10.99</v>
      </c>
      <c r="G367" s="29">
        <v>10.99</v>
      </c>
      <c r="H367" s="28">
        <v>60359814</v>
      </c>
      <c r="I367" s="27" t="s">
        <v>59</v>
      </c>
      <c r="J367" s="31" t="s">
        <v>5</v>
      </c>
      <c r="K367" s="27" t="s">
        <v>282</v>
      </c>
      <c r="L367" s="27" t="s">
        <v>255</v>
      </c>
      <c r="M367" s="32" t="str">
        <f t="shared" si="0"/>
        <v xml:space="preserve">http://slimages.macys.com/is/image/MCY/2308510 </v>
      </c>
    </row>
    <row r="368" spans="1:13" ht="15.2" customHeight="1" x14ac:dyDescent="0.2">
      <c r="A368" s="26" t="s">
        <v>8865</v>
      </c>
      <c r="B368" s="27" t="s">
        <v>8866</v>
      </c>
      <c r="C368" s="28">
        <v>2</v>
      </c>
      <c r="D368" s="29">
        <v>4.5</v>
      </c>
      <c r="E368" s="29">
        <v>9</v>
      </c>
      <c r="F368" s="30">
        <v>12.99</v>
      </c>
      <c r="G368" s="29">
        <v>25.98</v>
      </c>
      <c r="H368" s="28" t="s">
        <v>1597</v>
      </c>
      <c r="I368" s="27" t="s">
        <v>244</v>
      </c>
      <c r="J368" s="31" t="s">
        <v>21</v>
      </c>
      <c r="K368" s="27" t="s">
        <v>282</v>
      </c>
      <c r="L368" s="27" t="s">
        <v>283</v>
      </c>
      <c r="M368" s="32" t="str">
        <f>HYPERLINK("http://slimages.macys.com/is/image/MCY/3875943 ")</f>
        <v xml:space="preserve">http://slimages.macys.com/is/image/MCY/3875943 </v>
      </c>
    </row>
    <row r="369" spans="1:13" ht="15.2" customHeight="1" x14ac:dyDescent="0.2">
      <c r="A369" s="26" t="s">
        <v>9466</v>
      </c>
      <c r="B369" s="27" t="s">
        <v>9467</v>
      </c>
      <c r="C369" s="28">
        <v>1</v>
      </c>
      <c r="D369" s="29">
        <v>3.65</v>
      </c>
      <c r="E369" s="29">
        <v>3.65</v>
      </c>
      <c r="F369" s="30">
        <v>12.99</v>
      </c>
      <c r="G369" s="29">
        <v>12.99</v>
      </c>
      <c r="H369" s="28" t="s">
        <v>950</v>
      </c>
      <c r="I369" s="27" t="s">
        <v>36</v>
      </c>
      <c r="J369" s="31" t="s">
        <v>5</v>
      </c>
      <c r="K369" s="27" t="s">
        <v>200</v>
      </c>
      <c r="L369" s="27" t="s">
        <v>325</v>
      </c>
      <c r="M369" s="32" t="str">
        <f>HYPERLINK("http://slimages.macys.com/is/image/MCY/3937151 ")</f>
        <v xml:space="preserve">http://slimages.macys.com/is/image/MCY/3937151 </v>
      </c>
    </row>
    <row r="370" spans="1:13" ht="15.2" customHeight="1" x14ac:dyDescent="0.2">
      <c r="A370" s="26" t="s">
        <v>10615</v>
      </c>
      <c r="B370" s="27" t="s">
        <v>10340</v>
      </c>
      <c r="C370" s="28">
        <v>1</v>
      </c>
      <c r="D370" s="29">
        <v>79.75</v>
      </c>
      <c r="E370" s="29">
        <v>79.75</v>
      </c>
      <c r="F370" s="30">
        <v>229</v>
      </c>
      <c r="G370" s="29">
        <v>229</v>
      </c>
      <c r="H370" s="28">
        <v>56214</v>
      </c>
      <c r="I370" s="27" t="s">
        <v>690</v>
      </c>
      <c r="J370" s="31" t="s">
        <v>205</v>
      </c>
      <c r="K370" s="27" t="s">
        <v>24</v>
      </c>
      <c r="L370" s="27" t="s">
        <v>1972</v>
      </c>
      <c r="M370" s="32"/>
    </row>
    <row r="371" spans="1:13" ht="15.2" customHeight="1" x14ac:dyDescent="0.2">
      <c r="A371" s="26" t="s">
        <v>10616</v>
      </c>
      <c r="B371" s="27" t="s">
        <v>10617</v>
      </c>
      <c r="C371" s="28">
        <v>1</v>
      </c>
      <c r="D371" s="29">
        <v>52.12</v>
      </c>
      <c r="E371" s="29">
        <v>52.12</v>
      </c>
      <c r="F371" s="30">
        <v>139</v>
      </c>
      <c r="G371" s="29">
        <v>139</v>
      </c>
      <c r="H371" s="28">
        <v>7066900</v>
      </c>
      <c r="I371" s="27" t="s">
        <v>189</v>
      </c>
      <c r="J371" s="31" t="s">
        <v>1078</v>
      </c>
      <c r="K371" s="27" t="s">
        <v>462</v>
      </c>
      <c r="L371" s="27" t="s">
        <v>463</v>
      </c>
      <c r="M371" s="32"/>
    </row>
    <row r="372" spans="1:13" ht="15.2" customHeight="1" x14ac:dyDescent="0.2">
      <c r="A372" s="26" t="s">
        <v>953</v>
      </c>
      <c r="B372" s="27" t="s">
        <v>954</v>
      </c>
      <c r="C372" s="28">
        <v>1</v>
      </c>
      <c r="D372" s="29">
        <v>34</v>
      </c>
      <c r="E372" s="29">
        <v>34</v>
      </c>
      <c r="F372" s="30">
        <v>89.5</v>
      </c>
      <c r="G372" s="29">
        <v>89.5</v>
      </c>
      <c r="H372" s="28" t="s">
        <v>464</v>
      </c>
      <c r="I372" s="27" t="s">
        <v>1</v>
      </c>
      <c r="J372" s="31" t="s">
        <v>5</v>
      </c>
      <c r="K372" s="27" t="s">
        <v>17</v>
      </c>
      <c r="L372" s="27" t="s">
        <v>18</v>
      </c>
      <c r="M372" s="32"/>
    </row>
    <row r="373" spans="1:13" ht="15.2" customHeight="1" x14ac:dyDescent="0.2">
      <c r="A373" s="26" t="s">
        <v>10268</v>
      </c>
      <c r="B373" s="27" t="s">
        <v>7594</v>
      </c>
      <c r="C373" s="28">
        <v>1</v>
      </c>
      <c r="D373" s="29">
        <v>34</v>
      </c>
      <c r="E373" s="29">
        <v>34</v>
      </c>
      <c r="F373" s="30">
        <v>99</v>
      </c>
      <c r="G373" s="29">
        <v>99</v>
      </c>
      <c r="H373" s="28" t="s">
        <v>7595</v>
      </c>
      <c r="I373" s="27" t="s">
        <v>291</v>
      </c>
      <c r="J373" s="31" t="s">
        <v>216</v>
      </c>
      <c r="K373" s="27" t="s">
        <v>24</v>
      </c>
      <c r="L373" s="27" t="s">
        <v>25</v>
      </c>
      <c r="M373" s="32"/>
    </row>
    <row r="374" spans="1:13" ht="15.2" customHeight="1" x14ac:dyDescent="0.2">
      <c r="A374" s="26" t="s">
        <v>7596</v>
      </c>
      <c r="B374" s="27" t="s">
        <v>7594</v>
      </c>
      <c r="C374" s="28">
        <v>1</v>
      </c>
      <c r="D374" s="29">
        <v>34</v>
      </c>
      <c r="E374" s="29">
        <v>34</v>
      </c>
      <c r="F374" s="30">
        <v>99</v>
      </c>
      <c r="G374" s="29">
        <v>99</v>
      </c>
      <c r="H374" s="28" t="s">
        <v>7595</v>
      </c>
      <c r="I374" s="27" t="s">
        <v>291</v>
      </c>
      <c r="J374" s="31" t="s">
        <v>210</v>
      </c>
      <c r="K374" s="27" t="s">
        <v>24</v>
      </c>
      <c r="L374" s="27" t="s">
        <v>25</v>
      </c>
      <c r="M374" s="32"/>
    </row>
    <row r="375" spans="1:13" ht="15.2" customHeight="1" x14ac:dyDescent="0.2">
      <c r="A375" s="26" t="s">
        <v>1599</v>
      </c>
      <c r="B375" s="27" t="s">
        <v>1600</v>
      </c>
      <c r="C375" s="28">
        <v>1</v>
      </c>
      <c r="D375" s="29">
        <v>34</v>
      </c>
      <c r="E375" s="29">
        <v>34</v>
      </c>
      <c r="F375" s="30">
        <v>89.5</v>
      </c>
      <c r="G375" s="29">
        <v>89.5</v>
      </c>
      <c r="H375" s="28" t="s">
        <v>1601</v>
      </c>
      <c r="I375" s="27" t="s">
        <v>267</v>
      </c>
      <c r="J375" s="31" t="s">
        <v>1602</v>
      </c>
      <c r="K375" s="27" t="s">
        <v>17</v>
      </c>
      <c r="L375" s="27" t="s">
        <v>18</v>
      </c>
      <c r="M375" s="32"/>
    </row>
    <row r="376" spans="1:13" ht="15.2" customHeight="1" x14ac:dyDescent="0.2">
      <c r="A376" s="26" t="s">
        <v>10618</v>
      </c>
      <c r="B376" s="27" t="s">
        <v>10619</v>
      </c>
      <c r="C376" s="28">
        <v>2</v>
      </c>
      <c r="D376" s="29">
        <v>27</v>
      </c>
      <c r="E376" s="29">
        <v>54</v>
      </c>
      <c r="F376" s="30">
        <v>69.5</v>
      </c>
      <c r="G376" s="29">
        <v>139</v>
      </c>
      <c r="H376" s="28" t="s">
        <v>1982</v>
      </c>
      <c r="I376" s="27" t="s">
        <v>59</v>
      </c>
      <c r="J376" s="31"/>
      <c r="K376" s="27" t="s">
        <v>17</v>
      </c>
      <c r="L376" s="27" t="s">
        <v>18</v>
      </c>
      <c r="M376" s="32"/>
    </row>
    <row r="377" spans="1:13" ht="15.2" customHeight="1" x14ac:dyDescent="0.2">
      <c r="A377" s="26" t="s">
        <v>7820</v>
      </c>
      <c r="B377" s="27" t="s">
        <v>7821</v>
      </c>
      <c r="C377" s="28">
        <v>3</v>
      </c>
      <c r="D377" s="29">
        <v>27</v>
      </c>
      <c r="E377" s="29">
        <v>81</v>
      </c>
      <c r="F377" s="30">
        <v>69.5</v>
      </c>
      <c r="G377" s="29">
        <v>208.5</v>
      </c>
      <c r="H377" s="28" t="s">
        <v>1982</v>
      </c>
      <c r="I377" s="27" t="s">
        <v>59</v>
      </c>
      <c r="J377" s="31"/>
      <c r="K377" s="27" t="s">
        <v>17</v>
      </c>
      <c r="L377" s="27" t="s">
        <v>18</v>
      </c>
      <c r="M377" s="32"/>
    </row>
    <row r="378" spans="1:13" ht="15.2" customHeight="1" x14ac:dyDescent="0.2">
      <c r="A378" s="26" t="s">
        <v>7692</v>
      </c>
      <c r="B378" s="27" t="s">
        <v>7693</v>
      </c>
      <c r="C378" s="28">
        <v>1</v>
      </c>
      <c r="D378" s="29">
        <v>27</v>
      </c>
      <c r="E378" s="29">
        <v>27</v>
      </c>
      <c r="F378" s="30">
        <v>69.5</v>
      </c>
      <c r="G378" s="29">
        <v>69.5</v>
      </c>
      <c r="H378" s="28" t="s">
        <v>1983</v>
      </c>
      <c r="I378" s="27" t="s">
        <v>661</v>
      </c>
      <c r="J378" s="31"/>
      <c r="K378" s="27" t="s">
        <v>17</v>
      </c>
      <c r="L378" s="27" t="s">
        <v>18</v>
      </c>
      <c r="M378" s="32"/>
    </row>
    <row r="379" spans="1:13" ht="15.2" customHeight="1" x14ac:dyDescent="0.2">
      <c r="A379" s="26" t="s">
        <v>7468</v>
      </c>
      <c r="B379" s="27" t="s">
        <v>7469</v>
      </c>
      <c r="C379" s="28">
        <v>1</v>
      </c>
      <c r="D379" s="29">
        <v>27</v>
      </c>
      <c r="E379" s="29">
        <v>27</v>
      </c>
      <c r="F379" s="30">
        <v>69.5</v>
      </c>
      <c r="G379" s="29">
        <v>69.5</v>
      </c>
      <c r="H379" s="28" t="s">
        <v>3040</v>
      </c>
      <c r="I379" s="27" t="s">
        <v>4</v>
      </c>
      <c r="J379" s="31" t="s">
        <v>71</v>
      </c>
      <c r="K379" s="27" t="s">
        <v>17</v>
      </c>
      <c r="L379" s="27" t="s">
        <v>18</v>
      </c>
      <c r="M379" s="32"/>
    </row>
    <row r="380" spans="1:13" ht="15.2" customHeight="1" x14ac:dyDescent="0.2">
      <c r="A380" s="26" t="s">
        <v>10301</v>
      </c>
      <c r="B380" s="27" t="s">
        <v>10302</v>
      </c>
      <c r="C380" s="28">
        <v>1</v>
      </c>
      <c r="D380" s="29">
        <v>27</v>
      </c>
      <c r="E380" s="29">
        <v>27</v>
      </c>
      <c r="F380" s="30">
        <v>69.5</v>
      </c>
      <c r="G380" s="29">
        <v>69.5</v>
      </c>
      <c r="H380" s="28" t="s">
        <v>3040</v>
      </c>
      <c r="I380" s="27" t="s">
        <v>1</v>
      </c>
      <c r="J380" s="31" t="s">
        <v>40</v>
      </c>
      <c r="K380" s="27" t="s">
        <v>17</v>
      </c>
      <c r="L380" s="27" t="s">
        <v>18</v>
      </c>
      <c r="M380" s="32"/>
    </row>
    <row r="381" spans="1:13" ht="15.2" customHeight="1" x14ac:dyDescent="0.2">
      <c r="A381" s="26" t="s">
        <v>2421</v>
      </c>
      <c r="B381" s="27" t="s">
        <v>2422</v>
      </c>
      <c r="C381" s="28">
        <v>1</v>
      </c>
      <c r="D381" s="29">
        <v>27</v>
      </c>
      <c r="E381" s="29">
        <v>27</v>
      </c>
      <c r="F381" s="30">
        <v>69.5</v>
      </c>
      <c r="G381" s="29">
        <v>69.5</v>
      </c>
      <c r="H381" s="28" t="s">
        <v>2423</v>
      </c>
      <c r="I381" s="27" t="s">
        <v>478</v>
      </c>
      <c r="J381" s="31" t="s">
        <v>71</v>
      </c>
      <c r="K381" s="27" t="s">
        <v>17</v>
      </c>
      <c r="L381" s="27" t="s">
        <v>18</v>
      </c>
      <c r="M381" s="32"/>
    </row>
    <row r="382" spans="1:13" ht="15.2" customHeight="1" x14ac:dyDescent="0.2">
      <c r="A382" s="26" t="s">
        <v>8462</v>
      </c>
      <c r="B382" s="27" t="s">
        <v>8463</v>
      </c>
      <c r="C382" s="28">
        <v>1</v>
      </c>
      <c r="D382" s="29">
        <v>27</v>
      </c>
      <c r="E382" s="29">
        <v>27</v>
      </c>
      <c r="F382" s="30">
        <v>69.5</v>
      </c>
      <c r="G382" s="29">
        <v>69.5</v>
      </c>
      <c r="H382" s="28" t="s">
        <v>1984</v>
      </c>
      <c r="I382" s="27" t="s">
        <v>478</v>
      </c>
      <c r="J382" s="31" t="s">
        <v>21</v>
      </c>
      <c r="K382" s="27" t="s">
        <v>17</v>
      </c>
      <c r="L382" s="27" t="s">
        <v>18</v>
      </c>
      <c r="M382" s="32"/>
    </row>
    <row r="383" spans="1:13" ht="15.2" customHeight="1" x14ac:dyDescent="0.2">
      <c r="A383" s="26" t="s">
        <v>10620</v>
      </c>
      <c r="B383" s="27" t="s">
        <v>10621</v>
      </c>
      <c r="C383" s="28">
        <v>1</v>
      </c>
      <c r="D383" s="29">
        <v>27</v>
      </c>
      <c r="E383" s="29">
        <v>27</v>
      </c>
      <c r="F383" s="30">
        <v>69.5</v>
      </c>
      <c r="G383" s="29">
        <v>69.5</v>
      </c>
      <c r="H383" s="28" t="s">
        <v>1982</v>
      </c>
      <c r="I383" s="27" t="s">
        <v>59</v>
      </c>
      <c r="J383" s="31"/>
      <c r="K383" s="27" t="s">
        <v>17</v>
      </c>
      <c r="L383" s="27" t="s">
        <v>18</v>
      </c>
      <c r="M383" s="32"/>
    </row>
    <row r="384" spans="1:13" ht="15.2" customHeight="1" x14ac:dyDescent="0.2">
      <c r="A384" s="26" t="s">
        <v>10622</v>
      </c>
      <c r="B384" s="27" t="s">
        <v>10623</v>
      </c>
      <c r="C384" s="28">
        <v>1</v>
      </c>
      <c r="D384" s="29">
        <v>27</v>
      </c>
      <c r="E384" s="29">
        <v>27</v>
      </c>
      <c r="F384" s="30">
        <v>69.5</v>
      </c>
      <c r="G384" s="29">
        <v>69.5</v>
      </c>
      <c r="H384" s="28" t="s">
        <v>1982</v>
      </c>
      <c r="I384" s="27" t="s">
        <v>59</v>
      </c>
      <c r="J384" s="31"/>
      <c r="K384" s="27" t="s">
        <v>17</v>
      </c>
      <c r="L384" s="27" t="s">
        <v>18</v>
      </c>
      <c r="M384" s="32"/>
    </row>
    <row r="385" spans="1:13" ht="15.2" customHeight="1" x14ac:dyDescent="0.2">
      <c r="A385" s="26" t="s">
        <v>1980</v>
      </c>
      <c r="B385" s="27" t="s">
        <v>1981</v>
      </c>
      <c r="C385" s="28">
        <v>1</v>
      </c>
      <c r="D385" s="29">
        <v>27</v>
      </c>
      <c r="E385" s="29">
        <v>27</v>
      </c>
      <c r="F385" s="30">
        <v>69.5</v>
      </c>
      <c r="G385" s="29">
        <v>69.5</v>
      </c>
      <c r="H385" s="28" t="s">
        <v>1982</v>
      </c>
      <c r="I385" s="27" t="s">
        <v>59</v>
      </c>
      <c r="J385" s="31" t="s">
        <v>161</v>
      </c>
      <c r="K385" s="27" t="s">
        <v>17</v>
      </c>
      <c r="L385" s="27" t="s">
        <v>18</v>
      </c>
      <c r="M385" s="32"/>
    </row>
    <row r="386" spans="1:13" ht="15.2" customHeight="1" x14ac:dyDescent="0.2">
      <c r="A386" s="26" t="s">
        <v>7227</v>
      </c>
      <c r="B386" s="27" t="s">
        <v>7228</v>
      </c>
      <c r="C386" s="28">
        <v>1</v>
      </c>
      <c r="D386" s="29">
        <v>27</v>
      </c>
      <c r="E386" s="29">
        <v>27</v>
      </c>
      <c r="F386" s="30">
        <v>69.5</v>
      </c>
      <c r="G386" s="29">
        <v>69.5</v>
      </c>
      <c r="H386" s="28" t="s">
        <v>1982</v>
      </c>
      <c r="I386" s="27" t="s">
        <v>59</v>
      </c>
      <c r="J386" s="31" t="s">
        <v>1602</v>
      </c>
      <c r="K386" s="27" t="s">
        <v>17</v>
      </c>
      <c r="L386" s="27" t="s">
        <v>18</v>
      </c>
      <c r="M386" s="32"/>
    </row>
    <row r="387" spans="1:13" ht="15.2" customHeight="1" x14ac:dyDescent="0.2">
      <c r="A387" s="26" t="s">
        <v>10624</v>
      </c>
      <c r="B387" s="27" t="s">
        <v>10625</v>
      </c>
      <c r="C387" s="28">
        <v>1</v>
      </c>
      <c r="D387" s="29">
        <v>26</v>
      </c>
      <c r="E387" s="29">
        <v>26</v>
      </c>
      <c r="F387" s="30">
        <v>79</v>
      </c>
      <c r="G387" s="29">
        <v>79</v>
      </c>
      <c r="H387" s="28" t="s">
        <v>467</v>
      </c>
      <c r="I387" s="27" t="s">
        <v>468</v>
      </c>
      <c r="J387" s="31" t="s">
        <v>23</v>
      </c>
      <c r="K387" s="27" t="s">
        <v>24</v>
      </c>
      <c r="L387" s="27" t="s">
        <v>25</v>
      </c>
      <c r="M387" s="32"/>
    </row>
    <row r="388" spans="1:13" ht="15.2" customHeight="1" x14ac:dyDescent="0.2">
      <c r="A388" s="26" t="s">
        <v>3044</v>
      </c>
      <c r="B388" s="27" t="s">
        <v>3045</v>
      </c>
      <c r="C388" s="28">
        <v>1</v>
      </c>
      <c r="D388" s="29">
        <v>26</v>
      </c>
      <c r="E388" s="29">
        <v>26</v>
      </c>
      <c r="F388" s="30">
        <v>79</v>
      </c>
      <c r="G388" s="29">
        <v>79</v>
      </c>
      <c r="H388" s="28" t="s">
        <v>467</v>
      </c>
      <c r="I388" s="27" t="s">
        <v>468</v>
      </c>
      <c r="J388" s="31" t="s">
        <v>69</v>
      </c>
      <c r="K388" s="27" t="s">
        <v>24</v>
      </c>
      <c r="L388" s="27" t="s">
        <v>25</v>
      </c>
      <c r="M388" s="32"/>
    </row>
    <row r="389" spans="1:13" ht="15.2" customHeight="1" x14ac:dyDescent="0.2">
      <c r="A389" s="26" t="s">
        <v>1985</v>
      </c>
      <c r="B389" s="27" t="s">
        <v>475</v>
      </c>
      <c r="C389" s="28">
        <v>1</v>
      </c>
      <c r="D389" s="29">
        <v>24</v>
      </c>
      <c r="E389" s="29">
        <v>24</v>
      </c>
      <c r="F389" s="30">
        <v>69</v>
      </c>
      <c r="G389" s="29">
        <v>69</v>
      </c>
      <c r="H389" s="28" t="s">
        <v>476</v>
      </c>
      <c r="I389" s="27" t="s">
        <v>36</v>
      </c>
      <c r="J389" s="31" t="s">
        <v>21</v>
      </c>
      <c r="K389" s="27" t="s">
        <v>37</v>
      </c>
      <c r="L389" s="27" t="s">
        <v>38</v>
      </c>
      <c r="M389" s="32"/>
    </row>
    <row r="390" spans="1:13" ht="15.2" customHeight="1" x14ac:dyDescent="0.2">
      <c r="A390" s="26" t="s">
        <v>10626</v>
      </c>
      <c r="B390" s="27" t="s">
        <v>10627</v>
      </c>
      <c r="C390" s="28">
        <v>1</v>
      </c>
      <c r="D390" s="29">
        <v>21.5</v>
      </c>
      <c r="E390" s="29">
        <v>21.5</v>
      </c>
      <c r="F390" s="30">
        <v>69</v>
      </c>
      <c r="G390" s="29">
        <v>69</v>
      </c>
      <c r="H390" s="28" t="s">
        <v>3060</v>
      </c>
      <c r="I390" s="27" t="s">
        <v>4</v>
      </c>
      <c r="J390" s="31" t="s">
        <v>71</v>
      </c>
      <c r="K390" s="27" t="s">
        <v>24</v>
      </c>
      <c r="L390" s="27" t="s">
        <v>999</v>
      </c>
      <c r="M390" s="32"/>
    </row>
    <row r="391" spans="1:13" ht="15.2" customHeight="1" x14ac:dyDescent="0.2">
      <c r="A391" s="26" t="s">
        <v>8131</v>
      </c>
      <c r="B391" s="27" t="s">
        <v>8132</v>
      </c>
      <c r="C391" s="28">
        <v>1</v>
      </c>
      <c r="D391" s="29">
        <v>21.5</v>
      </c>
      <c r="E391" s="29">
        <v>21.5</v>
      </c>
      <c r="F391" s="30">
        <v>69</v>
      </c>
      <c r="G391" s="29">
        <v>69</v>
      </c>
      <c r="H391" s="28" t="s">
        <v>3060</v>
      </c>
      <c r="I391" s="27" t="s">
        <v>4</v>
      </c>
      <c r="J391" s="31" t="s">
        <v>5</v>
      </c>
      <c r="K391" s="27" t="s">
        <v>24</v>
      </c>
      <c r="L391" s="27" t="s">
        <v>999</v>
      </c>
      <c r="M391" s="32"/>
    </row>
    <row r="392" spans="1:13" ht="15.2" customHeight="1" x14ac:dyDescent="0.2">
      <c r="A392" s="26" t="s">
        <v>10628</v>
      </c>
      <c r="B392" s="27" t="s">
        <v>10629</v>
      </c>
      <c r="C392" s="28">
        <v>1</v>
      </c>
      <c r="D392" s="29">
        <v>20</v>
      </c>
      <c r="E392" s="29">
        <v>20</v>
      </c>
      <c r="F392" s="30">
        <v>59</v>
      </c>
      <c r="G392" s="29">
        <v>59</v>
      </c>
      <c r="H392" s="28" t="s">
        <v>10630</v>
      </c>
      <c r="I392" s="27" t="s">
        <v>103</v>
      </c>
      <c r="J392" s="31" t="s">
        <v>230</v>
      </c>
      <c r="K392" s="27" t="s">
        <v>24</v>
      </c>
      <c r="L392" s="27" t="s">
        <v>1079</v>
      </c>
      <c r="M392" s="32"/>
    </row>
    <row r="393" spans="1:13" ht="15.2" customHeight="1" x14ac:dyDescent="0.2">
      <c r="A393" s="26" t="s">
        <v>2432</v>
      </c>
      <c r="B393" s="27" t="s">
        <v>2433</v>
      </c>
      <c r="C393" s="28">
        <v>1</v>
      </c>
      <c r="D393" s="29">
        <v>19</v>
      </c>
      <c r="E393" s="29">
        <v>19</v>
      </c>
      <c r="F393" s="30">
        <v>49.5</v>
      </c>
      <c r="G393" s="29">
        <v>49.5</v>
      </c>
      <c r="H393" s="28" t="s">
        <v>978</v>
      </c>
      <c r="I393" s="27" t="s">
        <v>20</v>
      </c>
      <c r="J393" s="31" t="s">
        <v>71</v>
      </c>
      <c r="K393" s="27" t="s">
        <v>17</v>
      </c>
      <c r="L393" s="27" t="s">
        <v>18</v>
      </c>
      <c r="M393" s="32"/>
    </row>
    <row r="394" spans="1:13" ht="15.2" customHeight="1" x14ac:dyDescent="0.2">
      <c r="A394" s="26" t="s">
        <v>10631</v>
      </c>
      <c r="B394" s="27" t="s">
        <v>10632</v>
      </c>
      <c r="C394" s="28">
        <v>1</v>
      </c>
      <c r="D394" s="29">
        <v>17</v>
      </c>
      <c r="E394" s="29">
        <v>17</v>
      </c>
      <c r="F394" s="30">
        <v>44.5</v>
      </c>
      <c r="G394" s="29">
        <v>44.5</v>
      </c>
      <c r="H394" s="28" t="s">
        <v>501</v>
      </c>
      <c r="I394" s="27" t="s">
        <v>215</v>
      </c>
      <c r="J394" s="31" t="s">
        <v>21</v>
      </c>
      <c r="K394" s="27" t="s">
        <v>17</v>
      </c>
      <c r="L394" s="27" t="s">
        <v>18</v>
      </c>
      <c r="M394" s="32"/>
    </row>
    <row r="395" spans="1:13" ht="15.2" customHeight="1" x14ac:dyDescent="0.2">
      <c r="A395" s="26" t="s">
        <v>10633</v>
      </c>
      <c r="B395" s="27" t="s">
        <v>10634</v>
      </c>
      <c r="C395" s="28">
        <v>1</v>
      </c>
      <c r="D395" s="29">
        <v>16</v>
      </c>
      <c r="E395" s="29">
        <v>16</v>
      </c>
      <c r="F395" s="30">
        <v>39.99</v>
      </c>
      <c r="G395" s="29">
        <v>39.99</v>
      </c>
      <c r="H395" s="28" t="s">
        <v>10635</v>
      </c>
      <c r="I395" s="27" t="s">
        <v>36</v>
      </c>
      <c r="J395" s="31" t="s">
        <v>40</v>
      </c>
      <c r="K395" s="27" t="s">
        <v>70</v>
      </c>
      <c r="L395" s="27" t="s">
        <v>999</v>
      </c>
      <c r="M395" s="32"/>
    </row>
    <row r="396" spans="1:13" ht="15.2" customHeight="1" x14ac:dyDescent="0.2">
      <c r="A396" s="26" t="s">
        <v>7290</v>
      </c>
      <c r="B396" s="27" t="s">
        <v>7291</v>
      </c>
      <c r="C396" s="28">
        <v>1</v>
      </c>
      <c r="D396" s="29">
        <v>15</v>
      </c>
      <c r="E396" s="29">
        <v>15</v>
      </c>
      <c r="F396" s="30">
        <v>39.5</v>
      </c>
      <c r="G396" s="29">
        <v>39.5</v>
      </c>
      <c r="H396" s="28" t="s">
        <v>1634</v>
      </c>
      <c r="I396" s="27" t="s">
        <v>280</v>
      </c>
      <c r="J396" s="31" t="s">
        <v>21</v>
      </c>
      <c r="K396" s="27" t="s">
        <v>17</v>
      </c>
      <c r="L396" s="27" t="s">
        <v>18</v>
      </c>
      <c r="M396" s="32"/>
    </row>
    <row r="397" spans="1:13" ht="15.2" customHeight="1" x14ac:dyDescent="0.2">
      <c r="A397" s="26" t="s">
        <v>10636</v>
      </c>
      <c r="B397" s="27" t="s">
        <v>1639</v>
      </c>
      <c r="C397" s="28">
        <v>1</v>
      </c>
      <c r="D397" s="29">
        <v>14.55</v>
      </c>
      <c r="E397" s="29">
        <v>14.55</v>
      </c>
      <c r="F397" s="30">
        <v>39.5</v>
      </c>
      <c r="G397" s="29">
        <v>39.5</v>
      </c>
      <c r="H397" s="28" t="s">
        <v>10341</v>
      </c>
      <c r="I397" s="27"/>
      <c r="J397" s="31" t="s">
        <v>52</v>
      </c>
      <c r="K397" s="27" t="s">
        <v>41</v>
      </c>
      <c r="L397" s="27" t="s">
        <v>76</v>
      </c>
      <c r="M397" s="32"/>
    </row>
    <row r="398" spans="1:13" ht="15.2" customHeight="1" x14ac:dyDescent="0.2">
      <c r="A398" s="26" t="s">
        <v>10637</v>
      </c>
      <c r="B398" s="27" t="s">
        <v>1639</v>
      </c>
      <c r="C398" s="28">
        <v>1</v>
      </c>
      <c r="D398" s="29">
        <v>14.55</v>
      </c>
      <c r="E398" s="29">
        <v>14.55</v>
      </c>
      <c r="F398" s="30">
        <v>39.5</v>
      </c>
      <c r="G398" s="29">
        <v>39.5</v>
      </c>
      <c r="H398" s="28" t="s">
        <v>1640</v>
      </c>
      <c r="I398" s="27" t="s">
        <v>82</v>
      </c>
      <c r="J398" s="31" t="s">
        <v>40</v>
      </c>
      <c r="K398" s="27" t="s">
        <v>41</v>
      </c>
      <c r="L398" s="27" t="s">
        <v>76</v>
      </c>
      <c r="M398" s="32"/>
    </row>
    <row r="399" spans="1:13" ht="15.2" customHeight="1" x14ac:dyDescent="0.2">
      <c r="A399" s="26" t="s">
        <v>10638</v>
      </c>
      <c r="B399" s="27" t="s">
        <v>1639</v>
      </c>
      <c r="C399" s="28">
        <v>1</v>
      </c>
      <c r="D399" s="29">
        <v>14.55</v>
      </c>
      <c r="E399" s="29">
        <v>14.55</v>
      </c>
      <c r="F399" s="30">
        <v>39.5</v>
      </c>
      <c r="G399" s="29">
        <v>39.5</v>
      </c>
      <c r="H399" s="28" t="s">
        <v>10341</v>
      </c>
      <c r="I399" s="27"/>
      <c r="J399" s="31" t="s">
        <v>65</v>
      </c>
      <c r="K399" s="27" t="s">
        <v>41</v>
      </c>
      <c r="L399" s="27" t="s">
        <v>76</v>
      </c>
      <c r="M399" s="32"/>
    </row>
    <row r="400" spans="1:13" ht="15.2" customHeight="1" x14ac:dyDescent="0.2">
      <c r="A400" s="26" t="s">
        <v>10639</v>
      </c>
      <c r="B400" s="27" t="s">
        <v>1639</v>
      </c>
      <c r="C400" s="28">
        <v>1</v>
      </c>
      <c r="D400" s="29">
        <v>14.55</v>
      </c>
      <c r="E400" s="29">
        <v>14.55</v>
      </c>
      <c r="F400" s="30">
        <v>39.5</v>
      </c>
      <c r="G400" s="29">
        <v>39.5</v>
      </c>
      <c r="H400" s="28" t="s">
        <v>10341</v>
      </c>
      <c r="I400" s="27"/>
      <c r="J400" s="31" t="s">
        <v>21</v>
      </c>
      <c r="K400" s="27" t="s">
        <v>41</v>
      </c>
      <c r="L400" s="27" t="s">
        <v>76</v>
      </c>
      <c r="M400" s="32"/>
    </row>
    <row r="401" spans="1:13" ht="15.2" customHeight="1" x14ac:dyDescent="0.2">
      <c r="A401" s="26" t="s">
        <v>10640</v>
      </c>
      <c r="B401" s="27" t="s">
        <v>1639</v>
      </c>
      <c r="C401" s="28">
        <v>1</v>
      </c>
      <c r="D401" s="29">
        <v>14.55</v>
      </c>
      <c r="E401" s="29">
        <v>14.55</v>
      </c>
      <c r="F401" s="30">
        <v>39.5</v>
      </c>
      <c r="G401" s="29">
        <v>39.5</v>
      </c>
      <c r="H401" s="28" t="s">
        <v>1640</v>
      </c>
      <c r="I401" s="27" t="s">
        <v>82</v>
      </c>
      <c r="J401" s="31" t="s">
        <v>71</v>
      </c>
      <c r="K401" s="27" t="s">
        <v>41</v>
      </c>
      <c r="L401" s="27" t="s">
        <v>76</v>
      </c>
      <c r="M401" s="32"/>
    </row>
    <row r="402" spans="1:13" ht="15.2" customHeight="1" x14ac:dyDescent="0.2">
      <c r="A402" s="26" t="s">
        <v>548</v>
      </c>
      <c r="B402" s="27" t="s">
        <v>549</v>
      </c>
      <c r="C402" s="28">
        <v>1</v>
      </c>
      <c r="D402" s="29">
        <v>14.4</v>
      </c>
      <c r="E402" s="29">
        <v>14.4</v>
      </c>
      <c r="F402" s="30">
        <v>39.5</v>
      </c>
      <c r="G402" s="29">
        <v>39.5</v>
      </c>
      <c r="H402" s="28" t="s">
        <v>550</v>
      </c>
      <c r="I402" s="27" t="s">
        <v>4</v>
      </c>
      <c r="J402" s="31" t="s">
        <v>5</v>
      </c>
      <c r="K402" s="27" t="s">
        <v>41</v>
      </c>
      <c r="L402" s="27" t="s">
        <v>45</v>
      </c>
      <c r="M402" s="32"/>
    </row>
    <row r="403" spans="1:13" ht="15.2" customHeight="1" x14ac:dyDescent="0.2">
      <c r="A403" s="26" t="s">
        <v>10303</v>
      </c>
      <c r="B403" s="27" t="s">
        <v>549</v>
      </c>
      <c r="C403" s="28">
        <v>1</v>
      </c>
      <c r="D403" s="29">
        <v>14.4</v>
      </c>
      <c r="E403" s="29">
        <v>14.4</v>
      </c>
      <c r="F403" s="30">
        <v>39.5</v>
      </c>
      <c r="G403" s="29">
        <v>39.5</v>
      </c>
      <c r="H403" s="28" t="s">
        <v>550</v>
      </c>
      <c r="I403" s="27" t="s">
        <v>4</v>
      </c>
      <c r="J403" s="31" t="s">
        <v>71</v>
      </c>
      <c r="K403" s="27" t="s">
        <v>41</v>
      </c>
      <c r="L403" s="27" t="s">
        <v>45</v>
      </c>
      <c r="M403" s="32"/>
    </row>
    <row r="404" spans="1:13" ht="15.2" customHeight="1" x14ac:dyDescent="0.2">
      <c r="A404" s="26" t="s">
        <v>10641</v>
      </c>
      <c r="B404" s="27" t="s">
        <v>10642</v>
      </c>
      <c r="C404" s="28">
        <v>1</v>
      </c>
      <c r="D404" s="29">
        <v>14.25</v>
      </c>
      <c r="E404" s="29">
        <v>14.25</v>
      </c>
      <c r="F404" s="30">
        <v>29.99</v>
      </c>
      <c r="G404" s="29">
        <v>29.99</v>
      </c>
      <c r="H404" s="28" t="s">
        <v>551</v>
      </c>
      <c r="I404" s="27" t="s">
        <v>59</v>
      </c>
      <c r="J404" s="31" t="s">
        <v>113</v>
      </c>
      <c r="K404" s="27" t="s">
        <v>200</v>
      </c>
      <c r="L404" s="27" t="s">
        <v>552</v>
      </c>
      <c r="M404" s="32"/>
    </row>
    <row r="405" spans="1:13" ht="15.2" customHeight="1" x14ac:dyDescent="0.2">
      <c r="A405" s="26" t="s">
        <v>10643</v>
      </c>
      <c r="B405" s="27" t="s">
        <v>10644</v>
      </c>
      <c r="C405" s="28">
        <v>1</v>
      </c>
      <c r="D405" s="29">
        <v>14.25</v>
      </c>
      <c r="E405" s="29">
        <v>14.25</v>
      </c>
      <c r="F405" s="30">
        <v>29.99</v>
      </c>
      <c r="G405" s="29">
        <v>29.99</v>
      </c>
      <c r="H405" s="28" t="s">
        <v>2466</v>
      </c>
      <c r="I405" s="27" t="s">
        <v>10</v>
      </c>
      <c r="J405" s="31" t="s">
        <v>216</v>
      </c>
      <c r="K405" s="27" t="s">
        <v>200</v>
      </c>
      <c r="L405" s="27" t="s">
        <v>552</v>
      </c>
      <c r="M405" s="32"/>
    </row>
    <row r="406" spans="1:13" ht="15.2" customHeight="1" x14ac:dyDescent="0.2">
      <c r="A406" s="26" t="s">
        <v>10645</v>
      </c>
      <c r="B406" s="27" t="s">
        <v>10646</v>
      </c>
      <c r="C406" s="28">
        <v>2</v>
      </c>
      <c r="D406" s="29">
        <v>14.25</v>
      </c>
      <c r="E406" s="29">
        <v>28.5</v>
      </c>
      <c r="F406" s="30">
        <v>29.99</v>
      </c>
      <c r="G406" s="29">
        <v>59.98</v>
      </c>
      <c r="H406" s="28" t="s">
        <v>551</v>
      </c>
      <c r="I406" s="27" t="s">
        <v>59</v>
      </c>
      <c r="J406" s="31" t="s">
        <v>205</v>
      </c>
      <c r="K406" s="27" t="s">
        <v>200</v>
      </c>
      <c r="L406" s="27" t="s">
        <v>552</v>
      </c>
      <c r="M406" s="32"/>
    </row>
    <row r="407" spans="1:13" ht="15.2" customHeight="1" x14ac:dyDescent="0.2">
      <c r="A407" s="26" t="s">
        <v>10647</v>
      </c>
      <c r="B407" s="27" t="s">
        <v>10648</v>
      </c>
      <c r="C407" s="28">
        <v>1</v>
      </c>
      <c r="D407" s="29">
        <v>13.94</v>
      </c>
      <c r="E407" s="29">
        <v>13.94</v>
      </c>
      <c r="F407" s="30">
        <v>29.99</v>
      </c>
      <c r="G407" s="29">
        <v>29.99</v>
      </c>
      <c r="H407" s="28" t="s">
        <v>10649</v>
      </c>
      <c r="I407" s="27" t="s">
        <v>94</v>
      </c>
      <c r="J407" s="31" t="s">
        <v>5</v>
      </c>
      <c r="K407" s="27" t="s">
        <v>41</v>
      </c>
      <c r="L407" s="27" t="s">
        <v>45</v>
      </c>
      <c r="M407" s="32"/>
    </row>
    <row r="408" spans="1:13" ht="15.2" customHeight="1" x14ac:dyDescent="0.2">
      <c r="A408" s="26" t="s">
        <v>7704</v>
      </c>
      <c r="B408" s="27" t="s">
        <v>7705</v>
      </c>
      <c r="C408" s="28">
        <v>2</v>
      </c>
      <c r="D408" s="29">
        <v>12.65</v>
      </c>
      <c r="E408" s="29">
        <v>25.3</v>
      </c>
      <c r="F408" s="30">
        <v>29</v>
      </c>
      <c r="G408" s="29">
        <v>58</v>
      </c>
      <c r="H408" s="28" t="s">
        <v>1020</v>
      </c>
      <c r="I408" s="27" t="s">
        <v>29</v>
      </c>
      <c r="J408" s="31" t="s">
        <v>69</v>
      </c>
      <c r="K408" s="27" t="s">
        <v>200</v>
      </c>
      <c r="L408" s="27" t="s">
        <v>765</v>
      </c>
      <c r="M408" s="32"/>
    </row>
    <row r="409" spans="1:13" ht="15.2" customHeight="1" x14ac:dyDescent="0.2">
      <c r="A409" s="26" t="s">
        <v>10650</v>
      </c>
      <c r="B409" s="27" t="s">
        <v>4086</v>
      </c>
      <c r="C409" s="28">
        <v>1</v>
      </c>
      <c r="D409" s="29">
        <v>12.5</v>
      </c>
      <c r="E409" s="29">
        <v>12.5</v>
      </c>
      <c r="F409" s="30">
        <v>34.99</v>
      </c>
      <c r="G409" s="29">
        <v>34.99</v>
      </c>
      <c r="H409" s="28" t="s">
        <v>4087</v>
      </c>
      <c r="I409" s="27" t="s">
        <v>4</v>
      </c>
      <c r="J409" s="31" t="s">
        <v>210</v>
      </c>
      <c r="K409" s="27" t="s">
        <v>200</v>
      </c>
      <c r="L409" s="27" t="s">
        <v>287</v>
      </c>
      <c r="M409" s="32"/>
    </row>
    <row r="410" spans="1:13" ht="15.2" customHeight="1" x14ac:dyDescent="0.2">
      <c r="A410" s="26" t="s">
        <v>10651</v>
      </c>
      <c r="B410" s="27" t="s">
        <v>8338</v>
      </c>
      <c r="C410" s="28">
        <v>1</v>
      </c>
      <c r="D410" s="29">
        <v>12.5</v>
      </c>
      <c r="E410" s="29">
        <v>12.5</v>
      </c>
      <c r="F410" s="30">
        <v>34.99</v>
      </c>
      <c r="G410" s="29">
        <v>34.99</v>
      </c>
      <c r="H410" s="28" t="s">
        <v>8339</v>
      </c>
      <c r="I410" s="27" t="s">
        <v>29</v>
      </c>
      <c r="J410" s="31" t="s">
        <v>210</v>
      </c>
      <c r="K410" s="27" t="s">
        <v>200</v>
      </c>
      <c r="L410" s="27" t="s">
        <v>287</v>
      </c>
      <c r="M410" s="32"/>
    </row>
    <row r="411" spans="1:13" ht="15.2" customHeight="1" x14ac:dyDescent="0.2">
      <c r="A411" s="26" t="s">
        <v>8337</v>
      </c>
      <c r="B411" s="27" t="s">
        <v>8338</v>
      </c>
      <c r="C411" s="28">
        <v>2</v>
      </c>
      <c r="D411" s="29">
        <v>12.5</v>
      </c>
      <c r="E411" s="29">
        <v>25</v>
      </c>
      <c r="F411" s="30">
        <v>34.99</v>
      </c>
      <c r="G411" s="29">
        <v>69.98</v>
      </c>
      <c r="H411" s="28" t="s">
        <v>8339</v>
      </c>
      <c r="I411" s="27" t="s">
        <v>29</v>
      </c>
      <c r="J411" s="31" t="s">
        <v>69</v>
      </c>
      <c r="K411" s="27" t="s">
        <v>200</v>
      </c>
      <c r="L411" s="27" t="s">
        <v>287</v>
      </c>
      <c r="M411" s="32"/>
    </row>
    <row r="412" spans="1:13" ht="15.2" customHeight="1" x14ac:dyDescent="0.2">
      <c r="A412" s="26" t="s">
        <v>10652</v>
      </c>
      <c r="B412" s="27" t="s">
        <v>10653</v>
      </c>
      <c r="C412" s="28">
        <v>1</v>
      </c>
      <c r="D412" s="29">
        <v>12.5</v>
      </c>
      <c r="E412" s="29">
        <v>12.5</v>
      </c>
      <c r="F412" s="30">
        <v>29.99</v>
      </c>
      <c r="G412" s="29">
        <v>29.99</v>
      </c>
      <c r="H412" s="28" t="s">
        <v>10654</v>
      </c>
      <c r="I412" s="27" t="s">
        <v>82</v>
      </c>
      <c r="J412" s="31" t="s">
        <v>69</v>
      </c>
      <c r="K412" s="27" t="s">
        <v>200</v>
      </c>
      <c r="L412" s="27" t="s">
        <v>133</v>
      </c>
      <c r="M412" s="32"/>
    </row>
    <row r="413" spans="1:13" ht="15.2" customHeight="1" x14ac:dyDescent="0.2">
      <c r="A413" s="26" t="s">
        <v>10655</v>
      </c>
      <c r="B413" s="27" t="s">
        <v>10656</v>
      </c>
      <c r="C413" s="28">
        <v>1</v>
      </c>
      <c r="D413" s="29">
        <v>11.5</v>
      </c>
      <c r="E413" s="29">
        <v>11.5</v>
      </c>
      <c r="F413" s="30">
        <v>25.99</v>
      </c>
      <c r="G413" s="29">
        <v>25.99</v>
      </c>
      <c r="H413" s="28" t="s">
        <v>229</v>
      </c>
      <c r="I413" s="27" t="s">
        <v>343</v>
      </c>
      <c r="J413" s="31" t="s">
        <v>214</v>
      </c>
      <c r="K413" s="27" t="s">
        <v>200</v>
      </c>
      <c r="L413" s="27" t="s">
        <v>133</v>
      </c>
      <c r="M413" s="32"/>
    </row>
    <row r="414" spans="1:13" ht="15.2" customHeight="1" x14ac:dyDescent="0.2">
      <c r="A414" s="26" t="s">
        <v>9387</v>
      </c>
      <c r="B414" s="27" t="s">
        <v>9388</v>
      </c>
      <c r="C414" s="28">
        <v>1</v>
      </c>
      <c r="D414" s="29">
        <v>10.5</v>
      </c>
      <c r="E414" s="29">
        <v>10.5</v>
      </c>
      <c r="F414" s="30">
        <v>24.99</v>
      </c>
      <c r="G414" s="29">
        <v>24.99</v>
      </c>
      <c r="H414" s="28" t="s">
        <v>1043</v>
      </c>
      <c r="I414" s="27" t="s">
        <v>4</v>
      </c>
      <c r="J414" s="31" t="s">
        <v>5</v>
      </c>
      <c r="K414" s="27" t="s">
        <v>224</v>
      </c>
      <c r="L414" s="27" t="s">
        <v>239</v>
      </c>
      <c r="M414" s="32"/>
    </row>
    <row r="415" spans="1:13" ht="15.2" customHeight="1" x14ac:dyDescent="0.2">
      <c r="A415" s="26" t="s">
        <v>1044</v>
      </c>
      <c r="B415" s="27" t="s">
        <v>1045</v>
      </c>
      <c r="C415" s="28">
        <v>1</v>
      </c>
      <c r="D415" s="29">
        <v>10.5</v>
      </c>
      <c r="E415" s="29">
        <v>10.5</v>
      </c>
      <c r="F415" s="30">
        <v>24.99</v>
      </c>
      <c r="G415" s="29">
        <v>24.99</v>
      </c>
      <c r="H415" s="28" t="s">
        <v>1043</v>
      </c>
      <c r="I415" s="27" t="s">
        <v>238</v>
      </c>
      <c r="J415" s="31" t="s">
        <v>21</v>
      </c>
      <c r="K415" s="27" t="s">
        <v>224</v>
      </c>
      <c r="L415" s="27" t="s">
        <v>239</v>
      </c>
      <c r="M415" s="32"/>
    </row>
    <row r="416" spans="1:13" ht="15.2" customHeight="1" x14ac:dyDescent="0.2">
      <c r="A416" s="26" t="s">
        <v>10657</v>
      </c>
      <c r="B416" s="27" t="s">
        <v>10658</v>
      </c>
      <c r="C416" s="28">
        <v>1</v>
      </c>
      <c r="D416" s="29">
        <v>10.5</v>
      </c>
      <c r="E416" s="29">
        <v>10.5</v>
      </c>
      <c r="F416" s="30">
        <v>24.99</v>
      </c>
      <c r="G416" s="29">
        <v>24.99</v>
      </c>
      <c r="H416" s="28" t="s">
        <v>573</v>
      </c>
      <c r="I416" s="27" t="s">
        <v>36</v>
      </c>
      <c r="J416" s="31" t="s">
        <v>52</v>
      </c>
      <c r="K416" s="27" t="s">
        <v>159</v>
      </c>
      <c r="L416" s="27" t="s">
        <v>160</v>
      </c>
      <c r="M416" s="32"/>
    </row>
    <row r="417" spans="1:13" ht="15.2" customHeight="1" x14ac:dyDescent="0.2">
      <c r="A417" s="26" t="s">
        <v>9393</v>
      </c>
      <c r="B417" s="27" t="s">
        <v>9394</v>
      </c>
      <c r="C417" s="28">
        <v>1</v>
      </c>
      <c r="D417" s="29">
        <v>10.5</v>
      </c>
      <c r="E417" s="29">
        <v>10.5</v>
      </c>
      <c r="F417" s="30">
        <v>24.99</v>
      </c>
      <c r="G417" s="29">
        <v>24.99</v>
      </c>
      <c r="H417" s="28" t="s">
        <v>1043</v>
      </c>
      <c r="I417" s="27" t="s">
        <v>4</v>
      </c>
      <c r="J417" s="31" t="s">
        <v>52</v>
      </c>
      <c r="K417" s="27" t="s">
        <v>224</v>
      </c>
      <c r="L417" s="27" t="s">
        <v>239</v>
      </c>
      <c r="M417" s="32"/>
    </row>
    <row r="418" spans="1:13" ht="15.2" customHeight="1" x14ac:dyDescent="0.2">
      <c r="A418" s="26" t="s">
        <v>10659</v>
      </c>
      <c r="B418" s="27" t="s">
        <v>10660</v>
      </c>
      <c r="C418" s="28">
        <v>1</v>
      </c>
      <c r="D418" s="29">
        <v>10.5</v>
      </c>
      <c r="E418" s="29">
        <v>10.5</v>
      </c>
      <c r="F418" s="30">
        <v>24.99</v>
      </c>
      <c r="G418" s="29">
        <v>24.99</v>
      </c>
      <c r="H418" s="28" t="s">
        <v>10661</v>
      </c>
      <c r="I418" s="27" t="s">
        <v>82</v>
      </c>
      <c r="J418" s="31" t="s">
        <v>21</v>
      </c>
      <c r="K418" s="27" t="s">
        <v>196</v>
      </c>
      <c r="L418" s="27" t="s">
        <v>225</v>
      </c>
      <c r="M418" s="32"/>
    </row>
    <row r="419" spans="1:13" ht="15.2" customHeight="1" x14ac:dyDescent="0.2">
      <c r="A419" s="26" t="s">
        <v>10662</v>
      </c>
      <c r="B419" s="27" t="s">
        <v>10663</v>
      </c>
      <c r="C419" s="28">
        <v>1</v>
      </c>
      <c r="D419" s="29">
        <v>10.4</v>
      </c>
      <c r="E419" s="29">
        <v>10.4</v>
      </c>
      <c r="F419" s="30">
        <v>24.99</v>
      </c>
      <c r="G419" s="29">
        <v>24.99</v>
      </c>
      <c r="H419" s="28" t="s">
        <v>8743</v>
      </c>
      <c r="I419" s="27" t="s">
        <v>59</v>
      </c>
      <c r="J419" s="31" t="s">
        <v>52</v>
      </c>
      <c r="K419" s="27" t="s">
        <v>224</v>
      </c>
      <c r="L419" s="27" t="s">
        <v>254</v>
      </c>
      <c r="M419" s="32"/>
    </row>
    <row r="420" spans="1:13" ht="15.2" customHeight="1" x14ac:dyDescent="0.2">
      <c r="A420" s="26" t="s">
        <v>10664</v>
      </c>
      <c r="B420" s="27" t="s">
        <v>10665</v>
      </c>
      <c r="C420" s="28">
        <v>1</v>
      </c>
      <c r="D420" s="29">
        <v>10</v>
      </c>
      <c r="E420" s="29">
        <v>10</v>
      </c>
      <c r="F420" s="30">
        <v>24.99</v>
      </c>
      <c r="G420" s="29">
        <v>24.99</v>
      </c>
      <c r="H420" s="28" t="s">
        <v>7827</v>
      </c>
      <c r="I420" s="27" t="s">
        <v>94</v>
      </c>
      <c r="J420" s="31" t="s">
        <v>52</v>
      </c>
      <c r="K420" s="27" t="s">
        <v>224</v>
      </c>
      <c r="L420" s="27" t="s">
        <v>197</v>
      </c>
      <c r="M420" s="32"/>
    </row>
    <row r="421" spans="1:13" ht="15.2" customHeight="1" x14ac:dyDescent="0.2">
      <c r="A421" s="26" t="s">
        <v>10666</v>
      </c>
      <c r="B421" s="27" t="s">
        <v>10667</v>
      </c>
      <c r="C421" s="28">
        <v>1</v>
      </c>
      <c r="D421" s="29">
        <v>9.6199999999999992</v>
      </c>
      <c r="E421" s="29">
        <v>9.6199999999999992</v>
      </c>
      <c r="F421" s="30">
        <v>26</v>
      </c>
      <c r="G421" s="29">
        <v>26</v>
      </c>
      <c r="H421" s="28" t="s">
        <v>10668</v>
      </c>
      <c r="I421" s="27" t="s">
        <v>4</v>
      </c>
      <c r="J421" s="31" t="s">
        <v>71</v>
      </c>
      <c r="K421" s="27" t="s">
        <v>989</v>
      </c>
      <c r="L421" s="27" t="s">
        <v>990</v>
      </c>
      <c r="M421" s="32"/>
    </row>
    <row r="422" spans="1:13" ht="15.2" customHeight="1" x14ac:dyDescent="0.2">
      <c r="A422" s="26" t="s">
        <v>1664</v>
      </c>
      <c r="B422" s="27" t="s">
        <v>1665</v>
      </c>
      <c r="C422" s="28">
        <v>1</v>
      </c>
      <c r="D422" s="29">
        <v>9.25</v>
      </c>
      <c r="E422" s="29">
        <v>9.25</v>
      </c>
      <c r="F422" s="30">
        <v>19.989999999999998</v>
      </c>
      <c r="G422" s="29">
        <v>19.989999999999998</v>
      </c>
      <c r="H422" s="28">
        <v>60437287</v>
      </c>
      <c r="I422" s="27" t="s">
        <v>127</v>
      </c>
      <c r="J422" s="31" t="s">
        <v>5</v>
      </c>
      <c r="K422" s="27" t="s">
        <v>224</v>
      </c>
      <c r="L422" s="27" t="s">
        <v>255</v>
      </c>
      <c r="M422" s="32"/>
    </row>
    <row r="423" spans="1:13" ht="15.2" customHeight="1" x14ac:dyDescent="0.2">
      <c r="A423" s="26" t="s">
        <v>1666</v>
      </c>
      <c r="B423" s="27" t="s">
        <v>1667</v>
      </c>
      <c r="C423" s="28">
        <v>1</v>
      </c>
      <c r="D423" s="29">
        <v>9.24</v>
      </c>
      <c r="E423" s="29">
        <v>9.24</v>
      </c>
      <c r="F423" s="30">
        <v>21.99</v>
      </c>
      <c r="G423" s="29">
        <v>21.99</v>
      </c>
      <c r="H423" s="28" t="s">
        <v>1668</v>
      </c>
      <c r="I423" s="27" t="s">
        <v>10</v>
      </c>
      <c r="J423" s="31" t="s">
        <v>65</v>
      </c>
      <c r="K423" s="27" t="s">
        <v>159</v>
      </c>
      <c r="L423" s="27" t="s">
        <v>160</v>
      </c>
      <c r="M423" s="32"/>
    </row>
    <row r="424" spans="1:13" ht="15.2" customHeight="1" x14ac:dyDescent="0.2">
      <c r="A424" s="26" t="s">
        <v>10669</v>
      </c>
      <c r="B424" s="27" t="s">
        <v>10670</v>
      </c>
      <c r="C424" s="28">
        <v>1</v>
      </c>
      <c r="D424" s="29">
        <v>9.24</v>
      </c>
      <c r="E424" s="29">
        <v>9.24</v>
      </c>
      <c r="F424" s="30">
        <v>21.99</v>
      </c>
      <c r="G424" s="29">
        <v>21.99</v>
      </c>
      <c r="H424" s="28" t="s">
        <v>1669</v>
      </c>
      <c r="I424" s="27" t="s">
        <v>4</v>
      </c>
      <c r="J424" s="31" t="s">
        <v>5</v>
      </c>
      <c r="K424" s="27" t="s">
        <v>159</v>
      </c>
      <c r="L424" s="27" t="s">
        <v>160</v>
      </c>
      <c r="M424" s="32"/>
    </row>
    <row r="425" spans="1:13" ht="15.2" customHeight="1" x14ac:dyDescent="0.2">
      <c r="A425" s="26" t="s">
        <v>10671</v>
      </c>
      <c r="B425" s="27" t="s">
        <v>10672</v>
      </c>
      <c r="C425" s="28">
        <v>1</v>
      </c>
      <c r="D425" s="29">
        <v>9</v>
      </c>
      <c r="E425" s="29">
        <v>9</v>
      </c>
      <c r="F425" s="30">
        <v>22.99</v>
      </c>
      <c r="G425" s="29">
        <v>22.99</v>
      </c>
      <c r="H425" s="28" t="s">
        <v>9948</v>
      </c>
      <c r="I425" s="27" t="s">
        <v>64</v>
      </c>
      <c r="J425" s="31" t="s">
        <v>21</v>
      </c>
      <c r="K425" s="27" t="s">
        <v>200</v>
      </c>
      <c r="L425" s="27" t="s">
        <v>243</v>
      </c>
      <c r="M425" s="32"/>
    </row>
    <row r="426" spans="1:13" ht="15.2" customHeight="1" x14ac:dyDescent="0.2">
      <c r="A426" s="26" t="s">
        <v>2517</v>
      </c>
      <c r="B426" s="27" t="s">
        <v>2518</v>
      </c>
      <c r="C426" s="28">
        <v>1</v>
      </c>
      <c r="D426" s="29">
        <v>8.9</v>
      </c>
      <c r="E426" s="29">
        <v>8.9</v>
      </c>
      <c r="F426" s="30">
        <v>19.989999999999998</v>
      </c>
      <c r="G426" s="29">
        <v>19.989999999999998</v>
      </c>
      <c r="H426" s="28" t="s">
        <v>1362</v>
      </c>
      <c r="I426" s="27" t="s">
        <v>248</v>
      </c>
      <c r="J426" s="31" t="s">
        <v>52</v>
      </c>
      <c r="K426" s="27" t="s">
        <v>224</v>
      </c>
      <c r="L426" s="27" t="s">
        <v>276</v>
      </c>
      <c r="M426" s="32"/>
    </row>
    <row r="427" spans="1:13" ht="15.2" customHeight="1" x14ac:dyDescent="0.2">
      <c r="A427" s="26" t="s">
        <v>10673</v>
      </c>
      <c r="B427" s="27" t="s">
        <v>10674</v>
      </c>
      <c r="C427" s="28">
        <v>1</v>
      </c>
      <c r="D427" s="29">
        <v>8.9</v>
      </c>
      <c r="E427" s="29">
        <v>8.9</v>
      </c>
      <c r="F427" s="30">
        <v>22.99</v>
      </c>
      <c r="G427" s="29">
        <v>22.99</v>
      </c>
      <c r="H427" s="28" t="s">
        <v>10675</v>
      </c>
      <c r="I427" s="27" t="s">
        <v>4</v>
      </c>
      <c r="J427" s="31" t="s">
        <v>5</v>
      </c>
      <c r="K427" s="27" t="s">
        <v>200</v>
      </c>
      <c r="L427" s="27" t="s">
        <v>322</v>
      </c>
      <c r="M427" s="32"/>
    </row>
    <row r="428" spans="1:13" ht="15.2" customHeight="1" x14ac:dyDescent="0.2">
      <c r="A428" s="26" t="s">
        <v>10676</v>
      </c>
      <c r="B428" s="27" t="s">
        <v>10677</v>
      </c>
      <c r="C428" s="28">
        <v>1</v>
      </c>
      <c r="D428" s="29">
        <v>8.75</v>
      </c>
      <c r="E428" s="29">
        <v>8.75</v>
      </c>
      <c r="F428" s="30">
        <v>24.99</v>
      </c>
      <c r="G428" s="29">
        <v>24.99</v>
      </c>
      <c r="H428" s="28" t="s">
        <v>4798</v>
      </c>
      <c r="I428" s="27" t="s">
        <v>1</v>
      </c>
      <c r="J428" s="31" t="s">
        <v>5</v>
      </c>
      <c r="K428" s="27" t="s">
        <v>224</v>
      </c>
      <c r="L428" s="27" t="s">
        <v>239</v>
      </c>
      <c r="M428" s="32"/>
    </row>
    <row r="429" spans="1:13" ht="15.2" customHeight="1" x14ac:dyDescent="0.2">
      <c r="A429" s="26" t="s">
        <v>10678</v>
      </c>
      <c r="B429" s="27" t="s">
        <v>9473</v>
      </c>
      <c r="C429" s="28">
        <v>2</v>
      </c>
      <c r="D429" s="29">
        <v>8.5</v>
      </c>
      <c r="E429" s="29">
        <v>17</v>
      </c>
      <c r="F429" s="30">
        <v>19.989999999999998</v>
      </c>
      <c r="G429" s="29">
        <v>39.979999999999997</v>
      </c>
      <c r="H429" s="28" t="s">
        <v>9474</v>
      </c>
      <c r="I429" s="27" t="s">
        <v>4</v>
      </c>
      <c r="J429" s="31" t="s">
        <v>40</v>
      </c>
      <c r="K429" s="27" t="s">
        <v>196</v>
      </c>
      <c r="L429" s="27" t="s">
        <v>336</v>
      </c>
      <c r="M429" s="32"/>
    </row>
    <row r="430" spans="1:13" ht="15.2" customHeight="1" x14ac:dyDescent="0.2">
      <c r="A430" s="26" t="s">
        <v>10679</v>
      </c>
      <c r="B430" s="27" t="s">
        <v>5919</v>
      </c>
      <c r="C430" s="28">
        <v>1</v>
      </c>
      <c r="D430" s="29">
        <v>8.5</v>
      </c>
      <c r="E430" s="29">
        <v>8.5</v>
      </c>
      <c r="F430" s="30">
        <v>19.989999999999998</v>
      </c>
      <c r="G430" s="29">
        <v>19.989999999999998</v>
      </c>
      <c r="H430" s="28" t="s">
        <v>5920</v>
      </c>
      <c r="I430" s="27" t="s">
        <v>66</v>
      </c>
      <c r="J430" s="31" t="s">
        <v>40</v>
      </c>
      <c r="K430" s="27" t="s">
        <v>196</v>
      </c>
      <c r="L430" s="27" t="s">
        <v>336</v>
      </c>
      <c r="M430" s="32"/>
    </row>
    <row r="431" spans="1:13" ht="15.2" customHeight="1" x14ac:dyDescent="0.2">
      <c r="A431" s="26" t="s">
        <v>1687</v>
      </c>
      <c r="B431" s="27" t="s">
        <v>1688</v>
      </c>
      <c r="C431" s="28">
        <v>2</v>
      </c>
      <c r="D431" s="29">
        <v>8.25</v>
      </c>
      <c r="E431" s="29">
        <v>16.5</v>
      </c>
      <c r="F431" s="30">
        <v>22.99</v>
      </c>
      <c r="G431" s="29">
        <v>45.98</v>
      </c>
      <c r="H431" s="28" t="s">
        <v>1680</v>
      </c>
      <c r="I431" s="27" t="s">
        <v>1</v>
      </c>
      <c r="J431" s="31" t="s">
        <v>230</v>
      </c>
      <c r="K431" s="27" t="s">
        <v>200</v>
      </c>
      <c r="L431" s="27" t="s">
        <v>1201</v>
      </c>
      <c r="M431" s="32"/>
    </row>
    <row r="432" spans="1:13" ht="15.2" customHeight="1" x14ac:dyDescent="0.2">
      <c r="A432" s="26" t="s">
        <v>1678</v>
      </c>
      <c r="B432" s="27" t="s">
        <v>1679</v>
      </c>
      <c r="C432" s="28">
        <v>1</v>
      </c>
      <c r="D432" s="29">
        <v>8.25</v>
      </c>
      <c r="E432" s="29">
        <v>8.25</v>
      </c>
      <c r="F432" s="30">
        <v>22.99</v>
      </c>
      <c r="G432" s="29">
        <v>22.99</v>
      </c>
      <c r="H432" s="28" t="s">
        <v>1680</v>
      </c>
      <c r="I432" s="27" t="s">
        <v>1</v>
      </c>
      <c r="J432" s="31" t="s">
        <v>214</v>
      </c>
      <c r="K432" s="27" t="s">
        <v>200</v>
      </c>
      <c r="L432" s="27" t="s">
        <v>1201</v>
      </c>
      <c r="M432" s="32"/>
    </row>
    <row r="433" spans="1:13" ht="15.2" customHeight="1" x14ac:dyDescent="0.2">
      <c r="A433" s="26" t="s">
        <v>10680</v>
      </c>
      <c r="B433" s="27" t="s">
        <v>8234</v>
      </c>
      <c r="C433" s="28">
        <v>1</v>
      </c>
      <c r="D433" s="29">
        <v>7.95</v>
      </c>
      <c r="E433" s="29">
        <v>7.95</v>
      </c>
      <c r="F433" s="30">
        <v>19.989999999999998</v>
      </c>
      <c r="G433" s="29">
        <v>19.989999999999998</v>
      </c>
      <c r="H433" s="28" t="s">
        <v>5757</v>
      </c>
      <c r="I433" s="27" t="s">
        <v>22</v>
      </c>
      <c r="J433" s="31" t="s">
        <v>71</v>
      </c>
      <c r="K433" s="27" t="s">
        <v>196</v>
      </c>
      <c r="L433" s="27" t="s">
        <v>256</v>
      </c>
      <c r="M433" s="32"/>
    </row>
    <row r="434" spans="1:13" ht="15.2" customHeight="1" x14ac:dyDescent="0.2">
      <c r="A434" s="26" t="s">
        <v>1696</v>
      </c>
      <c r="B434" s="27" t="s">
        <v>1694</v>
      </c>
      <c r="C434" s="28">
        <v>1</v>
      </c>
      <c r="D434" s="29">
        <v>6.3</v>
      </c>
      <c r="E434" s="29">
        <v>6.3</v>
      </c>
      <c r="F434" s="30">
        <v>14.99</v>
      </c>
      <c r="G434" s="29">
        <v>14.99</v>
      </c>
      <c r="H434" s="28" t="s">
        <v>1695</v>
      </c>
      <c r="I434" s="27" t="s">
        <v>4</v>
      </c>
      <c r="J434" s="31" t="s">
        <v>21</v>
      </c>
      <c r="K434" s="27" t="s">
        <v>159</v>
      </c>
      <c r="L434" s="27" t="s">
        <v>160</v>
      </c>
      <c r="M434" s="32"/>
    </row>
    <row r="435" spans="1:13" ht="15.2" customHeight="1" x14ac:dyDescent="0.2">
      <c r="A435" s="26" t="s">
        <v>2065</v>
      </c>
      <c r="B435" s="27" t="s">
        <v>1694</v>
      </c>
      <c r="C435" s="28">
        <v>1</v>
      </c>
      <c r="D435" s="29">
        <v>6.3</v>
      </c>
      <c r="E435" s="29">
        <v>6.3</v>
      </c>
      <c r="F435" s="30">
        <v>14.99</v>
      </c>
      <c r="G435" s="29">
        <v>14.99</v>
      </c>
      <c r="H435" s="28" t="s">
        <v>1695</v>
      </c>
      <c r="I435" s="27" t="s">
        <v>4</v>
      </c>
      <c r="J435" s="31" t="s">
        <v>40</v>
      </c>
      <c r="K435" s="27" t="s">
        <v>159</v>
      </c>
      <c r="L435" s="27" t="s">
        <v>160</v>
      </c>
      <c r="M435" s="32"/>
    </row>
    <row r="436" spans="1:13" ht="15.2" customHeight="1" x14ac:dyDescent="0.2">
      <c r="A436" s="26" t="s">
        <v>1701</v>
      </c>
      <c r="B436" s="27" t="s">
        <v>1702</v>
      </c>
      <c r="C436" s="28">
        <v>1</v>
      </c>
      <c r="D436" s="29">
        <v>5.75</v>
      </c>
      <c r="E436" s="29">
        <v>5.75</v>
      </c>
      <c r="F436" s="30">
        <v>12.99</v>
      </c>
      <c r="G436" s="29">
        <v>12.99</v>
      </c>
      <c r="H436" s="28" t="s">
        <v>1703</v>
      </c>
      <c r="I436" s="27" t="s">
        <v>248</v>
      </c>
      <c r="J436" s="31" t="s">
        <v>5</v>
      </c>
      <c r="K436" s="27" t="s">
        <v>282</v>
      </c>
      <c r="L436" s="27" t="s">
        <v>386</v>
      </c>
      <c r="M436" s="32"/>
    </row>
    <row r="437" spans="1:13" ht="15.2" customHeight="1" x14ac:dyDescent="0.2">
      <c r="A437" s="26" t="s">
        <v>1698</v>
      </c>
      <c r="B437" s="27" t="s">
        <v>1699</v>
      </c>
      <c r="C437" s="28">
        <v>2</v>
      </c>
      <c r="D437" s="29">
        <v>5.75</v>
      </c>
      <c r="E437" s="29">
        <v>11.5</v>
      </c>
      <c r="F437" s="30">
        <v>12.99</v>
      </c>
      <c r="G437" s="29">
        <v>25.98</v>
      </c>
      <c r="H437" s="28" t="s">
        <v>1700</v>
      </c>
      <c r="I437" s="27" t="s">
        <v>82</v>
      </c>
      <c r="J437" s="31" t="s">
        <v>5</v>
      </c>
      <c r="K437" s="27" t="s">
        <v>282</v>
      </c>
      <c r="L437" s="27" t="s">
        <v>386</v>
      </c>
      <c r="M437" s="3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46"/>
  <sheetViews>
    <sheetView workbookViewId="0">
      <selection activeCell="B11" sqref="B11"/>
    </sheetView>
  </sheetViews>
  <sheetFormatPr defaultRowHeight="15.2" customHeight="1" x14ac:dyDescent="0.2"/>
  <cols>
    <col min="1" max="1" width="14.85546875" style="1" bestFit="1" customWidth="1"/>
    <col min="2" max="2" width="75" style="1" bestFit="1" customWidth="1"/>
    <col min="3" max="3" width="6.42578125" style="1" bestFit="1" customWidth="1"/>
    <col min="4" max="4" width="7.5703125" style="1" bestFit="1" customWidth="1"/>
    <col min="5" max="5" width="9.5703125" style="1" bestFit="1" customWidth="1"/>
    <col min="6" max="6" width="8.7109375" style="1" bestFit="1" customWidth="1"/>
    <col min="7" max="7" width="11.140625" style="1" bestFit="1" customWidth="1"/>
    <col min="8" max="8" width="22.7109375" style="1" bestFit="1" customWidth="1"/>
    <col min="9" max="9" width="14.7109375" style="1" bestFit="1" customWidth="1"/>
    <col min="10" max="10" width="11.42578125" style="1" customWidth="1"/>
    <col min="11" max="11" width="19" style="1" bestFit="1" customWidth="1"/>
    <col min="12" max="12" width="45" style="1" bestFit="1" customWidth="1"/>
    <col min="13" max="13" width="49.42578125" style="1" bestFit="1" customWidth="1"/>
    <col min="14" max="16384" width="9.140625" style="1"/>
  </cols>
  <sheetData>
    <row r="1" spans="1:13" ht="15.2" customHeight="1" x14ac:dyDescent="0.2">
      <c r="A1" s="25" t="s">
        <v>0</v>
      </c>
      <c r="B1" s="25" t="s">
        <v>11929</v>
      </c>
      <c r="C1" s="25" t="s">
        <v>11915</v>
      </c>
      <c r="D1" s="25" t="s">
        <v>11927</v>
      </c>
      <c r="E1" s="25" t="s">
        <v>11928</v>
      </c>
      <c r="F1" s="25" t="s">
        <v>11919</v>
      </c>
      <c r="G1" s="25" t="s">
        <v>11920</v>
      </c>
      <c r="H1" s="25" t="s">
        <v>11921</v>
      </c>
      <c r="I1" s="25" t="s">
        <v>11922</v>
      </c>
      <c r="J1" s="25" t="s">
        <v>11923</v>
      </c>
      <c r="K1" s="25" t="s">
        <v>11924</v>
      </c>
      <c r="L1" s="25" t="s">
        <v>11925</v>
      </c>
      <c r="M1" s="25" t="s">
        <v>11926</v>
      </c>
    </row>
    <row r="2" spans="1:13" ht="15.2" customHeight="1" x14ac:dyDescent="0.2">
      <c r="A2" s="26" t="s">
        <v>10681</v>
      </c>
      <c r="B2" s="27" t="s">
        <v>10682</v>
      </c>
      <c r="C2" s="28">
        <v>1</v>
      </c>
      <c r="D2" s="29">
        <v>64</v>
      </c>
      <c r="E2" s="29">
        <v>64</v>
      </c>
      <c r="F2" s="30">
        <v>168</v>
      </c>
      <c r="G2" s="29">
        <v>168</v>
      </c>
      <c r="H2" s="28" t="s">
        <v>10683</v>
      </c>
      <c r="I2" s="27"/>
      <c r="J2" s="31" t="s">
        <v>71</v>
      </c>
      <c r="K2" s="27" t="s">
        <v>17</v>
      </c>
      <c r="L2" s="27" t="s">
        <v>18</v>
      </c>
      <c r="M2" s="32" t="str">
        <f>HYPERLINK("http://slimages.macys.com/is/image/MCY/3750288 ")</f>
        <v xml:space="preserve">http://slimages.macys.com/is/image/MCY/3750288 </v>
      </c>
    </row>
    <row r="3" spans="1:13" ht="15.2" customHeight="1" x14ac:dyDescent="0.2">
      <c r="A3" s="26" t="s">
        <v>10684</v>
      </c>
      <c r="B3" s="27" t="s">
        <v>10685</v>
      </c>
      <c r="C3" s="28">
        <v>1</v>
      </c>
      <c r="D3" s="29">
        <v>49</v>
      </c>
      <c r="E3" s="29">
        <v>49</v>
      </c>
      <c r="F3" s="30">
        <v>149</v>
      </c>
      <c r="G3" s="29">
        <v>149</v>
      </c>
      <c r="H3" s="28" t="s">
        <v>8352</v>
      </c>
      <c r="I3" s="27" t="s">
        <v>4</v>
      </c>
      <c r="J3" s="31" t="s">
        <v>210</v>
      </c>
      <c r="K3" s="27" t="s">
        <v>24</v>
      </c>
      <c r="L3" s="27" t="s">
        <v>25</v>
      </c>
      <c r="M3" s="32" t="str">
        <f>HYPERLINK("http://slimages.macys.com/is/image/MCY/3471207 ")</f>
        <v xml:space="preserve">http://slimages.macys.com/is/image/MCY/3471207 </v>
      </c>
    </row>
    <row r="4" spans="1:13" ht="15.2" customHeight="1" x14ac:dyDescent="0.2">
      <c r="A4" s="26" t="s">
        <v>9475</v>
      </c>
      <c r="B4" s="27" t="s">
        <v>9476</v>
      </c>
      <c r="C4" s="28">
        <v>1</v>
      </c>
      <c r="D4" s="29">
        <v>34</v>
      </c>
      <c r="E4" s="29">
        <v>34</v>
      </c>
      <c r="F4" s="30">
        <v>99</v>
      </c>
      <c r="G4" s="29">
        <v>99</v>
      </c>
      <c r="H4" s="28" t="s">
        <v>4910</v>
      </c>
      <c r="I4" s="27" t="s">
        <v>291</v>
      </c>
      <c r="J4" s="31" t="s">
        <v>216</v>
      </c>
      <c r="K4" s="27" t="s">
        <v>24</v>
      </c>
      <c r="L4" s="27" t="s">
        <v>25</v>
      </c>
      <c r="M4" s="32" t="str">
        <f>HYPERLINK("http://slimages.macys.com/is/image/MCY/2950892 ")</f>
        <v xml:space="preserve">http://slimages.macys.com/is/image/MCY/2950892 </v>
      </c>
    </row>
    <row r="5" spans="1:13" ht="15.2" customHeight="1" x14ac:dyDescent="0.2">
      <c r="A5" s="26" t="s">
        <v>10686</v>
      </c>
      <c r="B5" s="27" t="s">
        <v>10687</v>
      </c>
      <c r="C5" s="28">
        <v>1</v>
      </c>
      <c r="D5" s="29">
        <v>33.369999999999997</v>
      </c>
      <c r="E5" s="29">
        <v>33.369999999999997</v>
      </c>
      <c r="F5" s="30">
        <v>89</v>
      </c>
      <c r="G5" s="29">
        <v>89</v>
      </c>
      <c r="H5" s="28">
        <v>7056223</v>
      </c>
      <c r="I5" s="27" t="s">
        <v>82</v>
      </c>
      <c r="J5" s="31" t="s">
        <v>2420</v>
      </c>
      <c r="K5" s="27" t="s">
        <v>462</v>
      </c>
      <c r="L5" s="27" t="s">
        <v>463</v>
      </c>
      <c r="M5" s="32" t="str">
        <f>HYPERLINK("http://slimages.macys.com/is/image/MCY/3751515 ")</f>
        <v xml:space="preserve">http://slimages.macys.com/is/image/MCY/3751515 </v>
      </c>
    </row>
    <row r="6" spans="1:13" ht="15.2" customHeight="1" x14ac:dyDescent="0.2">
      <c r="A6" s="26" t="s">
        <v>10688</v>
      </c>
      <c r="B6" s="27" t="s">
        <v>10689</v>
      </c>
      <c r="C6" s="28">
        <v>1</v>
      </c>
      <c r="D6" s="29">
        <v>31.5</v>
      </c>
      <c r="E6" s="29">
        <v>31.5</v>
      </c>
      <c r="F6" s="30">
        <v>129</v>
      </c>
      <c r="G6" s="29">
        <v>129</v>
      </c>
      <c r="H6" s="28" t="s">
        <v>10690</v>
      </c>
      <c r="I6" s="27" t="s">
        <v>661</v>
      </c>
      <c r="J6" s="31" t="s">
        <v>230</v>
      </c>
      <c r="K6" s="27" t="s">
        <v>24</v>
      </c>
      <c r="L6" s="27" t="s">
        <v>25</v>
      </c>
      <c r="M6" s="32" t="str">
        <f>HYPERLINK("http://slimages.macys.com/is/image/MCY/3411691 ")</f>
        <v xml:space="preserve">http://slimages.macys.com/is/image/MCY/3411691 </v>
      </c>
    </row>
    <row r="7" spans="1:13" ht="15.2" customHeight="1" x14ac:dyDescent="0.2">
      <c r="A7" s="26" t="s">
        <v>10691</v>
      </c>
      <c r="B7" s="27" t="s">
        <v>10692</v>
      </c>
      <c r="C7" s="28">
        <v>1</v>
      </c>
      <c r="D7" s="29">
        <v>31.5</v>
      </c>
      <c r="E7" s="29">
        <v>31.5</v>
      </c>
      <c r="F7" s="30">
        <v>129</v>
      </c>
      <c r="G7" s="29">
        <v>129</v>
      </c>
      <c r="H7" s="28" t="s">
        <v>10690</v>
      </c>
      <c r="I7" s="27" t="s">
        <v>661</v>
      </c>
      <c r="J7" s="31" t="s">
        <v>205</v>
      </c>
      <c r="K7" s="27" t="s">
        <v>24</v>
      </c>
      <c r="L7" s="27" t="s">
        <v>25</v>
      </c>
      <c r="M7" s="32" t="str">
        <f>HYPERLINK("http://slimages.macys.com/is/image/MCY/3411691 ")</f>
        <v xml:space="preserve">http://slimages.macys.com/is/image/MCY/3411691 </v>
      </c>
    </row>
    <row r="8" spans="1:13" ht="15.2" customHeight="1" x14ac:dyDescent="0.2">
      <c r="A8" s="26" t="s">
        <v>10693</v>
      </c>
      <c r="B8" s="27" t="s">
        <v>10694</v>
      </c>
      <c r="C8" s="28">
        <v>1</v>
      </c>
      <c r="D8" s="29">
        <v>30</v>
      </c>
      <c r="E8" s="29">
        <v>30</v>
      </c>
      <c r="F8" s="30">
        <v>89</v>
      </c>
      <c r="G8" s="29">
        <v>89</v>
      </c>
      <c r="H8" s="28" t="s">
        <v>4433</v>
      </c>
      <c r="I8" s="27" t="s">
        <v>343</v>
      </c>
      <c r="J8" s="31" t="s">
        <v>234</v>
      </c>
      <c r="K8" s="27" t="s">
        <v>24</v>
      </c>
      <c r="L8" s="27" t="s">
        <v>485</v>
      </c>
      <c r="M8" s="32" t="str">
        <f>HYPERLINK("http://slimages.macys.com/is/image/MCY/3817427 ")</f>
        <v xml:space="preserve">http://slimages.macys.com/is/image/MCY/3817427 </v>
      </c>
    </row>
    <row r="9" spans="1:13" ht="15.2" customHeight="1" x14ac:dyDescent="0.2">
      <c r="A9" s="26" t="s">
        <v>10695</v>
      </c>
      <c r="B9" s="27" t="s">
        <v>10696</v>
      </c>
      <c r="C9" s="28">
        <v>1</v>
      </c>
      <c r="D9" s="29">
        <v>30</v>
      </c>
      <c r="E9" s="29">
        <v>30</v>
      </c>
      <c r="F9" s="30">
        <v>79.5</v>
      </c>
      <c r="G9" s="29">
        <v>79.5</v>
      </c>
      <c r="H9" s="28" t="s">
        <v>5982</v>
      </c>
      <c r="I9" s="27"/>
      <c r="J9" s="31"/>
      <c r="K9" s="27" t="s">
        <v>17</v>
      </c>
      <c r="L9" s="27" t="s">
        <v>18</v>
      </c>
      <c r="M9" s="32" t="str">
        <f>HYPERLINK("http://slimages.macys.com/is/image/MCY/3876472 ")</f>
        <v xml:space="preserve">http://slimages.macys.com/is/image/MCY/3876472 </v>
      </c>
    </row>
    <row r="10" spans="1:13" ht="15.2" customHeight="1" x14ac:dyDescent="0.2">
      <c r="A10" s="26" t="s">
        <v>10697</v>
      </c>
      <c r="B10" s="27" t="s">
        <v>10698</v>
      </c>
      <c r="C10" s="28">
        <v>1</v>
      </c>
      <c r="D10" s="29">
        <v>30</v>
      </c>
      <c r="E10" s="29">
        <v>30</v>
      </c>
      <c r="F10" s="30">
        <v>79.5</v>
      </c>
      <c r="G10" s="29">
        <v>79.5</v>
      </c>
      <c r="H10" s="28" t="s">
        <v>10699</v>
      </c>
      <c r="I10" s="27" t="s">
        <v>36</v>
      </c>
      <c r="J10" s="31" t="s">
        <v>5</v>
      </c>
      <c r="K10" s="27" t="s">
        <v>17</v>
      </c>
      <c r="L10" s="27" t="s">
        <v>18</v>
      </c>
      <c r="M10" s="32" t="str">
        <f>HYPERLINK("http://slimages.macys.com/is/image/MCY/3900334 ")</f>
        <v xml:space="preserve">http://slimages.macys.com/is/image/MCY/3900334 </v>
      </c>
    </row>
    <row r="11" spans="1:13" ht="15.2" customHeight="1" x14ac:dyDescent="0.2">
      <c r="A11" s="26" t="s">
        <v>10700</v>
      </c>
      <c r="B11" s="27" t="s">
        <v>10701</v>
      </c>
      <c r="C11" s="28">
        <v>1</v>
      </c>
      <c r="D11" s="29">
        <v>30</v>
      </c>
      <c r="E11" s="29">
        <v>30</v>
      </c>
      <c r="F11" s="30">
        <v>89</v>
      </c>
      <c r="G11" s="29">
        <v>89</v>
      </c>
      <c r="H11" s="28" t="s">
        <v>4433</v>
      </c>
      <c r="I11" s="27" t="s">
        <v>343</v>
      </c>
      <c r="J11" s="31" t="s">
        <v>23</v>
      </c>
      <c r="K11" s="27" t="s">
        <v>24</v>
      </c>
      <c r="L11" s="27" t="s">
        <v>485</v>
      </c>
      <c r="M11" s="32" t="str">
        <f>HYPERLINK("http://slimages.macys.com/is/image/MCY/3817427 ")</f>
        <v xml:space="preserve">http://slimages.macys.com/is/image/MCY/3817427 </v>
      </c>
    </row>
    <row r="12" spans="1:13" ht="15.2" customHeight="1" x14ac:dyDescent="0.2">
      <c r="A12" s="26" t="s">
        <v>8751</v>
      </c>
      <c r="B12" s="27" t="s">
        <v>8752</v>
      </c>
      <c r="C12" s="28">
        <v>1</v>
      </c>
      <c r="D12" s="29">
        <v>30</v>
      </c>
      <c r="E12" s="29">
        <v>30</v>
      </c>
      <c r="F12" s="30">
        <v>98</v>
      </c>
      <c r="G12" s="29">
        <v>98</v>
      </c>
      <c r="H12" s="28" t="s">
        <v>8753</v>
      </c>
      <c r="I12" s="27" t="s">
        <v>265</v>
      </c>
      <c r="J12" s="31" t="s">
        <v>5</v>
      </c>
      <c r="K12" s="27" t="s">
        <v>1089</v>
      </c>
      <c r="L12" s="27" t="s">
        <v>1090</v>
      </c>
      <c r="M12" s="32" t="str">
        <f>HYPERLINK("http://slimages.macys.com/is/image/MCY/3526404 ")</f>
        <v xml:space="preserve">http://slimages.macys.com/is/image/MCY/3526404 </v>
      </c>
    </row>
    <row r="13" spans="1:13" ht="15.2" customHeight="1" x14ac:dyDescent="0.2">
      <c r="A13" s="26" t="s">
        <v>10702</v>
      </c>
      <c r="B13" s="27" t="s">
        <v>10703</v>
      </c>
      <c r="C13" s="28">
        <v>1</v>
      </c>
      <c r="D13" s="29">
        <v>30</v>
      </c>
      <c r="E13" s="29">
        <v>30</v>
      </c>
      <c r="F13" s="30">
        <v>79.5</v>
      </c>
      <c r="G13" s="29">
        <v>79.5</v>
      </c>
      <c r="H13" s="28" t="s">
        <v>1718</v>
      </c>
      <c r="I13" s="27" t="s">
        <v>15</v>
      </c>
      <c r="J13" s="31" t="s">
        <v>16</v>
      </c>
      <c r="K13" s="27" t="s">
        <v>17</v>
      </c>
      <c r="L13" s="27" t="s">
        <v>18</v>
      </c>
      <c r="M13" s="32" t="str">
        <f>HYPERLINK("http://slimages.macys.com/is/image/MCY/3700352 ")</f>
        <v xml:space="preserve">http://slimages.macys.com/is/image/MCY/3700352 </v>
      </c>
    </row>
    <row r="14" spans="1:13" ht="15.2" customHeight="1" x14ac:dyDescent="0.2">
      <c r="A14" s="26" t="s">
        <v>5980</v>
      </c>
      <c r="B14" s="27" t="s">
        <v>5981</v>
      </c>
      <c r="C14" s="28">
        <v>1</v>
      </c>
      <c r="D14" s="29">
        <v>30</v>
      </c>
      <c r="E14" s="29">
        <v>30</v>
      </c>
      <c r="F14" s="30">
        <v>79.5</v>
      </c>
      <c r="G14" s="29">
        <v>79.5</v>
      </c>
      <c r="H14" s="28" t="s">
        <v>5982</v>
      </c>
      <c r="I14" s="27"/>
      <c r="J14" s="31"/>
      <c r="K14" s="27" t="s">
        <v>17</v>
      </c>
      <c r="L14" s="27" t="s">
        <v>18</v>
      </c>
      <c r="M14" s="32" t="str">
        <f>HYPERLINK("http://slimages.macys.com/is/image/MCY/3876472 ")</f>
        <v xml:space="preserve">http://slimages.macys.com/is/image/MCY/3876472 </v>
      </c>
    </row>
    <row r="15" spans="1:13" ht="15.2" customHeight="1" x14ac:dyDescent="0.2">
      <c r="A15" s="26" t="s">
        <v>10305</v>
      </c>
      <c r="B15" s="27" t="s">
        <v>10306</v>
      </c>
      <c r="C15" s="28">
        <v>1</v>
      </c>
      <c r="D15" s="29">
        <v>30</v>
      </c>
      <c r="E15" s="29">
        <v>30</v>
      </c>
      <c r="F15" s="30">
        <v>79.5</v>
      </c>
      <c r="G15" s="29">
        <v>79.5</v>
      </c>
      <c r="H15" s="28" t="s">
        <v>5982</v>
      </c>
      <c r="I15" s="27"/>
      <c r="J15" s="31" t="s">
        <v>161</v>
      </c>
      <c r="K15" s="27" t="s">
        <v>17</v>
      </c>
      <c r="L15" s="27" t="s">
        <v>18</v>
      </c>
      <c r="M15" s="32" t="str">
        <f>HYPERLINK("http://slimages.macys.com/is/image/MCY/3876472 ")</f>
        <v xml:space="preserve">http://slimages.macys.com/is/image/MCY/3876472 </v>
      </c>
    </row>
    <row r="16" spans="1:13" ht="15.2" customHeight="1" x14ac:dyDescent="0.2">
      <c r="A16" s="26" t="s">
        <v>10704</v>
      </c>
      <c r="B16" s="27" t="s">
        <v>10705</v>
      </c>
      <c r="C16" s="28">
        <v>1</v>
      </c>
      <c r="D16" s="29">
        <v>29.62</v>
      </c>
      <c r="E16" s="29">
        <v>29.62</v>
      </c>
      <c r="F16" s="30">
        <v>79</v>
      </c>
      <c r="G16" s="29">
        <v>79</v>
      </c>
      <c r="H16" s="28">
        <v>7056606</v>
      </c>
      <c r="I16" s="27" t="s">
        <v>189</v>
      </c>
      <c r="J16" s="31" t="s">
        <v>34</v>
      </c>
      <c r="K16" s="27" t="s">
        <v>462</v>
      </c>
      <c r="L16" s="27" t="s">
        <v>463</v>
      </c>
      <c r="M16" s="32" t="str">
        <f>HYPERLINK("http://slimages.macys.com/is/image/MCY/3699396 ")</f>
        <v xml:space="preserve">http://slimages.macys.com/is/image/MCY/3699396 </v>
      </c>
    </row>
    <row r="17" spans="1:13" ht="15.2" customHeight="1" x14ac:dyDescent="0.2">
      <c r="A17" s="26" t="s">
        <v>10706</v>
      </c>
      <c r="B17" s="27" t="s">
        <v>10707</v>
      </c>
      <c r="C17" s="28">
        <v>1</v>
      </c>
      <c r="D17" s="29">
        <v>29</v>
      </c>
      <c r="E17" s="29">
        <v>29</v>
      </c>
      <c r="F17" s="30">
        <v>89</v>
      </c>
      <c r="G17" s="29">
        <v>89</v>
      </c>
      <c r="H17" s="28" t="s">
        <v>1086</v>
      </c>
      <c r="I17" s="27" t="s">
        <v>4</v>
      </c>
      <c r="J17" s="31"/>
      <c r="K17" s="27" t="s">
        <v>24</v>
      </c>
      <c r="L17" s="27" t="s">
        <v>67</v>
      </c>
      <c r="M17" s="32" t="str">
        <f>HYPERLINK("http://slimages.macys.com/is/image/MCY/3785825 ")</f>
        <v xml:space="preserve">http://slimages.macys.com/is/image/MCY/3785825 </v>
      </c>
    </row>
    <row r="18" spans="1:13" ht="15.2" customHeight="1" x14ac:dyDescent="0.2">
      <c r="A18" s="26" t="s">
        <v>10708</v>
      </c>
      <c r="B18" s="27" t="s">
        <v>10709</v>
      </c>
      <c r="C18" s="28">
        <v>1</v>
      </c>
      <c r="D18" s="29">
        <v>28.5</v>
      </c>
      <c r="E18" s="29">
        <v>28.5</v>
      </c>
      <c r="F18" s="30">
        <v>89</v>
      </c>
      <c r="G18" s="29">
        <v>89</v>
      </c>
      <c r="H18" s="28" t="s">
        <v>10358</v>
      </c>
      <c r="I18" s="27" t="s">
        <v>144</v>
      </c>
      <c r="J18" s="31" t="s">
        <v>23</v>
      </c>
      <c r="K18" s="27" t="s">
        <v>24</v>
      </c>
      <c r="L18" s="27" t="s">
        <v>25</v>
      </c>
      <c r="M18" s="32" t="str">
        <f>HYPERLINK("http://slimages.macys.com/is/image/MCY/3532004 ")</f>
        <v xml:space="preserve">http://slimages.macys.com/is/image/MCY/3532004 </v>
      </c>
    </row>
    <row r="19" spans="1:13" ht="15.2" customHeight="1" x14ac:dyDescent="0.2">
      <c r="A19" s="26" t="s">
        <v>1719</v>
      </c>
      <c r="B19" s="27" t="s">
        <v>1720</v>
      </c>
      <c r="C19" s="28">
        <v>1</v>
      </c>
      <c r="D19" s="29">
        <v>28.08</v>
      </c>
      <c r="E19" s="29">
        <v>28.08</v>
      </c>
      <c r="F19" s="30">
        <v>69</v>
      </c>
      <c r="G19" s="29">
        <v>69</v>
      </c>
      <c r="H19" s="28" t="s">
        <v>1721</v>
      </c>
      <c r="I19" s="27" t="s">
        <v>4</v>
      </c>
      <c r="J19" s="31" t="s">
        <v>21</v>
      </c>
      <c r="K19" s="27" t="s">
        <v>42</v>
      </c>
      <c r="L19" s="27" t="s">
        <v>43</v>
      </c>
      <c r="M19" s="32" t="str">
        <f>HYPERLINK("http://slimages.macys.com/is/image/MCY/3775657 ")</f>
        <v xml:space="preserve">http://slimages.macys.com/is/image/MCY/3775657 </v>
      </c>
    </row>
    <row r="20" spans="1:13" ht="15.2" customHeight="1" x14ac:dyDescent="0.2">
      <c r="A20" s="26" t="s">
        <v>10710</v>
      </c>
      <c r="B20" s="27" t="s">
        <v>10711</v>
      </c>
      <c r="C20" s="28">
        <v>1</v>
      </c>
      <c r="D20" s="29">
        <v>27.65</v>
      </c>
      <c r="E20" s="29">
        <v>27.65</v>
      </c>
      <c r="F20" s="30">
        <v>79</v>
      </c>
      <c r="G20" s="29">
        <v>79</v>
      </c>
      <c r="H20" s="28" t="s">
        <v>8239</v>
      </c>
      <c r="I20" s="27" t="s">
        <v>36</v>
      </c>
      <c r="J20" s="31" t="s">
        <v>5</v>
      </c>
      <c r="K20" s="27" t="s">
        <v>37</v>
      </c>
      <c r="L20" s="27" t="s">
        <v>38</v>
      </c>
      <c r="M20" s="32" t="str">
        <f>HYPERLINK("http://slimages.macys.com/is/image/MCY/3667787 ")</f>
        <v xml:space="preserve">http://slimages.macys.com/is/image/MCY/3667787 </v>
      </c>
    </row>
    <row r="21" spans="1:13" ht="15.2" customHeight="1" x14ac:dyDescent="0.2">
      <c r="A21" s="26" t="s">
        <v>5988</v>
      </c>
      <c r="B21" s="27" t="s">
        <v>5989</v>
      </c>
      <c r="C21" s="28">
        <v>2</v>
      </c>
      <c r="D21" s="29">
        <v>27.2</v>
      </c>
      <c r="E21" s="29">
        <v>54.4</v>
      </c>
      <c r="F21" s="30">
        <v>79</v>
      </c>
      <c r="G21" s="29">
        <v>158</v>
      </c>
      <c r="H21" s="28" t="s">
        <v>5985</v>
      </c>
      <c r="I21" s="27" t="s">
        <v>22</v>
      </c>
      <c r="J21" s="31" t="s">
        <v>5</v>
      </c>
      <c r="K21" s="27" t="s">
        <v>42</v>
      </c>
      <c r="L21" s="27" t="s">
        <v>43</v>
      </c>
      <c r="M21" s="32" t="str">
        <f>HYPERLINK("http://slimages.macys.com/is/image/MCY/3611182 ")</f>
        <v xml:space="preserve">http://slimages.macys.com/is/image/MCY/3611182 </v>
      </c>
    </row>
    <row r="22" spans="1:13" ht="15.2" customHeight="1" x14ac:dyDescent="0.2">
      <c r="A22" s="26" t="s">
        <v>5990</v>
      </c>
      <c r="B22" s="27" t="s">
        <v>5991</v>
      </c>
      <c r="C22" s="28">
        <v>1</v>
      </c>
      <c r="D22" s="29">
        <v>27.2</v>
      </c>
      <c r="E22" s="29">
        <v>27.2</v>
      </c>
      <c r="F22" s="30">
        <v>79</v>
      </c>
      <c r="G22" s="29">
        <v>79</v>
      </c>
      <c r="H22" s="28" t="s">
        <v>5985</v>
      </c>
      <c r="I22" s="27" t="s">
        <v>22</v>
      </c>
      <c r="J22" s="31" t="s">
        <v>40</v>
      </c>
      <c r="K22" s="27" t="s">
        <v>42</v>
      </c>
      <c r="L22" s="27" t="s">
        <v>43</v>
      </c>
      <c r="M22" s="32" t="str">
        <f>HYPERLINK("http://slimages.macys.com/is/image/MCY/3611182 ")</f>
        <v xml:space="preserve">http://slimages.macys.com/is/image/MCY/3611182 </v>
      </c>
    </row>
    <row r="23" spans="1:13" ht="15.2" customHeight="1" x14ac:dyDescent="0.2">
      <c r="A23" s="26" t="s">
        <v>10712</v>
      </c>
      <c r="B23" s="27" t="s">
        <v>10713</v>
      </c>
      <c r="C23" s="28">
        <v>1</v>
      </c>
      <c r="D23" s="29">
        <v>27</v>
      </c>
      <c r="E23" s="29">
        <v>27</v>
      </c>
      <c r="F23" s="30">
        <v>69.5</v>
      </c>
      <c r="G23" s="29">
        <v>69.5</v>
      </c>
      <c r="H23" s="28" t="s">
        <v>7482</v>
      </c>
      <c r="I23" s="27" t="s">
        <v>59</v>
      </c>
      <c r="J23" s="31" t="s">
        <v>40</v>
      </c>
      <c r="K23" s="27" t="s">
        <v>17</v>
      </c>
      <c r="L23" s="27" t="s">
        <v>18</v>
      </c>
      <c r="M23" s="32" t="str">
        <f>HYPERLINK("http://slimages.macys.com/is/image/MCY/3773021 ")</f>
        <v xml:space="preserve">http://slimages.macys.com/is/image/MCY/3773021 </v>
      </c>
    </row>
    <row r="24" spans="1:13" ht="15.2" customHeight="1" x14ac:dyDescent="0.2">
      <c r="A24" s="26" t="s">
        <v>7480</v>
      </c>
      <c r="B24" s="27" t="s">
        <v>7481</v>
      </c>
      <c r="C24" s="28">
        <v>1</v>
      </c>
      <c r="D24" s="29">
        <v>27</v>
      </c>
      <c r="E24" s="29">
        <v>27</v>
      </c>
      <c r="F24" s="30">
        <v>69.5</v>
      </c>
      <c r="G24" s="29">
        <v>69.5</v>
      </c>
      <c r="H24" s="28" t="s">
        <v>7482</v>
      </c>
      <c r="I24" s="27" t="s">
        <v>36</v>
      </c>
      <c r="J24" s="31" t="s">
        <v>40</v>
      </c>
      <c r="K24" s="27" t="s">
        <v>17</v>
      </c>
      <c r="L24" s="27" t="s">
        <v>18</v>
      </c>
      <c r="M24" s="32" t="str">
        <f>HYPERLINK("http://slimages.macys.com/is/image/MCY/3773021 ")</f>
        <v xml:space="preserve">http://slimages.macys.com/is/image/MCY/3773021 </v>
      </c>
    </row>
    <row r="25" spans="1:13" ht="15.2" customHeight="1" x14ac:dyDescent="0.2">
      <c r="A25" s="26" t="s">
        <v>10307</v>
      </c>
      <c r="B25" s="27" t="s">
        <v>10308</v>
      </c>
      <c r="C25" s="28">
        <v>1</v>
      </c>
      <c r="D25" s="29">
        <v>26.46</v>
      </c>
      <c r="E25" s="29">
        <v>26.46</v>
      </c>
      <c r="F25" s="30">
        <v>69</v>
      </c>
      <c r="G25" s="29">
        <v>69</v>
      </c>
      <c r="H25" s="28" t="s">
        <v>10309</v>
      </c>
      <c r="I25" s="27" t="s">
        <v>4</v>
      </c>
      <c r="J25" s="31" t="s">
        <v>21</v>
      </c>
      <c r="K25" s="27" t="s">
        <v>42</v>
      </c>
      <c r="L25" s="27" t="s">
        <v>43</v>
      </c>
      <c r="M25" s="32" t="str">
        <f>HYPERLINK("http://slimages.macys.com/is/image/MCY/3775159 ")</f>
        <v xml:space="preserve">http://slimages.macys.com/is/image/MCY/3775159 </v>
      </c>
    </row>
    <row r="26" spans="1:13" ht="15.2" customHeight="1" x14ac:dyDescent="0.2">
      <c r="A26" s="26" t="s">
        <v>4922</v>
      </c>
      <c r="B26" s="27" t="s">
        <v>4923</v>
      </c>
      <c r="C26" s="28">
        <v>1</v>
      </c>
      <c r="D26" s="29">
        <v>26</v>
      </c>
      <c r="E26" s="29">
        <v>26</v>
      </c>
      <c r="F26" s="30">
        <v>79</v>
      </c>
      <c r="G26" s="29">
        <v>79</v>
      </c>
      <c r="H26" s="28" t="s">
        <v>2805</v>
      </c>
      <c r="I26" s="27" t="s">
        <v>4</v>
      </c>
      <c r="J26" s="31"/>
      <c r="K26" s="27" t="s">
        <v>24</v>
      </c>
      <c r="L26" s="27" t="s">
        <v>67</v>
      </c>
      <c r="M26" s="32" t="str">
        <f>HYPERLINK("http://slimages.macys.com/is/image/MCY/3817400 ")</f>
        <v xml:space="preserve">http://slimages.macys.com/is/image/MCY/3817400 </v>
      </c>
    </row>
    <row r="27" spans="1:13" ht="15.2" customHeight="1" x14ac:dyDescent="0.2">
      <c r="A27" s="26" t="s">
        <v>10714</v>
      </c>
      <c r="B27" s="27" t="s">
        <v>10715</v>
      </c>
      <c r="C27" s="28">
        <v>1</v>
      </c>
      <c r="D27" s="29">
        <v>26</v>
      </c>
      <c r="E27" s="29">
        <v>26</v>
      </c>
      <c r="F27" s="30">
        <v>79</v>
      </c>
      <c r="G27" s="29">
        <v>79</v>
      </c>
      <c r="H27" s="28" t="s">
        <v>2805</v>
      </c>
      <c r="I27" s="27" t="s">
        <v>4</v>
      </c>
      <c r="J27" s="31"/>
      <c r="K27" s="27" t="s">
        <v>24</v>
      </c>
      <c r="L27" s="27" t="s">
        <v>67</v>
      </c>
      <c r="M27" s="32" t="str">
        <f>HYPERLINK("http://slimages.macys.com/is/image/MCY/3817400 ")</f>
        <v xml:space="preserve">http://slimages.macys.com/is/image/MCY/3817400 </v>
      </c>
    </row>
    <row r="28" spans="1:13" ht="15.2" customHeight="1" x14ac:dyDescent="0.2">
      <c r="A28" s="26" t="s">
        <v>10217</v>
      </c>
      <c r="B28" s="27" t="s">
        <v>10218</v>
      </c>
      <c r="C28" s="28">
        <v>2</v>
      </c>
      <c r="D28" s="29">
        <v>26</v>
      </c>
      <c r="E28" s="29">
        <v>52</v>
      </c>
      <c r="F28" s="30">
        <v>79</v>
      </c>
      <c r="G28" s="29">
        <v>158</v>
      </c>
      <c r="H28" s="28" t="s">
        <v>2805</v>
      </c>
      <c r="I28" s="27" t="s">
        <v>4</v>
      </c>
      <c r="J28" s="31"/>
      <c r="K28" s="27" t="s">
        <v>24</v>
      </c>
      <c r="L28" s="27" t="s">
        <v>67</v>
      </c>
      <c r="M28" s="32" t="str">
        <f>HYPERLINK("http://slimages.macys.com/is/image/MCY/3817400 ")</f>
        <v xml:space="preserve">http://slimages.macys.com/is/image/MCY/3817400 </v>
      </c>
    </row>
    <row r="29" spans="1:13" ht="15.2" customHeight="1" x14ac:dyDescent="0.2">
      <c r="A29" s="26" t="s">
        <v>10716</v>
      </c>
      <c r="B29" s="27" t="s">
        <v>10717</v>
      </c>
      <c r="C29" s="28">
        <v>1</v>
      </c>
      <c r="D29" s="29">
        <v>26</v>
      </c>
      <c r="E29" s="29">
        <v>26</v>
      </c>
      <c r="F29" s="30">
        <v>79</v>
      </c>
      <c r="G29" s="29">
        <v>79</v>
      </c>
      <c r="H29" s="28" t="s">
        <v>2805</v>
      </c>
      <c r="I29" s="27" t="s">
        <v>4</v>
      </c>
      <c r="J29" s="31"/>
      <c r="K29" s="27" t="s">
        <v>24</v>
      </c>
      <c r="L29" s="27" t="s">
        <v>67</v>
      </c>
      <c r="M29" s="32" t="str">
        <f>HYPERLINK("http://slimages.macys.com/is/image/MCY/3817400 ")</f>
        <v xml:space="preserve">http://slimages.macys.com/is/image/MCY/3817400 </v>
      </c>
    </row>
    <row r="30" spans="1:13" ht="15.2" customHeight="1" x14ac:dyDescent="0.2">
      <c r="A30" s="26" t="s">
        <v>10718</v>
      </c>
      <c r="B30" s="27" t="s">
        <v>10719</v>
      </c>
      <c r="C30" s="28">
        <v>1</v>
      </c>
      <c r="D30" s="29">
        <v>26</v>
      </c>
      <c r="E30" s="29">
        <v>26</v>
      </c>
      <c r="F30" s="30">
        <v>79</v>
      </c>
      <c r="G30" s="29">
        <v>79</v>
      </c>
      <c r="H30" s="28" t="s">
        <v>4434</v>
      </c>
      <c r="I30" s="27" t="s">
        <v>146</v>
      </c>
      <c r="J30" s="31" t="s">
        <v>205</v>
      </c>
      <c r="K30" s="27" t="s">
        <v>24</v>
      </c>
      <c r="L30" s="27" t="s">
        <v>25</v>
      </c>
      <c r="M30" s="32" t="str">
        <f>HYPERLINK("http://slimages.macys.com/is/image/MCY/3773650 ")</f>
        <v xml:space="preserve">http://slimages.macys.com/is/image/MCY/3773650 </v>
      </c>
    </row>
    <row r="31" spans="1:13" ht="15.2" customHeight="1" x14ac:dyDescent="0.2">
      <c r="A31" s="26" t="s">
        <v>4924</v>
      </c>
      <c r="B31" s="27" t="s">
        <v>4925</v>
      </c>
      <c r="C31" s="28">
        <v>1</v>
      </c>
      <c r="D31" s="29">
        <v>25.34</v>
      </c>
      <c r="E31" s="29">
        <v>25.34</v>
      </c>
      <c r="F31" s="30">
        <v>69.5</v>
      </c>
      <c r="G31" s="29">
        <v>69.5</v>
      </c>
      <c r="H31" s="28" t="s">
        <v>4926</v>
      </c>
      <c r="I31" s="27" t="s">
        <v>10</v>
      </c>
      <c r="J31" s="31" t="s">
        <v>21</v>
      </c>
      <c r="K31" s="27" t="s">
        <v>41</v>
      </c>
      <c r="L31" s="27" t="s">
        <v>45</v>
      </c>
      <c r="M31" s="32" t="str">
        <f>HYPERLINK("http://slimages.macys.com/is/image/MCY/3802135 ")</f>
        <v xml:space="preserve">http://slimages.macys.com/is/image/MCY/3802135 </v>
      </c>
    </row>
    <row r="32" spans="1:13" ht="15.2" customHeight="1" x14ac:dyDescent="0.2">
      <c r="A32" s="26" t="s">
        <v>9964</v>
      </c>
      <c r="B32" s="27" t="s">
        <v>9965</v>
      </c>
      <c r="C32" s="28">
        <v>1</v>
      </c>
      <c r="D32" s="29">
        <v>25.34</v>
      </c>
      <c r="E32" s="29">
        <v>25.34</v>
      </c>
      <c r="F32" s="30">
        <v>69.5</v>
      </c>
      <c r="G32" s="29">
        <v>69.5</v>
      </c>
      <c r="H32" s="28" t="s">
        <v>4926</v>
      </c>
      <c r="I32" s="27" t="s">
        <v>10</v>
      </c>
      <c r="J32" s="31" t="s">
        <v>71</v>
      </c>
      <c r="K32" s="27" t="s">
        <v>41</v>
      </c>
      <c r="L32" s="27" t="s">
        <v>45</v>
      </c>
      <c r="M32" s="32" t="str">
        <f>HYPERLINK("http://slimages.macys.com/is/image/MCY/3802135 ")</f>
        <v xml:space="preserve">http://slimages.macys.com/is/image/MCY/3802135 </v>
      </c>
    </row>
    <row r="33" spans="1:13" ht="15.2" customHeight="1" x14ac:dyDescent="0.2">
      <c r="A33" s="26" t="s">
        <v>10720</v>
      </c>
      <c r="B33" s="27" t="s">
        <v>10721</v>
      </c>
      <c r="C33" s="28">
        <v>1</v>
      </c>
      <c r="D33" s="29">
        <v>25</v>
      </c>
      <c r="E33" s="29">
        <v>25</v>
      </c>
      <c r="F33" s="30">
        <v>79</v>
      </c>
      <c r="G33" s="29">
        <v>79</v>
      </c>
      <c r="H33" s="28" t="s">
        <v>10270</v>
      </c>
      <c r="I33" s="27" t="s">
        <v>59</v>
      </c>
      <c r="J33" s="31" t="s">
        <v>40</v>
      </c>
      <c r="K33" s="27" t="s">
        <v>24</v>
      </c>
      <c r="L33" s="27" t="s">
        <v>1079</v>
      </c>
      <c r="M33" s="32" t="str">
        <f>HYPERLINK("http://slimages.macys.com/is/image/MCY/3517387 ")</f>
        <v xml:space="preserve">http://slimages.macys.com/is/image/MCY/3517387 </v>
      </c>
    </row>
    <row r="34" spans="1:13" ht="15.2" customHeight="1" x14ac:dyDescent="0.2">
      <c r="A34" s="26" t="s">
        <v>10722</v>
      </c>
      <c r="B34" s="27" t="s">
        <v>10723</v>
      </c>
      <c r="C34" s="28">
        <v>1</v>
      </c>
      <c r="D34" s="29">
        <v>24.81</v>
      </c>
      <c r="E34" s="29">
        <v>24.81</v>
      </c>
      <c r="F34" s="30">
        <v>69.5</v>
      </c>
      <c r="G34" s="29">
        <v>69.5</v>
      </c>
      <c r="H34" s="28" t="s">
        <v>8433</v>
      </c>
      <c r="I34" s="27" t="s">
        <v>10</v>
      </c>
      <c r="J34" s="31" t="s">
        <v>5</v>
      </c>
      <c r="K34" s="27" t="s">
        <v>53</v>
      </c>
      <c r="L34" s="27" t="s">
        <v>54</v>
      </c>
      <c r="M34" s="32" t="str">
        <f>HYPERLINK("http://slimages.macys.com/is/image/MCY/3621519 ")</f>
        <v xml:space="preserve">http://slimages.macys.com/is/image/MCY/3621519 </v>
      </c>
    </row>
    <row r="35" spans="1:13" ht="15.2" customHeight="1" x14ac:dyDescent="0.2">
      <c r="A35" s="26" t="s">
        <v>10724</v>
      </c>
      <c r="B35" s="27" t="s">
        <v>10725</v>
      </c>
      <c r="C35" s="28">
        <v>1</v>
      </c>
      <c r="D35" s="29">
        <v>24.34</v>
      </c>
      <c r="E35" s="29">
        <v>24.34</v>
      </c>
      <c r="F35" s="30">
        <v>39.99</v>
      </c>
      <c r="G35" s="29">
        <v>39.99</v>
      </c>
      <c r="H35" s="28">
        <v>228630002</v>
      </c>
      <c r="I35" s="27" t="s">
        <v>189</v>
      </c>
      <c r="J35" s="31"/>
      <c r="K35" s="27" t="s">
        <v>2</v>
      </c>
      <c r="L35" s="27" t="s">
        <v>3</v>
      </c>
      <c r="M35" s="32" t="str">
        <f>HYPERLINK("http://slimages.macys.com/is/image/MCY/3384449 ")</f>
        <v xml:space="preserve">http://slimages.macys.com/is/image/MCY/3384449 </v>
      </c>
    </row>
    <row r="36" spans="1:13" ht="15.2" customHeight="1" x14ac:dyDescent="0.2">
      <c r="A36" s="26" t="s">
        <v>10726</v>
      </c>
      <c r="B36" s="27" t="s">
        <v>10727</v>
      </c>
      <c r="C36" s="28">
        <v>1</v>
      </c>
      <c r="D36" s="29">
        <v>24.25</v>
      </c>
      <c r="E36" s="29">
        <v>24.25</v>
      </c>
      <c r="F36" s="30">
        <v>69</v>
      </c>
      <c r="G36" s="29">
        <v>69</v>
      </c>
      <c r="H36" s="28" t="s">
        <v>10728</v>
      </c>
      <c r="I36" s="27" t="s">
        <v>4</v>
      </c>
      <c r="J36" s="31" t="s">
        <v>71</v>
      </c>
      <c r="K36" s="27" t="s">
        <v>37</v>
      </c>
      <c r="L36" s="27" t="s">
        <v>38</v>
      </c>
      <c r="M36" s="32" t="str">
        <f>HYPERLINK("http://slimages.macys.com/is/image/MCY/3559765 ")</f>
        <v xml:space="preserve">http://slimages.macys.com/is/image/MCY/3559765 </v>
      </c>
    </row>
    <row r="37" spans="1:13" ht="15.2" customHeight="1" x14ac:dyDescent="0.2">
      <c r="A37" s="26" t="s">
        <v>10729</v>
      </c>
      <c r="B37" s="27" t="s">
        <v>10730</v>
      </c>
      <c r="C37" s="28">
        <v>1</v>
      </c>
      <c r="D37" s="29">
        <v>24.15</v>
      </c>
      <c r="E37" s="29">
        <v>24.15</v>
      </c>
      <c r="F37" s="30">
        <v>69</v>
      </c>
      <c r="G37" s="29">
        <v>69</v>
      </c>
      <c r="H37" s="28" t="s">
        <v>10731</v>
      </c>
      <c r="I37" s="27" t="s">
        <v>29</v>
      </c>
      <c r="J37" s="31" t="s">
        <v>5</v>
      </c>
      <c r="K37" s="27" t="s">
        <v>654</v>
      </c>
      <c r="L37" s="27" t="s">
        <v>655</v>
      </c>
      <c r="M37" s="32" t="str">
        <f>HYPERLINK("http://slimages.macys.com/is/image/MCY/3820755 ")</f>
        <v xml:space="preserve">http://slimages.macys.com/is/image/MCY/3820755 </v>
      </c>
    </row>
    <row r="38" spans="1:13" ht="15.2" customHeight="1" x14ac:dyDescent="0.2">
      <c r="A38" s="26" t="s">
        <v>6114</v>
      </c>
      <c r="B38" s="27" t="s">
        <v>6115</v>
      </c>
      <c r="C38" s="28">
        <v>1</v>
      </c>
      <c r="D38" s="29">
        <v>24</v>
      </c>
      <c r="E38" s="29">
        <v>24</v>
      </c>
      <c r="F38" s="30">
        <v>69</v>
      </c>
      <c r="G38" s="29">
        <v>69</v>
      </c>
      <c r="H38" s="28" t="s">
        <v>2080</v>
      </c>
      <c r="I38" s="27" t="s">
        <v>377</v>
      </c>
      <c r="J38" s="31" t="s">
        <v>40</v>
      </c>
      <c r="K38" s="27" t="s">
        <v>37</v>
      </c>
      <c r="L38" s="27" t="s">
        <v>38</v>
      </c>
      <c r="M38" s="32" t="str">
        <f>HYPERLINK("http://slimages.macys.com/is/image/MCY/3827012 ")</f>
        <v xml:space="preserve">http://slimages.macys.com/is/image/MCY/3827012 </v>
      </c>
    </row>
    <row r="39" spans="1:13" ht="15.2" customHeight="1" x14ac:dyDescent="0.2">
      <c r="A39" s="26" t="s">
        <v>10732</v>
      </c>
      <c r="B39" s="27" t="s">
        <v>10733</v>
      </c>
      <c r="C39" s="28">
        <v>1</v>
      </c>
      <c r="D39" s="29">
        <v>23</v>
      </c>
      <c r="E39" s="29">
        <v>23</v>
      </c>
      <c r="F39" s="30">
        <v>59.5</v>
      </c>
      <c r="G39" s="29">
        <v>59.5</v>
      </c>
      <c r="H39" s="28" t="s">
        <v>7855</v>
      </c>
      <c r="I39" s="27" t="s">
        <v>189</v>
      </c>
      <c r="J39" s="31" t="s">
        <v>71</v>
      </c>
      <c r="K39" s="27" t="s">
        <v>17</v>
      </c>
      <c r="L39" s="27" t="s">
        <v>18</v>
      </c>
      <c r="M39" s="32" t="str">
        <f>HYPERLINK("http://slimages.macys.com/is/image/MCY/3890904 ")</f>
        <v xml:space="preserve">http://slimages.macys.com/is/image/MCY/3890904 </v>
      </c>
    </row>
    <row r="40" spans="1:13" ht="15.2" customHeight="1" x14ac:dyDescent="0.2">
      <c r="A40" s="26" t="s">
        <v>4931</v>
      </c>
      <c r="B40" s="27" t="s">
        <v>4932</v>
      </c>
      <c r="C40" s="28">
        <v>2</v>
      </c>
      <c r="D40" s="29">
        <v>23</v>
      </c>
      <c r="E40" s="29">
        <v>46</v>
      </c>
      <c r="F40" s="30">
        <v>59.5</v>
      </c>
      <c r="G40" s="29">
        <v>119</v>
      </c>
      <c r="H40" s="28" t="s">
        <v>672</v>
      </c>
      <c r="I40" s="27" t="s">
        <v>4</v>
      </c>
      <c r="J40" s="31" t="s">
        <v>71</v>
      </c>
      <c r="K40" s="27" t="s">
        <v>17</v>
      </c>
      <c r="L40" s="27" t="s">
        <v>18</v>
      </c>
      <c r="M40" s="32" t="str">
        <f>HYPERLINK("http://slimages.macys.com/is/image/MCY/3895026 ")</f>
        <v xml:space="preserve">http://slimages.macys.com/is/image/MCY/3895026 </v>
      </c>
    </row>
    <row r="41" spans="1:13" ht="15.2" customHeight="1" x14ac:dyDescent="0.2">
      <c r="A41" s="26" t="s">
        <v>7485</v>
      </c>
      <c r="B41" s="27" t="s">
        <v>7486</v>
      </c>
      <c r="C41" s="28">
        <v>1</v>
      </c>
      <c r="D41" s="29">
        <v>23</v>
      </c>
      <c r="E41" s="29">
        <v>23</v>
      </c>
      <c r="F41" s="30">
        <v>59.5</v>
      </c>
      <c r="G41" s="29">
        <v>59.5</v>
      </c>
      <c r="H41" s="28" t="s">
        <v>672</v>
      </c>
      <c r="I41" s="27" t="s">
        <v>285</v>
      </c>
      <c r="J41" s="31" t="s">
        <v>71</v>
      </c>
      <c r="K41" s="27" t="s">
        <v>17</v>
      </c>
      <c r="L41" s="27" t="s">
        <v>18</v>
      </c>
      <c r="M41" s="32" t="str">
        <f>HYPERLINK("http://slimages.macys.com/is/image/MCY/3895026 ")</f>
        <v xml:space="preserve">http://slimages.macys.com/is/image/MCY/3895026 </v>
      </c>
    </row>
    <row r="42" spans="1:13" ht="15.2" customHeight="1" x14ac:dyDescent="0.2">
      <c r="A42" s="26" t="s">
        <v>8240</v>
      </c>
      <c r="B42" s="27" t="s">
        <v>8241</v>
      </c>
      <c r="C42" s="28">
        <v>1</v>
      </c>
      <c r="D42" s="29">
        <v>22.24</v>
      </c>
      <c r="E42" s="29">
        <v>22.24</v>
      </c>
      <c r="F42" s="30">
        <v>69.5</v>
      </c>
      <c r="G42" s="29">
        <v>69.5</v>
      </c>
      <c r="H42" s="28">
        <v>49008192</v>
      </c>
      <c r="I42" s="27" t="s">
        <v>10</v>
      </c>
      <c r="J42" s="31"/>
      <c r="K42" s="27" t="s">
        <v>6</v>
      </c>
      <c r="L42" s="27" t="s">
        <v>7</v>
      </c>
      <c r="M42" s="32" t="str">
        <f>HYPERLINK("http://slimages.macys.com/is/image/MCY/3923812 ")</f>
        <v xml:space="preserve">http://slimages.macys.com/is/image/MCY/3923812 </v>
      </c>
    </row>
    <row r="43" spans="1:13" ht="15.2" customHeight="1" x14ac:dyDescent="0.2">
      <c r="A43" s="26" t="s">
        <v>10734</v>
      </c>
      <c r="B43" s="27" t="s">
        <v>10735</v>
      </c>
      <c r="C43" s="28">
        <v>1</v>
      </c>
      <c r="D43" s="29">
        <v>22</v>
      </c>
      <c r="E43" s="29">
        <v>22</v>
      </c>
      <c r="F43" s="30">
        <v>69</v>
      </c>
      <c r="G43" s="29">
        <v>69</v>
      </c>
      <c r="H43" s="28" t="s">
        <v>6806</v>
      </c>
      <c r="I43" s="27" t="s">
        <v>29</v>
      </c>
      <c r="J43" s="31" t="s">
        <v>172</v>
      </c>
      <c r="K43" s="27" t="s">
        <v>37</v>
      </c>
      <c r="L43" s="27" t="s">
        <v>38</v>
      </c>
      <c r="M43" s="32" t="str">
        <f>HYPERLINK("http://slimages.macys.com/is/image/MCY/3667684 ")</f>
        <v xml:space="preserve">http://slimages.macys.com/is/image/MCY/3667684 </v>
      </c>
    </row>
    <row r="44" spans="1:13" ht="15.2" customHeight="1" x14ac:dyDescent="0.2">
      <c r="A44" s="26" t="s">
        <v>9975</v>
      </c>
      <c r="B44" s="27" t="s">
        <v>9976</v>
      </c>
      <c r="C44" s="28">
        <v>1</v>
      </c>
      <c r="D44" s="29">
        <v>22</v>
      </c>
      <c r="E44" s="29">
        <v>22</v>
      </c>
      <c r="F44" s="30">
        <v>69</v>
      </c>
      <c r="G44" s="29">
        <v>69</v>
      </c>
      <c r="H44" s="28" t="s">
        <v>6806</v>
      </c>
      <c r="I44" s="27" t="s">
        <v>29</v>
      </c>
      <c r="J44" s="31" t="s">
        <v>5</v>
      </c>
      <c r="K44" s="27" t="s">
        <v>37</v>
      </c>
      <c r="L44" s="27" t="s">
        <v>38</v>
      </c>
      <c r="M44" s="32" t="str">
        <f>HYPERLINK("http://slimages.macys.com/is/image/MCY/3667684 ")</f>
        <v xml:space="preserve">http://slimages.macys.com/is/image/MCY/3667684 </v>
      </c>
    </row>
    <row r="45" spans="1:13" ht="15.2" customHeight="1" x14ac:dyDescent="0.2">
      <c r="A45" s="26" t="s">
        <v>10736</v>
      </c>
      <c r="B45" s="27" t="s">
        <v>10737</v>
      </c>
      <c r="C45" s="28">
        <v>1</v>
      </c>
      <c r="D45" s="29">
        <v>21.75</v>
      </c>
      <c r="E45" s="29">
        <v>21.75</v>
      </c>
      <c r="F45" s="30">
        <v>69</v>
      </c>
      <c r="G45" s="29">
        <v>69</v>
      </c>
      <c r="H45" s="28" t="s">
        <v>10738</v>
      </c>
      <c r="I45" s="27" t="s">
        <v>4</v>
      </c>
      <c r="J45" s="31" t="s">
        <v>234</v>
      </c>
      <c r="K45" s="27" t="s">
        <v>24</v>
      </c>
      <c r="L45" s="27" t="s">
        <v>2806</v>
      </c>
      <c r="M45" s="32" t="str">
        <f>HYPERLINK("http://slimages.macys.com/is/image/MCY/3484657 ")</f>
        <v xml:space="preserve">http://slimages.macys.com/is/image/MCY/3484657 </v>
      </c>
    </row>
    <row r="46" spans="1:13" ht="15.2" customHeight="1" x14ac:dyDescent="0.2">
      <c r="A46" s="26" t="s">
        <v>10739</v>
      </c>
      <c r="B46" s="27" t="s">
        <v>10740</v>
      </c>
      <c r="C46" s="28">
        <v>1</v>
      </c>
      <c r="D46" s="29">
        <v>21.42</v>
      </c>
      <c r="E46" s="29">
        <v>21.42</v>
      </c>
      <c r="F46" s="30">
        <v>59.5</v>
      </c>
      <c r="G46" s="29">
        <v>59.5</v>
      </c>
      <c r="H46" s="28" t="s">
        <v>9410</v>
      </c>
      <c r="I46" s="27" t="s">
        <v>144</v>
      </c>
      <c r="J46" s="31" t="s">
        <v>5</v>
      </c>
      <c r="K46" s="27" t="s">
        <v>27</v>
      </c>
      <c r="L46" s="27" t="s">
        <v>28</v>
      </c>
      <c r="M46" s="32" t="str">
        <f>HYPERLINK("http://slimages.macys.com/is/image/MCY/3638005 ")</f>
        <v xml:space="preserve">http://slimages.macys.com/is/image/MCY/3638005 </v>
      </c>
    </row>
    <row r="47" spans="1:13" ht="15.2" customHeight="1" x14ac:dyDescent="0.2">
      <c r="A47" s="26" t="s">
        <v>1104</v>
      </c>
      <c r="B47" s="27" t="s">
        <v>1105</v>
      </c>
      <c r="C47" s="28">
        <v>1</v>
      </c>
      <c r="D47" s="29">
        <v>21</v>
      </c>
      <c r="E47" s="29">
        <v>21</v>
      </c>
      <c r="F47" s="30">
        <v>69</v>
      </c>
      <c r="G47" s="29">
        <v>69</v>
      </c>
      <c r="H47" s="28" t="s">
        <v>1106</v>
      </c>
      <c r="I47" s="27" t="s">
        <v>248</v>
      </c>
      <c r="J47" s="31" t="s">
        <v>23</v>
      </c>
      <c r="K47" s="27" t="s">
        <v>24</v>
      </c>
      <c r="L47" s="27" t="s">
        <v>155</v>
      </c>
      <c r="M47" s="32" t="str">
        <f>HYPERLINK("http://slimages.macys.com/is/image/MCY/3705626 ")</f>
        <v xml:space="preserve">http://slimages.macys.com/is/image/MCY/3705626 </v>
      </c>
    </row>
    <row r="48" spans="1:13" ht="15.2" customHeight="1" x14ac:dyDescent="0.2">
      <c r="A48" s="26" t="s">
        <v>10741</v>
      </c>
      <c r="B48" s="27" t="s">
        <v>10742</v>
      </c>
      <c r="C48" s="28">
        <v>1</v>
      </c>
      <c r="D48" s="29">
        <v>21</v>
      </c>
      <c r="E48" s="29">
        <v>21</v>
      </c>
      <c r="F48" s="30">
        <v>59</v>
      </c>
      <c r="G48" s="29">
        <v>59</v>
      </c>
      <c r="H48" s="28" t="s">
        <v>10743</v>
      </c>
      <c r="I48" s="27" t="s">
        <v>82</v>
      </c>
      <c r="J48" s="31"/>
      <c r="K48" s="27" t="s">
        <v>1089</v>
      </c>
      <c r="L48" s="27" t="s">
        <v>10744</v>
      </c>
      <c r="M48" s="32" t="str">
        <f>HYPERLINK("http://slimages.macys.com/is/image/MCY/3501873 ")</f>
        <v xml:space="preserve">http://slimages.macys.com/is/image/MCY/3501873 </v>
      </c>
    </row>
    <row r="49" spans="1:13" ht="15.2" customHeight="1" x14ac:dyDescent="0.2">
      <c r="A49" s="26" t="s">
        <v>10745</v>
      </c>
      <c r="B49" s="27" t="s">
        <v>10746</v>
      </c>
      <c r="C49" s="28">
        <v>1</v>
      </c>
      <c r="D49" s="29">
        <v>20.86</v>
      </c>
      <c r="E49" s="29">
        <v>20.86</v>
      </c>
      <c r="F49" s="30">
        <v>50.99</v>
      </c>
      <c r="G49" s="29">
        <v>50.99</v>
      </c>
      <c r="H49" s="28" t="s">
        <v>1112</v>
      </c>
      <c r="I49" s="27" t="s">
        <v>4</v>
      </c>
      <c r="J49" s="31" t="s">
        <v>5</v>
      </c>
      <c r="K49" s="27" t="s">
        <v>41</v>
      </c>
      <c r="L49" s="27" t="s">
        <v>45</v>
      </c>
      <c r="M49" s="32" t="str">
        <f>HYPERLINK("http://slimages.macys.com/is/image/MCY/3598728 ")</f>
        <v xml:space="preserve">http://slimages.macys.com/is/image/MCY/3598728 </v>
      </c>
    </row>
    <row r="50" spans="1:13" ht="15.2" customHeight="1" x14ac:dyDescent="0.2">
      <c r="A50" s="26" t="s">
        <v>7721</v>
      </c>
      <c r="B50" s="27" t="s">
        <v>7722</v>
      </c>
      <c r="C50" s="28">
        <v>1</v>
      </c>
      <c r="D50" s="29">
        <v>20.85</v>
      </c>
      <c r="E50" s="29">
        <v>20.85</v>
      </c>
      <c r="F50" s="30">
        <v>69.5</v>
      </c>
      <c r="G50" s="29">
        <v>69.5</v>
      </c>
      <c r="H50" s="28">
        <v>60435383</v>
      </c>
      <c r="I50" s="27" t="s">
        <v>4</v>
      </c>
      <c r="J50" s="31" t="s">
        <v>40</v>
      </c>
      <c r="K50" s="27" t="s">
        <v>6</v>
      </c>
      <c r="L50" s="27" t="s">
        <v>7</v>
      </c>
      <c r="M50" s="32" t="str">
        <f>HYPERLINK("http://slimages.macys.com/is/image/MCY/3900381 ")</f>
        <v xml:space="preserve">http://slimages.macys.com/is/image/MCY/3900381 </v>
      </c>
    </row>
    <row r="51" spans="1:13" ht="15.2" customHeight="1" x14ac:dyDescent="0.2">
      <c r="A51" s="26" t="s">
        <v>677</v>
      </c>
      <c r="B51" s="27" t="s">
        <v>678</v>
      </c>
      <c r="C51" s="28">
        <v>1</v>
      </c>
      <c r="D51" s="29">
        <v>20.74</v>
      </c>
      <c r="E51" s="29">
        <v>20.74</v>
      </c>
      <c r="F51" s="30">
        <v>47.75</v>
      </c>
      <c r="G51" s="29">
        <v>47.75</v>
      </c>
      <c r="H51" s="28" t="s">
        <v>676</v>
      </c>
      <c r="I51" s="27" t="s">
        <v>10</v>
      </c>
      <c r="J51" s="31" t="s">
        <v>230</v>
      </c>
      <c r="K51" s="27" t="s">
        <v>41</v>
      </c>
      <c r="L51" s="27" t="s">
        <v>45</v>
      </c>
      <c r="M51" s="32" t="str">
        <f>HYPERLINK("http://slimages.macys.com/is/image/MCY/3678323 ")</f>
        <v xml:space="preserve">http://slimages.macys.com/is/image/MCY/3678323 </v>
      </c>
    </row>
    <row r="52" spans="1:13" ht="15.2" customHeight="1" x14ac:dyDescent="0.2">
      <c r="A52" s="26" t="s">
        <v>2085</v>
      </c>
      <c r="B52" s="27" t="s">
        <v>2086</v>
      </c>
      <c r="C52" s="28">
        <v>1</v>
      </c>
      <c r="D52" s="29">
        <v>20.74</v>
      </c>
      <c r="E52" s="29">
        <v>20.74</v>
      </c>
      <c r="F52" s="30">
        <v>47.75</v>
      </c>
      <c r="G52" s="29">
        <v>47.75</v>
      </c>
      <c r="H52" s="28" t="s">
        <v>676</v>
      </c>
      <c r="I52" s="27" t="s">
        <v>10</v>
      </c>
      <c r="J52" s="31" t="s">
        <v>216</v>
      </c>
      <c r="K52" s="27" t="s">
        <v>41</v>
      </c>
      <c r="L52" s="27" t="s">
        <v>45</v>
      </c>
      <c r="M52" s="32" t="str">
        <f>HYPERLINK("http://slimages.macys.com/is/image/MCY/3678323 ")</f>
        <v xml:space="preserve">http://slimages.macys.com/is/image/MCY/3678323 </v>
      </c>
    </row>
    <row r="53" spans="1:13" ht="15.2" customHeight="1" x14ac:dyDescent="0.2">
      <c r="A53" s="26" t="s">
        <v>10747</v>
      </c>
      <c r="B53" s="27" t="s">
        <v>10748</v>
      </c>
      <c r="C53" s="28">
        <v>1</v>
      </c>
      <c r="D53" s="29">
        <v>20.6</v>
      </c>
      <c r="E53" s="29">
        <v>20.6</v>
      </c>
      <c r="F53" s="30">
        <v>59</v>
      </c>
      <c r="G53" s="29">
        <v>59</v>
      </c>
      <c r="H53" s="28" t="s">
        <v>10749</v>
      </c>
      <c r="I53" s="27"/>
      <c r="J53" s="31" t="s">
        <v>40</v>
      </c>
      <c r="K53" s="27" t="s">
        <v>795</v>
      </c>
      <c r="L53" s="27" t="s">
        <v>796</v>
      </c>
      <c r="M53" s="32" t="str">
        <f>HYPERLINK("http://slimages.macys.com/is/image/MCY/3547734 ")</f>
        <v xml:space="preserve">http://slimages.macys.com/is/image/MCY/3547734 </v>
      </c>
    </row>
    <row r="54" spans="1:13" ht="15.2" customHeight="1" x14ac:dyDescent="0.2">
      <c r="A54" s="26" t="s">
        <v>10750</v>
      </c>
      <c r="B54" s="27" t="s">
        <v>10751</v>
      </c>
      <c r="C54" s="28">
        <v>1</v>
      </c>
      <c r="D54" s="29">
        <v>20.53</v>
      </c>
      <c r="E54" s="29">
        <v>20.53</v>
      </c>
      <c r="F54" s="30">
        <v>59.5</v>
      </c>
      <c r="G54" s="29">
        <v>59.5</v>
      </c>
      <c r="H54" s="28" t="s">
        <v>2823</v>
      </c>
      <c r="I54" s="27" t="s">
        <v>215</v>
      </c>
      <c r="J54" s="31" t="s">
        <v>65</v>
      </c>
      <c r="K54" s="27" t="s">
        <v>53</v>
      </c>
      <c r="L54" s="27" t="s">
        <v>54</v>
      </c>
      <c r="M54" s="32" t="str">
        <f>HYPERLINK("http://slimages.macys.com/is/image/MCY/3666245 ")</f>
        <v xml:space="preserve">http://slimages.macys.com/is/image/MCY/3666245 </v>
      </c>
    </row>
    <row r="55" spans="1:13" ht="15.2" customHeight="1" x14ac:dyDescent="0.2">
      <c r="A55" s="26" t="s">
        <v>2821</v>
      </c>
      <c r="B55" s="27" t="s">
        <v>2822</v>
      </c>
      <c r="C55" s="28">
        <v>2</v>
      </c>
      <c r="D55" s="29">
        <v>20.53</v>
      </c>
      <c r="E55" s="29">
        <v>41.06</v>
      </c>
      <c r="F55" s="30">
        <v>59.5</v>
      </c>
      <c r="G55" s="29">
        <v>119</v>
      </c>
      <c r="H55" s="28" t="s">
        <v>2823</v>
      </c>
      <c r="I55" s="27" t="s">
        <v>215</v>
      </c>
      <c r="J55" s="31" t="s">
        <v>52</v>
      </c>
      <c r="K55" s="27" t="s">
        <v>53</v>
      </c>
      <c r="L55" s="27" t="s">
        <v>54</v>
      </c>
      <c r="M55" s="32" t="str">
        <f>HYPERLINK("http://slimages.macys.com/is/image/MCY/3666245 ")</f>
        <v xml:space="preserve">http://slimages.macys.com/is/image/MCY/3666245 </v>
      </c>
    </row>
    <row r="56" spans="1:13" ht="15.2" customHeight="1" x14ac:dyDescent="0.2">
      <c r="A56" s="26" t="s">
        <v>10752</v>
      </c>
      <c r="B56" s="27" t="s">
        <v>10753</v>
      </c>
      <c r="C56" s="28">
        <v>1</v>
      </c>
      <c r="D56" s="29">
        <v>20.53</v>
      </c>
      <c r="E56" s="29">
        <v>20.53</v>
      </c>
      <c r="F56" s="30">
        <v>59.5</v>
      </c>
      <c r="G56" s="29">
        <v>59.5</v>
      </c>
      <c r="H56" s="28" t="s">
        <v>679</v>
      </c>
      <c r="I56" s="27" t="s">
        <v>82</v>
      </c>
      <c r="J56" s="31" t="s">
        <v>5</v>
      </c>
      <c r="K56" s="27" t="s">
        <v>53</v>
      </c>
      <c r="L56" s="27" t="s">
        <v>54</v>
      </c>
      <c r="M56" s="32" t="str">
        <f>HYPERLINK("http://slimages.macys.com/is/image/MCY/3773809 ")</f>
        <v xml:space="preserve">http://slimages.macys.com/is/image/MCY/3773809 </v>
      </c>
    </row>
    <row r="57" spans="1:13" ht="15.2" customHeight="1" x14ac:dyDescent="0.2">
      <c r="A57" s="26" t="s">
        <v>10754</v>
      </c>
      <c r="B57" s="27" t="s">
        <v>10755</v>
      </c>
      <c r="C57" s="28">
        <v>2</v>
      </c>
      <c r="D57" s="29">
        <v>20.52</v>
      </c>
      <c r="E57" s="29">
        <v>41.04</v>
      </c>
      <c r="F57" s="30">
        <v>59.5</v>
      </c>
      <c r="G57" s="29">
        <v>119</v>
      </c>
      <c r="H57" s="28" t="s">
        <v>6836</v>
      </c>
      <c r="I57" s="27" t="s">
        <v>4</v>
      </c>
      <c r="J57" s="31" t="s">
        <v>52</v>
      </c>
      <c r="K57" s="27" t="s">
        <v>53</v>
      </c>
      <c r="L57" s="27" t="s">
        <v>167</v>
      </c>
      <c r="M57" s="32" t="str">
        <f>HYPERLINK("http://slimages.macys.com/is/image/MCY/3836396 ")</f>
        <v xml:space="preserve">http://slimages.macys.com/is/image/MCY/3836396 </v>
      </c>
    </row>
    <row r="58" spans="1:13" ht="15.2" customHeight="1" x14ac:dyDescent="0.2">
      <c r="A58" s="26" t="s">
        <v>8364</v>
      </c>
      <c r="B58" s="27" t="s">
        <v>8365</v>
      </c>
      <c r="C58" s="28">
        <v>1</v>
      </c>
      <c r="D58" s="29">
        <v>20.52</v>
      </c>
      <c r="E58" s="29">
        <v>20.52</v>
      </c>
      <c r="F58" s="30">
        <v>59.5</v>
      </c>
      <c r="G58" s="29">
        <v>59.5</v>
      </c>
      <c r="H58" s="28" t="s">
        <v>4337</v>
      </c>
      <c r="I58" s="27" t="s">
        <v>26</v>
      </c>
      <c r="J58" s="31" t="s">
        <v>71</v>
      </c>
      <c r="K58" s="27" t="s">
        <v>53</v>
      </c>
      <c r="L58" s="27" t="s">
        <v>54</v>
      </c>
      <c r="M58" s="32" t="str">
        <f>HYPERLINK("http://slimages.macys.com/is/image/MCY/3773809 ")</f>
        <v xml:space="preserve">http://slimages.macys.com/is/image/MCY/3773809 </v>
      </c>
    </row>
    <row r="59" spans="1:13" ht="15.2" customHeight="1" x14ac:dyDescent="0.2">
      <c r="A59" s="26" t="s">
        <v>7880</v>
      </c>
      <c r="B59" s="27" t="s">
        <v>7881</v>
      </c>
      <c r="C59" s="28">
        <v>1</v>
      </c>
      <c r="D59" s="29">
        <v>20.52</v>
      </c>
      <c r="E59" s="29">
        <v>20.52</v>
      </c>
      <c r="F59" s="30">
        <v>59.5</v>
      </c>
      <c r="G59" s="29">
        <v>59.5</v>
      </c>
      <c r="H59" s="28" t="s">
        <v>6836</v>
      </c>
      <c r="I59" s="27" t="s">
        <v>4</v>
      </c>
      <c r="J59" s="31" t="s">
        <v>5</v>
      </c>
      <c r="K59" s="27" t="s">
        <v>53</v>
      </c>
      <c r="L59" s="27" t="s">
        <v>167</v>
      </c>
      <c r="M59" s="32" t="str">
        <f>HYPERLINK("http://slimages.macys.com/is/image/MCY/3836396 ")</f>
        <v xml:space="preserve">http://slimages.macys.com/is/image/MCY/3836396 </v>
      </c>
    </row>
    <row r="60" spans="1:13" ht="15.2" customHeight="1" x14ac:dyDescent="0.2">
      <c r="A60" s="26" t="s">
        <v>10756</v>
      </c>
      <c r="B60" s="27" t="s">
        <v>10757</v>
      </c>
      <c r="C60" s="28">
        <v>1</v>
      </c>
      <c r="D60" s="29">
        <v>20</v>
      </c>
      <c r="E60" s="29">
        <v>20</v>
      </c>
      <c r="F60" s="30">
        <v>69</v>
      </c>
      <c r="G60" s="29">
        <v>69</v>
      </c>
      <c r="H60" s="28">
        <v>1108123</v>
      </c>
      <c r="I60" s="27" t="s">
        <v>4</v>
      </c>
      <c r="J60" s="31" t="s">
        <v>216</v>
      </c>
      <c r="K60" s="27" t="s">
        <v>24</v>
      </c>
      <c r="L60" s="27" t="s">
        <v>155</v>
      </c>
      <c r="M60" s="32" t="str">
        <f>HYPERLINK("http://slimages.macys.com/is/image/MCY/3690385 ")</f>
        <v xml:space="preserve">http://slimages.macys.com/is/image/MCY/3690385 </v>
      </c>
    </row>
    <row r="61" spans="1:13" ht="15.2" customHeight="1" x14ac:dyDescent="0.2">
      <c r="A61" s="26" t="s">
        <v>10274</v>
      </c>
      <c r="B61" s="27" t="s">
        <v>10275</v>
      </c>
      <c r="C61" s="28">
        <v>1</v>
      </c>
      <c r="D61" s="29">
        <v>20</v>
      </c>
      <c r="E61" s="29">
        <v>20</v>
      </c>
      <c r="F61" s="30">
        <v>69</v>
      </c>
      <c r="G61" s="29">
        <v>69</v>
      </c>
      <c r="H61" s="28">
        <v>1108123</v>
      </c>
      <c r="I61" s="27" t="s">
        <v>4</v>
      </c>
      <c r="J61" s="31" t="s">
        <v>234</v>
      </c>
      <c r="K61" s="27" t="s">
        <v>24</v>
      </c>
      <c r="L61" s="27" t="s">
        <v>155</v>
      </c>
      <c r="M61" s="32" t="str">
        <f>HYPERLINK("http://slimages.macys.com/is/image/MCY/3690385 ")</f>
        <v xml:space="preserve">http://slimages.macys.com/is/image/MCY/3690385 </v>
      </c>
    </row>
    <row r="62" spans="1:13" ht="15.2" customHeight="1" x14ac:dyDescent="0.2">
      <c r="A62" s="26" t="s">
        <v>3139</v>
      </c>
      <c r="B62" s="27" t="s">
        <v>3140</v>
      </c>
      <c r="C62" s="28">
        <v>2</v>
      </c>
      <c r="D62" s="29">
        <v>20</v>
      </c>
      <c r="E62" s="29">
        <v>40</v>
      </c>
      <c r="F62" s="30">
        <v>64</v>
      </c>
      <c r="G62" s="29">
        <v>128</v>
      </c>
      <c r="H62" s="28" t="s">
        <v>686</v>
      </c>
      <c r="I62" s="27" t="s">
        <v>4</v>
      </c>
      <c r="J62" s="31" t="s">
        <v>5</v>
      </c>
      <c r="K62" s="27" t="s">
        <v>24</v>
      </c>
      <c r="L62" s="27" t="s">
        <v>650</v>
      </c>
      <c r="M62" s="32" t="str">
        <f>HYPERLINK("http://slimages.macys.com/is/image/MCY/3878688 ")</f>
        <v xml:space="preserve">http://slimages.macys.com/is/image/MCY/3878688 </v>
      </c>
    </row>
    <row r="63" spans="1:13" ht="15.2" customHeight="1" x14ac:dyDescent="0.2">
      <c r="A63" s="26" t="s">
        <v>8492</v>
      </c>
      <c r="B63" s="27" t="s">
        <v>8493</v>
      </c>
      <c r="C63" s="28">
        <v>1</v>
      </c>
      <c r="D63" s="29">
        <v>20</v>
      </c>
      <c r="E63" s="29">
        <v>20</v>
      </c>
      <c r="F63" s="30">
        <v>49.99</v>
      </c>
      <c r="G63" s="29">
        <v>49.99</v>
      </c>
      <c r="H63" s="28" t="s">
        <v>1119</v>
      </c>
      <c r="I63" s="27" t="s">
        <v>10</v>
      </c>
      <c r="J63" s="31"/>
      <c r="K63" s="27" t="s">
        <v>70</v>
      </c>
      <c r="L63" s="27" t="s">
        <v>67</v>
      </c>
      <c r="M63" s="32" t="str">
        <f>HYPERLINK("http://slimages.macys.com/is/image/MCY/3760845 ")</f>
        <v xml:space="preserve">http://slimages.macys.com/is/image/MCY/3760845 </v>
      </c>
    </row>
    <row r="64" spans="1:13" ht="15.2" customHeight="1" x14ac:dyDescent="0.2">
      <c r="A64" s="26" t="s">
        <v>684</v>
      </c>
      <c r="B64" s="27" t="s">
        <v>685</v>
      </c>
      <c r="C64" s="28">
        <v>1</v>
      </c>
      <c r="D64" s="29">
        <v>20</v>
      </c>
      <c r="E64" s="29">
        <v>20</v>
      </c>
      <c r="F64" s="30">
        <v>64</v>
      </c>
      <c r="G64" s="29">
        <v>64</v>
      </c>
      <c r="H64" s="28" t="s">
        <v>686</v>
      </c>
      <c r="I64" s="27" t="s">
        <v>4</v>
      </c>
      <c r="J64" s="31" t="s">
        <v>71</v>
      </c>
      <c r="K64" s="27" t="s">
        <v>24</v>
      </c>
      <c r="L64" s="27" t="s">
        <v>650</v>
      </c>
      <c r="M64" s="32" t="str">
        <f>HYPERLINK("http://slimages.macys.com/is/image/MCY/3878688 ")</f>
        <v xml:space="preserve">http://slimages.macys.com/is/image/MCY/3878688 </v>
      </c>
    </row>
    <row r="65" spans="1:13" ht="15.2" customHeight="1" x14ac:dyDescent="0.2">
      <c r="A65" s="26" t="s">
        <v>7725</v>
      </c>
      <c r="B65" s="27" t="s">
        <v>7726</v>
      </c>
      <c r="C65" s="28">
        <v>2</v>
      </c>
      <c r="D65" s="29">
        <v>19</v>
      </c>
      <c r="E65" s="29">
        <v>38</v>
      </c>
      <c r="F65" s="30">
        <v>49.5</v>
      </c>
      <c r="G65" s="29">
        <v>99</v>
      </c>
      <c r="H65" s="28" t="s">
        <v>2824</v>
      </c>
      <c r="I65" s="27" t="s">
        <v>36</v>
      </c>
      <c r="J65" s="31" t="s">
        <v>21</v>
      </c>
      <c r="K65" s="27" t="s">
        <v>17</v>
      </c>
      <c r="L65" s="27" t="s">
        <v>18</v>
      </c>
      <c r="M65" s="32" t="str">
        <f>HYPERLINK("http://slimages.macys.com/is/image/MCY/3911324 ")</f>
        <v xml:space="preserve">http://slimages.macys.com/is/image/MCY/3911324 </v>
      </c>
    </row>
    <row r="66" spans="1:13" ht="15.2" customHeight="1" x14ac:dyDescent="0.2">
      <c r="A66" s="26" t="s">
        <v>10758</v>
      </c>
      <c r="B66" s="27" t="s">
        <v>10759</v>
      </c>
      <c r="C66" s="28">
        <v>1</v>
      </c>
      <c r="D66" s="29">
        <v>19</v>
      </c>
      <c r="E66" s="29">
        <v>19</v>
      </c>
      <c r="F66" s="30">
        <v>49.5</v>
      </c>
      <c r="G66" s="29">
        <v>49.5</v>
      </c>
      <c r="H66" s="28" t="s">
        <v>2824</v>
      </c>
      <c r="I66" s="27" t="s">
        <v>36</v>
      </c>
      <c r="J66" s="31" t="s">
        <v>52</v>
      </c>
      <c r="K66" s="27" t="s">
        <v>17</v>
      </c>
      <c r="L66" s="27" t="s">
        <v>18</v>
      </c>
      <c r="M66" s="32" t="str">
        <f>HYPERLINK("http://slimages.macys.com/is/image/MCY/3911324 ")</f>
        <v xml:space="preserve">http://slimages.macys.com/is/image/MCY/3911324 </v>
      </c>
    </row>
    <row r="67" spans="1:13" ht="15.2" customHeight="1" x14ac:dyDescent="0.2">
      <c r="A67" s="26" t="s">
        <v>10760</v>
      </c>
      <c r="B67" s="27" t="s">
        <v>10761</v>
      </c>
      <c r="C67" s="28">
        <v>1</v>
      </c>
      <c r="D67" s="29">
        <v>19</v>
      </c>
      <c r="E67" s="29">
        <v>19</v>
      </c>
      <c r="F67" s="30">
        <v>59</v>
      </c>
      <c r="G67" s="29">
        <v>59</v>
      </c>
      <c r="H67" s="28" t="s">
        <v>7890</v>
      </c>
      <c r="I67" s="27" t="s">
        <v>267</v>
      </c>
      <c r="J67" s="31" t="s">
        <v>65</v>
      </c>
      <c r="K67" s="27" t="s">
        <v>24</v>
      </c>
      <c r="L67" s="27" t="s">
        <v>128</v>
      </c>
      <c r="M67" s="32" t="str">
        <f>HYPERLINK("http://slimages.macys.com/is/image/MCY/3723608 ")</f>
        <v xml:space="preserve">http://slimages.macys.com/is/image/MCY/3723608 </v>
      </c>
    </row>
    <row r="68" spans="1:13" ht="15.2" customHeight="1" x14ac:dyDescent="0.2">
      <c r="A68" s="26" t="s">
        <v>1738</v>
      </c>
      <c r="B68" s="27" t="s">
        <v>1739</v>
      </c>
      <c r="C68" s="28">
        <v>1</v>
      </c>
      <c r="D68" s="29">
        <v>19</v>
      </c>
      <c r="E68" s="29">
        <v>19</v>
      </c>
      <c r="F68" s="30">
        <v>49</v>
      </c>
      <c r="G68" s="29">
        <v>49</v>
      </c>
      <c r="H68" s="28" t="s">
        <v>1740</v>
      </c>
      <c r="I68" s="27" t="s">
        <v>1</v>
      </c>
      <c r="J68" s="31" t="s">
        <v>40</v>
      </c>
      <c r="K68" s="27" t="s">
        <v>42</v>
      </c>
      <c r="L68" s="27" t="s">
        <v>327</v>
      </c>
      <c r="M68" s="32" t="str">
        <f>HYPERLINK("http://slimages.macys.com/is/image/MCY/3703339 ")</f>
        <v xml:space="preserve">http://slimages.macys.com/is/image/MCY/3703339 </v>
      </c>
    </row>
    <row r="69" spans="1:13" ht="15.2" customHeight="1" x14ac:dyDescent="0.2">
      <c r="A69" s="26" t="s">
        <v>8592</v>
      </c>
      <c r="B69" s="27" t="s">
        <v>8593</v>
      </c>
      <c r="C69" s="28">
        <v>1</v>
      </c>
      <c r="D69" s="29">
        <v>18.75</v>
      </c>
      <c r="E69" s="29">
        <v>18.75</v>
      </c>
      <c r="F69" s="30">
        <v>44.99</v>
      </c>
      <c r="G69" s="29">
        <v>44.99</v>
      </c>
      <c r="H69" s="28" t="s">
        <v>6858</v>
      </c>
      <c r="I69" s="27" t="s">
        <v>661</v>
      </c>
      <c r="J69" s="31" t="s">
        <v>52</v>
      </c>
      <c r="K69" s="27" t="s">
        <v>70</v>
      </c>
      <c r="L69" s="27" t="s">
        <v>999</v>
      </c>
      <c r="M69" s="32" t="str">
        <f>HYPERLINK("http://slimages.macys.com/is/image/MCY/3755644 ")</f>
        <v xml:space="preserve">http://slimages.macys.com/is/image/MCY/3755644 </v>
      </c>
    </row>
    <row r="70" spans="1:13" ht="15.2" customHeight="1" x14ac:dyDescent="0.2">
      <c r="A70" s="26" t="s">
        <v>10762</v>
      </c>
      <c r="B70" s="27" t="s">
        <v>10763</v>
      </c>
      <c r="C70" s="28">
        <v>1</v>
      </c>
      <c r="D70" s="29">
        <v>18.75</v>
      </c>
      <c r="E70" s="29">
        <v>18.75</v>
      </c>
      <c r="F70" s="30">
        <v>44.99</v>
      </c>
      <c r="G70" s="29">
        <v>44.99</v>
      </c>
      <c r="H70" s="28" t="s">
        <v>6858</v>
      </c>
      <c r="I70" s="27" t="s">
        <v>661</v>
      </c>
      <c r="J70" s="31" t="s">
        <v>65</v>
      </c>
      <c r="K70" s="27" t="s">
        <v>70</v>
      </c>
      <c r="L70" s="27" t="s">
        <v>999</v>
      </c>
      <c r="M70" s="32" t="str">
        <f>HYPERLINK("http://slimages.macys.com/is/image/MCY/3755644 ")</f>
        <v xml:space="preserve">http://slimages.macys.com/is/image/MCY/3755644 </v>
      </c>
    </row>
    <row r="71" spans="1:13" ht="15.2" customHeight="1" x14ac:dyDescent="0.2">
      <c r="A71" s="26" t="s">
        <v>10764</v>
      </c>
      <c r="B71" s="27" t="s">
        <v>10765</v>
      </c>
      <c r="C71" s="28">
        <v>1</v>
      </c>
      <c r="D71" s="29">
        <v>18.5</v>
      </c>
      <c r="E71" s="29">
        <v>18.5</v>
      </c>
      <c r="F71" s="30">
        <v>44.99</v>
      </c>
      <c r="G71" s="29">
        <v>44.99</v>
      </c>
      <c r="H71" s="28" t="s">
        <v>10766</v>
      </c>
      <c r="I71" s="27" t="s">
        <v>271</v>
      </c>
      <c r="J71" s="31" t="s">
        <v>234</v>
      </c>
      <c r="K71" s="27" t="s">
        <v>70</v>
      </c>
      <c r="L71" s="27" t="s">
        <v>25</v>
      </c>
      <c r="M71" s="32" t="str">
        <f>HYPERLINK("http://slimages.macys.com/is/image/MCY/2511083 ")</f>
        <v xml:space="preserve">http://slimages.macys.com/is/image/MCY/2511083 </v>
      </c>
    </row>
    <row r="72" spans="1:13" ht="15.2" customHeight="1" x14ac:dyDescent="0.2">
      <c r="A72" s="26" t="s">
        <v>1142</v>
      </c>
      <c r="B72" s="27" t="s">
        <v>1143</v>
      </c>
      <c r="C72" s="28">
        <v>1</v>
      </c>
      <c r="D72" s="29">
        <v>18.07</v>
      </c>
      <c r="E72" s="29">
        <v>18.07</v>
      </c>
      <c r="F72" s="30">
        <v>49.5</v>
      </c>
      <c r="G72" s="29">
        <v>49.5</v>
      </c>
      <c r="H72" s="28" t="s">
        <v>1144</v>
      </c>
      <c r="I72" s="27" t="s">
        <v>4</v>
      </c>
      <c r="J72" s="31" t="s">
        <v>40</v>
      </c>
      <c r="K72" s="27" t="s">
        <v>41</v>
      </c>
      <c r="L72" s="27" t="s">
        <v>45</v>
      </c>
      <c r="M72" s="32" t="str">
        <f>HYPERLINK("http://slimages.macys.com/is/image/MCY/3702300 ")</f>
        <v xml:space="preserve">http://slimages.macys.com/is/image/MCY/3702300 </v>
      </c>
    </row>
    <row r="73" spans="1:13" ht="15.2" customHeight="1" x14ac:dyDescent="0.2">
      <c r="A73" s="26" t="s">
        <v>1747</v>
      </c>
      <c r="B73" s="27" t="s">
        <v>1748</v>
      </c>
      <c r="C73" s="28">
        <v>1</v>
      </c>
      <c r="D73" s="29">
        <v>18.07</v>
      </c>
      <c r="E73" s="29">
        <v>18.07</v>
      </c>
      <c r="F73" s="30">
        <v>49.5</v>
      </c>
      <c r="G73" s="29">
        <v>49.5</v>
      </c>
      <c r="H73" s="28" t="s">
        <v>1144</v>
      </c>
      <c r="I73" s="27" t="s">
        <v>4</v>
      </c>
      <c r="J73" s="31" t="s">
        <v>5</v>
      </c>
      <c r="K73" s="27" t="s">
        <v>41</v>
      </c>
      <c r="L73" s="27" t="s">
        <v>45</v>
      </c>
      <c r="M73" s="32" t="str">
        <f>HYPERLINK("http://slimages.macys.com/is/image/MCY/3702300 ")</f>
        <v xml:space="preserve">http://slimages.macys.com/is/image/MCY/3702300 </v>
      </c>
    </row>
    <row r="74" spans="1:13" ht="15.2" customHeight="1" x14ac:dyDescent="0.2">
      <c r="A74" s="26" t="s">
        <v>10312</v>
      </c>
      <c r="B74" s="27" t="s">
        <v>10313</v>
      </c>
      <c r="C74" s="28">
        <v>1</v>
      </c>
      <c r="D74" s="29">
        <v>18.05</v>
      </c>
      <c r="E74" s="29">
        <v>18.05</v>
      </c>
      <c r="F74" s="30">
        <v>49.5</v>
      </c>
      <c r="G74" s="29">
        <v>49.5</v>
      </c>
      <c r="H74" s="28" t="s">
        <v>10005</v>
      </c>
      <c r="I74" s="27" t="s">
        <v>82</v>
      </c>
      <c r="J74" s="31" t="s">
        <v>172</v>
      </c>
      <c r="K74" s="27" t="s">
        <v>41</v>
      </c>
      <c r="L74" s="27" t="s">
        <v>83</v>
      </c>
      <c r="M74" s="32" t="str">
        <f>HYPERLINK("http://slimages.macys.com/is/image/MCY/3745612 ")</f>
        <v xml:space="preserve">http://slimages.macys.com/is/image/MCY/3745612 </v>
      </c>
    </row>
    <row r="75" spans="1:13" ht="15.2" customHeight="1" x14ac:dyDescent="0.2">
      <c r="A75" s="26" t="s">
        <v>9789</v>
      </c>
      <c r="B75" s="27" t="s">
        <v>9790</v>
      </c>
      <c r="C75" s="28">
        <v>1</v>
      </c>
      <c r="D75" s="29">
        <v>18</v>
      </c>
      <c r="E75" s="29">
        <v>18</v>
      </c>
      <c r="F75" s="30">
        <v>59</v>
      </c>
      <c r="G75" s="29">
        <v>59</v>
      </c>
      <c r="H75" s="28" t="s">
        <v>9791</v>
      </c>
      <c r="I75" s="27"/>
      <c r="J75" s="31" t="s">
        <v>65</v>
      </c>
      <c r="K75" s="27" t="s">
        <v>154</v>
      </c>
      <c r="L75" s="27" t="s">
        <v>155</v>
      </c>
      <c r="M75" s="32" t="str">
        <f>HYPERLINK("http://slimages.macys.com/is/image/MCY/3315119 ")</f>
        <v xml:space="preserve">http://slimages.macys.com/is/image/MCY/3315119 </v>
      </c>
    </row>
    <row r="76" spans="1:13" ht="15.2" customHeight="1" x14ac:dyDescent="0.2">
      <c r="A76" s="26" t="s">
        <v>10767</v>
      </c>
      <c r="B76" s="27" t="s">
        <v>10768</v>
      </c>
      <c r="C76" s="28">
        <v>1</v>
      </c>
      <c r="D76" s="29">
        <v>18</v>
      </c>
      <c r="E76" s="29">
        <v>18</v>
      </c>
      <c r="F76" s="30">
        <v>59</v>
      </c>
      <c r="G76" s="29">
        <v>59</v>
      </c>
      <c r="H76" s="28" t="s">
        <v>2100</v>
      </c>
      <c r="I76" s="27" t="s">
        <v>49</v>
      </c>
      <c r="J76" s="31" t="s">
        <v>234</v>
      </c>
      <c r="K76" s="27" t="s">
        <v>154</v>
      </c>
      <c r="L76" s="27" t="s">
        <v>155</v>
      </c>
      <c r="M76" s="32" t="str">
        <f>HYPERLINK("http://slimages.macys.com/is/image/MCY/3721263 ")</f>
        <v xml:space="preserve">http://slimages.macys.com/is/image/MCY/3721263 </v>
      </c>
    </row>
    <row r="77" spans="1:13" ht="15.2" customHeight="1" x14ac:dyDescent="0.2">
      <c r="A77" s="26" t="s">
        <v>10769</v>
      </c>
      <c r="B77" s="27" t="s">
        <v>10770</v>
      </c>
      <c r="C77" s="28">
        <v>1</v>
      </c>
      <c r="D77" s="29">
        <v>17.88</v>
      </c>
      <c r="E77" s="29">
        <v>17.88</v>
      </c>
      <c r="F77" s="30">
        <v>49.5</v>
      </c>
      <c r="G77" s="29">
        <v>49.5</v>
      </c>
      <c r="H77" s="28" t="s">
        <v>8596</v>
      </c>
      <c r="I77" s="27" t="s">
        <v>244</v>
      </c>
      <c r="J77" s="31" t="s">
        <v>40</v>
      </c>
      <c r="K77" s="27" t="s">
        <v>53</v>
      </c>
      <c r="L77" s="27" t="s">
        <v>54</v>
      </c>
      <c r="M77" s="32" t="str">
        <f>HYPERLINK("http://slimages.macys.com/is/image/MCY/3578381 ")</f>
        <v xml:space="preserve">http://slimages.macys.com/is/image/MCY/3578381 </v>
      </c>
    </row>
    <row r="78" spans="1:13" ht="15.2" customHeight="1" x14ac:dyDescent="0.2">
      <c r="A78" s="26" t="s">
        <v>10771</v>
      </c>
      <c r="B78" s="27" t="s">
        <v>10772</v>
      </c>
      <c r="C78" s="28">
        <v>1</v>
      </c>
      <c r="D78" s="29">
        <v>17.850000000000001</v>
      </c>
      <c r="E78" s="29">
        <v>17.850000000000001</v>
      </c>
      <c r="F78" s="30">
        <v>49.5</v>
      </c>
      <c r="G78" s="29">
        <v>49.5</v>
      </c>
      <c r="H78" s="28" t="s">
        <v>10773</v>
      </c>
      <c r="I78" s="27" t="s">
        <v>33</v>
      </c>
      <c r="J78" s="31" t="s">
        <v>40</v>
      </c>
      <c r="K78" s="27" t="s">
        <v>41</v>
      </c>
      <c r="L78" s="27" t="s">
        <v>80</v>
      </c>
      <c r="M78" s="32" t="str">
        <f>HYPERLINK("http://slimages.macys.com/is/image/MCY/3444739 ")</f>
        <v xml:space="preserve">http://slimages.macys.com/is/image/MCY/3444739 </v>
      </c>
    </row>
    <row r="79" spans="1:13" ht="15.2" customHeight="1" x14ac:dyDescent="0.2">
      <c r="A79" s="26" t="s">
        <v>10414</v>
      </c>
      <c r="B79" s="27" t="s">
        <v>10415</v>
      </c>
      <c r="C79" s="28">
        <v>1</v>
      </c>
      <c r="D79" s="29">
        <v>17.850000000000001</v>
      </c>
      <c r="E79" s="29">
        <v>17.850000000000001</v>
      </c>
      <c r="F79" s="30">
        <v>59.5</v>
      </c>
      <c r="G79" s="29">
        <v>59.5</v>
      </c>
      <c r="H79" s="28">
        <v>49008184</v>
      </c>
      <c r="I79" s="27" t="s">
        <v>1472</v>
      </c>
      <c r="J79" s="31" t="s">
        <v>40</v>
      </c>
      <c r="K79" s="27" t="s">
        <v>6</v>
      </c>
      <c r="L79" s="27" t="s">
        <v>7</v>
      </c>
      <c r="M79" s="32" t="str">
        <f>HYPERLINK("http://slimages.macys.com/is/image/MCY/3829154 ")</f>
        <v xml:space="preserve">http://slimages.macys.com/is/image/MCY/3829154 </v>
      </c>
    </row>
    <row r="80" spans="1:13" ht="15.2" customHeight="1" x14ac:dyDescent="0.2">
      <c r="A80" s="26" t="s">
        <v>10774</v>
      </c>
      <c r="B80" s="27" t="s">
        <v>10775</v>
      </c>
      <c r="C80" s="28">
        <v>1</v>
      </c>
      <c r="D80" s="29">
        <v>17.850000000000001</v>
      </c>
      <c r="E80" s="29">
        <v>17.850000000000001</v>
      </c>
      <c r="F80" s="30">
        <v>59.5</v>
      </c>
      <c r="G80" s="29">
        <v>59.5</v>
      </c>
      <c r="H80" s="28">
        <v>49008257</v>
      </c>
      <c r="I80" s="27" t="s">
        <v>82</v>
      </c>
      <c r="J80" s="31" t="s">
        <v>21</v>
      </c>
      <c r="K80" s="27" t="s">
        <v>6</v>
      </c>
      <c r="L80" s="27" t="s">
        <v>7</v>
      </c>
      <c r="M80" s="32" t="str">
        <f>HYPERLINK("http://slimages.macys.com/is/image/MCY/3894750 ")</f>
        <v xml:space="preserve">http://slimages.macys.com/is/image/MCY/3894750 </v>
      </c>
    </row>
    <row r="81" spans="1:13" ht="15.2" customHeight="1" x14ac:dyDescent="0.2">
      <c r="A81" s="26" t="s">
        <v>10776</v>
      </c>
      <c r="B81" s="27" t="s">
        <v>10777</v>
      </c>
      <c r="C81" s="28">
        <v>1</v>
      </c>
      <c r="D81" s="29">
        <v>17.7</v>
      </c>
      <c r="E81" s="29">
        <v>17.7</v>
      </c>
      <c r="F81" s="30">
        <v>59</v>
      </c>
      <c r="G81" s="29">
        <v>59</v>
      </c>
      <c r="H81" s="28">
        <v>60418455</v>
      </c>
      <c r="I81" s="27" t="s">
        <v>33</v>
      </c>
      <c r="J81" s="31"/>
      <c r="K81" s="27" t="s">
        <v>6</v>
      </c>
      <c r="L81" s="27" t="s">
        <v>7</v>
      </c>
      <c r="M81" s="32" t="str">
        <f>HYPERLINK("http://slimages.macys.com/is/image/MCY/3540010 ")</f>
        <v xml:space="preserve">http://slimages.macys.com/is/image/MCY/3540010 </v>
      </c>
    </row>
    <row r="82" spans="1:13" ht="15.2" customHeight="1" x14ac:dyDescent="0.2">
      <c r="A82" s="26" t="s">
        <v>10778</v>
      </c>
      <c r="B82" s="27" t="s">
        <v>10779</v>
      </c>
      <c r="C82" s="28">
        <v>1</v>
      </c>
      <c r="D82" s="29">
        <v>17.5</v>
      </c>
      <c r="E82" s="29">
        <v>17.5</v>
      </c>
      <c r="F82" s="30">
        <v>59</v>
      </c>
      <c r="G82" s="29">
        <v>59</v>
      </c>
      <c r="H82" s="28" t="s">
        <v>10780</v>
      </c>
      <c r="I82" s="27" t="s">
        <v>4</v>
      </c>
      <c r="J82" s="31" t="s">
        <v>52</v>
      </c>
      <c r="K82" s="27" t="s">
        <v>24</v>
      </c>
      <c r="L82" s="27" t="s">
        <v>101</v>
      </c>
      <c r="M82" s="32" t="str">
        <f>HYPERLINK("http://slimages.macys.com/is/image/MCY/3739999 ")</f>
        <v xml:space="preserve">http://slimages.macys.com/is/image/MCY/3739999 </v>
      </c>
    </row>
    <row r="83" spans="1:13" ht="15.2" customHeight="1" x14ac:dyDescent="0.2">
      <c r="A83" s="26" t="s">
        <v>9909</v>
      </c>
      <c r="B83" s="27" t="s">
        <v>9910</v>
      </c>
      <c r="C83" s="28">
        <v>1</v>
      </c>
      <c r="D83" s="29">
        <v>17.13</v>
      </c>
      <c r="E83" s="29">
        <v>17.13</v>
      </c>
      <c r="F83" s="30">
        <v>49.5</v>
      </c>
      <c r="G83" s="29">
        <v>49.5</v>
      </c>
      <c r="H83" s="28" t="s">
        <v>122</v>
      </c>
      <c r="I83" s="27" t="s">
        <v>4</v>
      </c>
      <c r="J83" s="31" t="s">
        <v>21</v>
      </c>
      <c r="K83" s="27" t="s">
        <v>53</v>
      </c>
      <c r="L83" s="27" t="s">
        <v>123</v>
      </c>
      <c r="M83" s="32" t="str">
        <f>HYPERLINK("http://slimages.macys.com/is/image/MCY/3761878 ")</f>
        <v xml:space="preserve">http://slimages.macys.com/is/image/MCY/3761878 </v>
      </c>
    </row>
    <row r="84" spans="1:13" ht="15.2" customHeight="1" x14ac:dyDescent="0.2">
      <c r="A84" s="26" t="s">
        <v>1751</v>
      </c>
      <c r="B84" s="27" t="s">
        <v>1752</v>
      </c>
      <c r="C84" s="28">
        <v>1</v>
      </c>
      <c r="D84" s="29">
        <v>17.02</v>
      </c>
      <c r="E84" s="29">
        <v>17.02</v>
      </c>
      <c r="F84" s="30">
        <v>46</v>
      </c>
      <c r="G84" s="29">
        <v>46</v>
      </c>
      <c r="H84" s="28" t="s">
        <v>1753</v>
      </c>
      <c r="I84" s="27" t="s">
        <v>82</v>
      </c>
      <c r="J84" s="31" t="s">
        <v>5</v>
      </c>
      <c r="K84" s="27" t="s">
        <v>989</v>
      </c>
      <c r="L84" s="27" t="s">
        <v>990</v>
      </c>
      <c r="M84" s="32" t="str">
        <f>HYPERLINK("http://slimages.macys.com/is/image/MCY/3625328 ")</f>
        <v xml:space="preserve">http://slimages.macys.com/is/image/MCY/3625328 </v>
      </c>
    </row>
    <row r="85" spans="1:13" ht="15.2" customHeight="1" x14ac:dyDescent="0.2">
      <c r="A85" s="26" t="s">
        <v>10781</v>
      </c>
      <c r="B85" s="27" t="s">
        <v>10782</v>
      </c>
      <c r="C85" s="28">
        <v>1</v>
      </c>
      <c r="D85" s="29">
        <v>17</v>
      </c>
      <c r="E85" s="29">
        <v>17</v>
      </c>
      <c r="F85" s="30">
        <v>34.99</v>
      </c>
      <c r="G85" s="29">
        <v>34.99</v>
      </c>
      <c r="H85" s="28" t="s">
        <v>6895</v>
      </c>
      <c r="I85" s="27" t="s">
        <v>4</v>
      </c>
      <c r="J85" s="31" t="s">
        <v>40</v>
      </c>
      <c r="K85" s="27" t="s">
        <v>70</v>
      </c>
      <c r="L85" s="27" t="s">
        <v>155</v>
      </c>
      <c r="M85" s="32" t="str">
        <f>HYPERLINK("http://slimages.macys.com/is/image/MCY/3811721 ")</f>
        <v xml:space="preserve">http://slimages.macys.com/is/image/MCY/3811721 </v>
      </c>
    </row>
    <row r="86" spans="1:13" ht="15.2" customHeight="1" x14ac:dyDescent="0.2">
      <c r="A86" s="26" t="s">
        <v>10783</v>
      </c>
      <c r="B86" s="27" t="s">
        <v>10784</v>
      </c>
      <c r="C86" s="28">
        <v>1</v>
      </c>
      <c r="D86" s="29">
        <v>16.75</v>
      </c>
      <c r="E86" s="29">
        <v>16.75</v>
      </c>
      <c r="F86" s="30">
        <v>41.99</v>
      </c>
      <c r="G86" s="29">
        <v>41.99</v>
      </c>
      <c r="H86" s="28" t="s">
        <v>7913</v>
      </c>
      <c r="I86" s="27" t="s">
        <v>271</v>
      </c>
      <c r="J86" s="31" t="s">
        <v>40</v>
      </c>
      <c r="K86" s="27" t="s">
        <v>70</v>
      </c>
      <c r="L86" s="27" t="s">
        <v>25</v>
      </c>
      <c r="M86" s="32" t="str">
        <f>HYPERLINK("http://slimages.macys.com/is/image/MCY/3937316 ")</f>
        <v xml:space="preserve">http://slimages.macys.com/is/image/MCY/3937316 </v>
      </c>
    </row>
    <row r="87" spans="1:13" ht="15.2" customHeight="1" x14ac:dyDescent="0.2">
      <c r="A87" s="26" t="s">
        <v>10785</v>
      </c>
      <c r="B87" s="27" t="s">
        <v>10786</v>
      </c>
      <c r="C87" s="28">
        <v>1</v>
      </c>
      <c r="D87" s="29">
        <v>16.53</v>
      </c>
      <c r="E87" s="29">
        <v>16.53</v>
      </c>
      <c r="F87" s="30">
        <v>49.5</v>
      </c>
      <c r="G87" s="29">
        <v>49.5</v>
      </c>
      <c r="H87" s="28" t="s">
        <v>9915</v>
      </c>
      <c r="I87" s="27" t="s">
        <v>82</v>
      </c>
      <c r="J87" s="31" t="s">
        <v>40</v>
      </c>
      <c r="K87" s="27" t="s">
        <v>53</v>
      </c>
      <c r="L87" s="27" t="s">
        <v>54</v>
      </c>
      <c r="M87" s="32" t="str">
        <f>HYPERLINK("http://slimages.macys.com/is/image/MCY/2759255 ")</f>
        <v xml:space="preserve">http://slimages.macys.com/is/image/MCY/2759255 </v>
      </c>
    </row>
    <row r="88" spans="1:13" ht="15.2" customHeight="1" x14ac:dyDescent="0.2">
      <c r="A88" s="26" t="s">
        <v>10787</v>
      </c>
      <c r="B88" s="27" t="s">
        <v>10788</v>
      </c>
      <c r="C88" s="28">
        <v>2</v>
      </c>
      <c r="D88" s="29">
        <v>16.5</v>
      </c>
      <c r="E88" s="29">
        <v>33</v>
      </c>
      <c r="F88" s="30">
        <v>39.99</v>
      </c>
      <c r="G88" s="29">
        <v>79.98</v>
      </c>
      <c r="H88" s="28" t="s">
        <v>8370</v>
      </c>
      <c r="I88" s="27" t="s">
        <v>274</v>
      </c>
      <c r="J88" s="31" t="s">
        <v>5</v>
      </c>
      <c r="K88" s="27" t="s">
        <v>70</v>
      </c>
      <c r="L88" s="27" t="s">
        <v>155</v>
      </c>
      <c r="M88" s="32" t="str">
        <f>HYPERLINK("http://slimages.macys.com/is/image/MCY/3738513 ")</f>
        <v xml:space="preserve">http://slimages.macys.com/is/image/MCY/3738513 </v>
      </c>
    </row>
    <row r="89" spans="1:13" ht="15.2" customHeight="1" x14ac:dyDescent="0.2">
      <c r="A89" s="26" t="s">
        <v>10789</v>
      </c>
      <c r="B89" s="27" t="s">
        <v>10790</v>
      </c>
      <c r="C89" s="28">
        <v>1</v>
      </c>
      <c r="D89" s="29">
        <v>16.5</v>
      </c>
      <c r="E89" s="29">
        <v>16.5</v>
      </c>
      <c r="F89" s="30">
        <v>39.99</v>
      </c>
      <c r="G89" s="29">
        <v>39.99</v>
      </c>
      <c r="H89" s="28" t="s">
        <v>1161</v>
      </c>
      <c r="I89" s="27" t="s">
        <v>10</v>
      </c>
      <c r="J89" s="31"/>
      <c r="K89" s="27" t="s">
        <v>70</v>
      </c>
      <c r="L89" s="27" t="s">
        <v>650</v>
      </c>
      <c r="M89" s="32" t="str">
        <f>HYPERLINK("http://slimages.macys.com/is/image/MCY/3773662 ")</f>
        <v xml:space="preserve">http://slimages.macys.com/is/image/MCY/3773662 </v>
      </c>
    </row>
    <row r="90" spans="1:13" ht="15.2" customHeight="1" x14ac:dyDescent="0.2">
      <c r="A90" s="26" t="s">
        <v>10791</v>
      </c>
      <c r="B90" s="27" t="s">
        <v>10792</v>
      </c>
      <c r="C90" s="28">
        <v>1</v>
      </c>
      <c r="D90" s="29">
        <v>16.5</v>
      </c>
      <c r="E90" s="29">
        <v>16.5</v>
      </c>
      <c r="F90" s="30">
        <v>39.99</v>
      </c>
      <c r="G90" s="29">
        <v>39.99</v>
      </c>
      <c r="H90" s="28" t="s">
        <v>8204</v>
      </c>
      <c r="I90" s="27" t="s">
        <v>2956</v>
      </c>
      <c r="J90" s="31" t="s">
        <v>52</v>
      </c>
      <c r="K90" s="27" t="s">
        <v>70</v>
      </c>
      <c r="L90" s="27" t="s">
        <v>101</v>
      </c>
      <c r="M90" s="32" t="str">
        <f>HYPERLINK("http://slimages.macys.com/is/image/MCY/3724218 ")</f>
        <v xml:space="preserve">http://slimages.macys.com/is/image/MCY/3724218 </v>
      </c>
    </row>
    <row r="91" spans="1:13" ht="15.2" customHeight="1" x14ac:dyDescent="0.2">
      <c r="A91" s="26" t="s">
        <v>8600</v>
      </c>
      <c r="B91" s="27" t="s">
        <v>8601</v>
      </c>
      <c r="C91" s="28">
        <v>1</v>
      </c>
      <c r="D91" s="29">
        <v>16.25</v>
      </c>
      <c r="E91" s="29">
        <v>16.25</v>
      </c>
      <c r="F91" s="30">
        <v>40</v>
      </c>
      <c r="G91" s="29">
        <v>40</v>
      </c>
      <c r="H91" s="28" t="s">
        <v>8602</v>
      </c>
      <c r="I91" s="27" t="s">
        <v>59</v>
      </c>
      <c r="J91" s="31" t="s">
        <v>172</v>
      </c>
      <c r="K91" s="27" t="s">
        <v>70</v>
      </c>
      <c r="L91" s="27" t="s">
        <v>999</v>
      </c>
      <c r="M91" s="32" t="str">
        <f>HYPERLINK("http://slimages.macys.com/is/image/MCY/3723533 ")</f>
        <v xml:space="preserve">http://slimages.macys.com/is/image/MCY/3723533 </v>
      </c>
    </row>
    <row r="92" spans="1:13" ht="15.2" customHeight="1" x14ac:dyDescent="0.2">
      <c r="A92" s="26" t="s">
        <v>6912</v>
      </c>
      <c r="B92" s="27" t="s">
        <v>6913</v>
      </c>
      <c r="C92" s="28">
        <v>1</v>
      </c>
      <c r="D92" s="29">
        <v>16.239999999999998</v>
      </c>
      <c r="E92" s="29">
        <v>16.239999999999998</v>
      </c>
      <c r="F92" s="30">
        <v>44.5</v>
      </c>
      <c r="G92" s="29">
        <v>44.5</v>
      </c>
      <c r="H92" s="28">
        <v>40329</v>
      </c>
      <c r="I92" s="27" t="s">
        <v>94</v>
      </c>
      <c r="J92" s="31" t="s">
        <v>21</v>
      </c>
      <c r="K92" s="27" t="s">
        <v>41</v>
      </c>
      <c r="L92" s="27" t="s">
        <v>90</v>
      </c>
      <c r="M92" s="32" t="str">
        <f>HYPERLINK("http://slimages.macys.com/is/image/MCY/3774436 ")</f>
        <v xml:space="preserve">http://slimages.macys.com/is/image/MCY/3774436 </v>
      </c>
    </row>
    <row r="93" spans="1:13" ht="15.2" customHeight="1" x14ac:dyDescent="0.2">
      <c r="A93" s="26" t="s">
        <v>2108</v>
      </c>
      <c r="B93" s="27" t="s">
        <v>2109</v>
      </c>
      <c r="C93" s="28">
        <v>1</v>
      </c>
      <c r="D93" s="29">
        <v>16.239999999999998</v>
      </c>
      <c r="E93" s="29">
        <v>16.239999999999998</v>
      </c>
      <c r="F93" s="30">
        <v>44.5</v>
      </c>
      <c r="G93" s="29">
        <v>44.5</v>
      </c>
      <c r="H93" s="28" t="s">
        <v>141</v>
      </c>
      <c r="I93" s="27" t="s">
        <v>22</v>
      </c>
      <c r="J93" s="31" t="s">
        <v>52</v>
      </c>
      <c r="K93" s="27" t="s">
        <v>41</v>
      </c>
      <c r="L93" s="27" t="s">
        <v>45</v>
      </c>
      <c r="M93" s="32" t="str">
        <f>HYPERLINK("http://slimages.macys.com/is/image/MCY/3802073 ")</f>
        <v xml:space="preserve">http://slimages.macys.com/is/image/MCY/3802073 </v>
      </c>
    </row>
    <row r="94" spans="1:13" ht="15.2" customHeight="1" x14ac:dyDescent="0.2">
      <c r="A94" s="26" t="s">
        <v>7370</v>
      </c>
      <c r="B94" s="27" t="s">
        <v>7371</v>
      </c>
      <c r="C94" s="28">
        <v>1</v>
      </c>
      <c r="D94" s="29">
        <v>16.239999999999998</v>
      </c>
      <c r="E94" s="29">
        <v>16.239999999999998</v>
      </c>
      <c r="F94" s="30">
        <v>44.5</v>
      </c>
      <c r="G94" s="29">
        <v>44.5</v>
      </c>
      <c r="H94" s="28" t="s">
        <v>141</v>
      </c>
      <c r="I94" s="27" t="s">
        <v>82</v>
      </c>
      <c r="J94" s="31" t="s">
        <v>21</v>
      </c>
      <c r="K94" s="27" t="s">
        <v>41</v>
      </c>
      <c r="L94" s="27" t="s">
        <v>45</v>
      </c>
      <c r="M94" s="32" t="str">
        <f>HYPERLINK("http://slimages.macys.com/is/image/MCY/3802073 ")</f>
        <v xml:space="preserve">http://slimages.macys.com/is/image/MCY/3802073 </v>
      </c>
    </row>
    <row r="95" spans="1:13" ht="15.2" customHeight="1" x14ac:dyDescent="0.2">
      <c r="A95" s="26" t="s">
        <v>10793</v>
      </c>
      <c r="B95" s="27" t="s">
        <v>10794</v>
      </c>
      <c r="C95" s="28">
        <v>1</v>
      </c>
      <c r="D95" s="29">
        <v>16</v>
      </c>
      <c r="E95" s="29">
        <v>16</v>
      </c>
      <c r="F95" s="30">
        <v>38.99</v>
      </c>
      <c r="G95" s="29">
        <v>38.99</v>
      </c>
      <c r="H95" s="28">
        <v>1151116</v>
      </c>
      <c r="I95" s="27" t="s">
        <v>248</v>
      </c>
      <c r="J95" s="31" t="s">
        <v>21</v>
      </c>
      <c r="K95" s="27" t="s">
        <v>70</v>
      </c>
      <c r="L95" s="27" t="s">
        <v>155</v>
      </c>
      <c r="M95" s="32" t="str">
        <f>HYPERLINK("http://slimages.macys.com/is/image/MCY/3690377 ")</f>
        <v xml:space="preserve">http://slimages.macys.com/is/image/MCY/3690377 </v>
      </c>
    </row>
    <row r="96" spans="1:13" ht="15.2" customHeight="1" x14ac:dyDescent="0.2">
      <c r="A96" s="26" t="s">
        <v>10795</v>
      </c>
      <c r="B96" s="27" t="s">
        <v>10796</v>
      </c>
      <c r="C96" s="28">
        <v>1</v>
      </c>
      <c r="D96" s="29">
        <v>15.75</v>
      </c>
      <c r="E96" s="29">
        <v>15.75</v>
      </c>
      <c r="F96" s="30">
        <v>49</v>
      </c>
      <c r="G96" s="29">
        <v>49</v>
      </c>
      <c r="H96" s="28" t="s">
        <v>1166</v>
      </c>
      <c r="I96" s="27" t="s">
        <v>377</v>
      </c>
      <c r="J96" s="31" t="s">
        <v>5</v>
      </c>
      <c r="K96" s="27" t="s">
        <v>37</v>
      </c>
      <c r="L96" s="27" t="s">
        <v>38</v>
      </c>
      <c r="M96" s="32" t="str">
        <f>HYPERLINK("http://slimages.macys.com/is/image/MCY/3670401 ")</f>
        <v xml:space="preserve">http://slimages.macys.com/is/image/MCY/3670401 </v>
      </c>
    </row>
    <row r="97" spans="1:13" ht="15.2" customHeight="1" x14ac:dyDescent="0.2">
      <c r="A97" s="26" t="s">
        <v>10797</v>
      </c>
      <c r="B97" s="27" t="s">
        <v>10798</v>
      </c>
      <c r="C97" s="28">
        <v>1</v>
      </c>
      <c r="D97" s="29">
        <v>15.75</v>
      </c>
      <c r="E97" s="29">
        <v>15.75</v>
      </c>
      <c r="F97" s="30">
        <v>49</v>
      </c>
      <c r="G97" s="29">
        <v>49</v>
      </c>
      <c r="H97" s="28" t="s">
        <v>712</v>
      </c>
      <c r="I97" s="27" t="s">
        <v>94</v>
      </c>
      <c r="J97" s="31" t="s">
        <v>71</v>
      </c>
      <c r="K97" s="27" t="s">
        <v>37</v>
      </c>
      <c r="L97" s="27" t="s">
        <v>38</v>
      </c>
      <c r="M97" s="32" t="str">
        <f>HYPERLINK("http://slimages.macys.com/is/image/MCY/3667771 ")</f>
        <v xml:space="preserve">http://slimages.macys.com/is/image/MCY/3667771 </v>
      </c>
    </row>
    <row r="98" spans="1:13" ht="15.2" customHeight="1" x14ac:dyDescent="0.2">
      <c r="A98" s="26" t="s">
        <v>10799</v>
      </c>
      <c r="B98" s="27" t="s">
        <v>10800</v>
      </c>
      <c r="C98" s="28">
        <v>1</v>
      </c>
      <c r="D98" s="29">
        <v>15</v>
      </c>
      <c r="E98" s="29">
        <v>15</v>
      </c>
      <c r="F98" s="30">
        <v>27.99</v>
      </c>
      <c r="G98" s="29">
        <v>27.99</v>
      </c>
      <c r="H98" s="28" t="s">
        <v>8773</v>
      </c>
      <c r="I98" s="27" t="s">
        <v>152</v>
      </c>
      <c r="J98" s="31" t="s">
        <v>71</v>
      </c>
      <c r="K98" s="27" t="s">
        <v>224</v>
      </c>
      <c r="L98" s="27" t="s">
        <v>254</v>
      </c>
      <c r="M98" s="32" t="str">
        <f>HYPERLINK("http://slimages.macys.com/is/image/MCY/3905725 ")</f>
        <v xml:space="preserve">http://slimages.macys.com/is/image/MCY/3905725 </v>
      </c>
    </row>
    <row r="99" spans="1:13" ht="15.2" customHeight="1" x14ac:dyDescent="0.2">
      <c r="A99" s="26" t="s">
        <v>10024</v>
      </c>
      <c r="B99" s="27" t="s">
        <v>10025</v>
      </c>
      <c r="C99" s="28">
        <v>1</v>
      </c>
      <c r="D99" s="29">
        <v>15</v>
      </c>
      <c r="E99" s="29">
        <v>15</v>
      </c>
      <c r="F99" s="30">
        <v>39.5</v>
      </c>
      <c r="G99" s="29">
        <v>39.5</v>
      </c>
      <c r="H99" s="28" t="s">
        <v>718</v>
      </c>
      <c r="I99" s="27" t="s">
        <v>285</v>
      </c>
      <c r="J99" s="31" t="s">
        <v>40</v>
      </c>
      <c r="K99" s="27" t="s">
        <v>17</v>
      </c>
      <c r="L99" s="27" t="s">
        <v>18</v>
      </c>
      <c r="M99" s="32" t="str">
        <f>HYPERLINK("http://slimages.macys.com/is/image/MCY/3895640 ")</f>
        <v xml:space="preserve">http://slimages.macys.com/is/image/MCY/3895640 </v>
      </c>
    </row>
    <row r="100" spans="1:13" ht="15.2" customHeight="1" x14ac:dyDescent="0.2">
      <c r="A100" s="26" t="s">
        <v>10022</v>
      </c>
      <c r="B100" s="27" t="s">
        <v>10023</v>
      </c>
      <c r="C100" s="28">
        <v>1</v>
      </c>
      <c r="D100" s="29">
        <v>15</v>
      </c>
      <c r="E100" s="29">
        <v>15</v>
      </c>
      <c r="F100" s="30">
        <v>39.5</v>
      </c>
      <c r="G100" s="29">
        <v>39.5</v>
      </c>
      <c r="H100" s="28" t="s">
        <v>718</v>
      </c>
      <c r="I100" s="27" t="s">
        <v>285</v>
      </c>
      <c r="J100" s="31" t="s">
        <v>21</v>
      </c>
      <c r="K100" s="27" t="s">
        <v>17</v>
      </c>
      <c r="L100" s="27" t="s">
        <v>18</v>
      </c>
      <c r="M100" s="32" t="str">
        <f>HYPERLINK("http://slimages.macys.com/is/image/MCY/3895640 ")</f>
        <v xml:space="preserve">http://slimages.macys.com/is/image/MCY/3895640 </v>
      </c>
    </row>
    <row r="101" spans="1:13" ht="15.2" customHeight="1" x14ac:dyDescent="0.2">
      <c r="A101" s="26" t="s">
        <v>10801</v>
      </c>
      <c r="B101" s="27" t="s">
        <v>10802</v>
      </c>
      <c r="C101" s="28">
        <v>1</v>
      </c>
      <c r="D101" s="29">
        <v>15</v>
      </c>
      <c r="E101" s="29">
        <v>15</v>
      </c>
      <c r="F101" s="30">
        <v>39.5</v>
      </c>
      <c r="G101" s="29">
        <v>39.5</v>
      </c>
      <c r="H101" s="28" t="s">
        <v>718</v>
      </c>
      <c r="I101" s="27" t="s">
        <v>285</v>
      </c>
      <c r="J101" s="31" t="s">
        <v>71</v>
      </c>
      <c r="K101" s="27" t="s">
        <v>17</v>
      </c>
      <c r="L101" s="27" t="s">
        <v>18</v>
      </c>
      <c r="M101" s="32" t="str">
        <f>HYPERLINK("http://slimages.macys.com/is/image/MCY/3895640 ")</f>
        <v xml:space="preserve">http://slimages.macys.com/is/image/MCY/3895640 </v>
      </c>
    </row>
    <row r="102" spans="1:13" ht="15.2" customHeight="1" x14ac:dyDescent="0.2">
      <c r="A102" s="26" t="s">
        <v>1177</v>
      </c>
      <c r="B102" s="27" t="s">
        <v>1178</v>
      </c>
      <c r="C102" s="28">
        <v>1</v>
      </c>
      <c r="D102" s="29">
        <v>14.5</v>
      </c>
      <c r="E102" s="29">
        <v>14.5</v>
      </c>
      <c r="F102" s="30">
        <v>34.99</v>
      </c>
      <c r="G102" s="29">
        <v>34.99</v>
      </c>
      <c r="H102" s="28" t="s">
        <v>1179</v>
      </c>
      <c r="I102" s="27" t="s">
        <v>1</v>
      </c>
      <c r="J102" s="31" t="s">
        <v>214</v>
      </c>
      <c r="K102" s="27" t="s">
        <v>200</v>
      </c>
      <c r="L102" s="27" t="s">
        <v>133</v>
      </c>
      <c r="M102" s="32" t="str">
        <f>HYPERLINK("http://slimages.macys.com/is/image/MCY/3652528 ")</f>
        <v xml:space="preserve">http://slimages.macys.com/is/image/MCY/3652528 </v>
      </c>
    </row>
    <row r="103" spans="1:13" ht="15.2" customHeight="1" x14ac:dyDescent="0.2">
      <c r="A103" s="26" t="s">
        <v>10803</v>
      </c>
      <c r="B103" s="27" t="s">
        <v>10804</v>
      </c>
      <c r="C103" s="28">
        <v>2</v>
      </c>
      <c r="D103" s="29">
        <v>14.5</v>
      </c>
      <c r="E103" s="29">
        <v>29</v>
      </c>
      <c r="F103" s="30">
        <v>34.99</v>
      </c>
      <c r="G103" s="29">
        <v>69.98</v>
      </c>
      <c r="H103" s="28" t="s">
        <v>732</v>
      </c>
      <c r="I103" s="27" t="s">
        <v>59</v>
      </c>
      <c r="J103" s="31" t="s">
        <v>210</v>
      </c>
      <c r="K103" s="27" t="s">
        <v>200</v>
      </c>
      <c r="L103" s="27" t="s">
        <v>133</v>
      </c>
      <c r="M103" s="32" t="str">
        <f>HYPERLINK("http://slimages.macys.com/is/image/MCY/3695485 ")</f>
        <v xml:space="preserve">http://slimages.macys.com/is/image/MCY/3695485 </v>
      </c>
    </row>
    <row r="104" spans="1:13" ht="15.2" customHeight="1" x14ac:dyDescent="0.2">
      <c r="A104" s="26" t="s">
        <v>1182</v>
      </c>
      <c r="B104" s="27" t="s">
        <v>1183</v>
      </c>
      <c r="C104" s="28">
        <v>1</v>
      </c>
      <c r="D104" s="29">
        <v>14.5</v>
      </c>
      <c r="E104" s="29">
        <v>14.5</v>
      </c>
      <c r="F104" s="30">
        <v>34.99</v>
      </c>
      <c r="G104" s="29">
        <v>34.99</v>
      </c>
      <c r="H104" s="28" t="s">
        <v>732</v>
      </c>
      <c r="I104" s="27" t="s">
        <v>82</v>
      </c>
      <c r="J104" s="31" t="s">
        <v>113</v>
      </c>
      <c r="K104" s="27" t="s">
        <v>200</v>
      </c>
      <c r="L104" s="27" t="s">
        <v>133</v>
      </c>
      <c r="M104" s="32" t="str">
        <f>HYPERLINK("http://slimages.macys.com/is/image/MCY/3206673 ")</f>
        <v xml:space="preserve">http://slimages.macys.com/is/image/MCY/3206673 </v>
      </c>
    </row>
    <row r="105" spans="1:13" ht="15.2" customHeight="1" x14ac:dyDescent="0.2">
      <c r="A105" s="26" t="s">
        <v>7506</v>
      </c>
      <c r="B105" s="27" t="s">
        <v>7507</v>
      </c>
      <c r="C105" s="28">
        <v>1</v>
      </c>
      <c r="D105" s="29">
        <v>14.5</v>
      </c>
      <c r="E105" s="29">
        <v>14.5</v>
      </c>
      <c r="F105" s="30">
        <v>34.99</v>
      </c>
      <c r="G105" s="29">
        <v>34.99</v>
      </c>
      <c r="H105" s="28" t="s">
        <v>1179</v>
      </c>
      <c r="I105" s="27" t="s">
        <v>82</v>
      </c>
      <c r="J105" s="31" t="s">
        <v>23</v>
      </c>
      <c r="K105" s="27" t="s">
        <v>200</v>
      </c>
      <c r="L105" s="27" t="s">
        <v>133</v>
      </c>
      <c r="M105" s="32" t="str">
        <f>HYPERLINK("http://slimages.macys.com/is/image/MCY/3652528 ")</f>
        <v xml:space="preserve">http://slimages.macys.com/is/image/MCY/3652528 </v>
      </c>
    </row>
    <row r="106" spans="1:13" ht="15.2" customHeight="1" x14ac:dyDescent="0.2">
      <c r="A106" s="26" t="s">
        <v>10805</v>
      </c>
      <c r="B106" s="27" t="s">
        <v>10806</v>
      </c>
      <c r="C106" s="28">
        <v>1</v>
      </c>
      <c r="D106" s="29">
        <v>14.5</v>
      </c>
      <c r="E106" s="29">
        <v>14.5</v>
      </c>
      <c r="F106" s="30">
        <v>34.99</v>
      </c>
      <c r="G106" s="29">
        <v>34.99</v>
      </c>
      <c r="H106" s="28" t="s">
        <v>8604</v>
      </c>
      <c r="I106" s="27" t="s">
        <v>82</v>
      </c>
      <c r="J106" s="31" t="s">
        <v>230</v>
      </c>
      <c r="K106" s="27" t="s">
        <v>200</v>
      </c>
      <c r="L106" s="27" t="s">
        <v>133</v>
      </c>
      <c r="M106" s="32" t="str">
        <f>HYPERLINK("http://slimages.macys.com/is/image/MCY/3672142 ")</f>
        <v xml:space="preserve">http://slimages.macys.com/is/image/MCY/3672142 </v>
      </c>
    </row>
    <row r="107" spans="1:13" ht="15.2" customHeight="1" x14ac:dyDescent="0.2">
      <c r="A107" s="26" t="s">
        <v>10807</v>
      </c>
      <c r="B107" s="27" t="s">
        <v>10808</v>
      </c>
      <c r="C107" s="28">
        <v>1</v>
      </c>
      <c r="D107" s="29">
        <v>14.5</v>
      </c>
      <c r="E107" s="29">
        <v>14.5</v>
      </c>
      <c r="F107" s="30">
        <v>34.99</v>
      </c>
      <c r="G107" s="29">
        <v>34.99</v>
      </c>
      <c r="H107" s="28" t="s">
        <v>732</v>
      </c>
      <c r="I107" s="27" t="s">
        <v>59</v>
      </c>
      <c r="J107" s="31" t="s">
        <v>216</v>
      </c>
      <c r="K107" s="27" t="s">
        <v>200</v>
      </c>
      <c r="L107" s="27" t="s">
        <v>133</v>
      </c>
      <c r="M107" s="32" t="str">
        <f>HYPERLINK("http://slimages.macys.com/is/image/MCY/3695485 ")</f>
        <v xml:space="preserve">http://slimages.macys.com/is/image/MCY/3695485 </v>
      </c>
    </row>
    <row r="108" spans="1:13" ht="15.2" customHeight="1" x14ac:dyDescent="0.2">
      <c r="A108" s="26" t="s">
        <v>7650</v>
      </c>
      <c r="B108" s="27" t="s">
        <v>7651</v>
      </c>
      <c r="C108" s="28">
        <v>1</v>
      </c>
      <c r="D108" s="29">
        <v>14.5</v>
      </c>
      <c r="E108" s="29">
        <v>14.5</v>
      </c>
      <c r="F108" s="30">
        <v>34.99</v>
      </c>
      <c r="G108" s="29">
        <v>34.99</v>
      </c>
      <c r="H108" s="28" t="s">
        <v>732</v>
      </c>
      <c r="I108" s="27" t="s">
        <v>82</v>
      </c>
      <c r="J108" s="31" t="s">
        <v>69</v>
      </c>
      <c r="K108" s="27" t="s">
        <v>200</v>
      </c>
      <c r="L108" s="27" t="s">
        <v>133</v>
      </c>
      <c r="M108" s="32" t="str">
        <f>HYPERLINK("http://slimages.macys.com/is/image/MCY/3206673 ")</f>
        <v xml:space="preserve">http://slimages.macys.com/is/image/MCY/3206673 </v>
      </c>
    </row>
    <row r="109" spans="1:13" ht="15.2" customHeight="1" x14ac:dyDescent="0.2">
      <c r="A109" s="26" t="s">
        <v>8776</v>
      </c>
      <c r="B109" s="27" t="s">
        <v>8777</v>
      </c>
      <c r="C109" s="28">
        <v>1</v>
      </c>
      <c r="D109" s="29">
        <v>14.49</v>
      </c>
      <c r="E109" s="29">
        <v>14.49</v>
      </c>
      <c r="F109" s="30">
        <v>39.5</v>
      </c>
      <c r="G109" s="29">
        <v>39.5</v>
      </c>
      <c r="H109" s="28" t="s">
        <v>8605</v>
      </c>
      <c r="I109" s="27" t="s">
        <v>82</v>
      </c>
      <c r="J109" s="31" t="s">
        <v>40</v>
      </c>
      <c r="K109" s="27" t="s">
        <v>53</v>
      </c>
      <c r="L109" s="27" t="s">
        <v>54</v>
      </c>
      <c r="M109" s="32" t="str">
        <f>HYPERLINK("http://slimages.macys.com/is/image/MCY/3547385 ")</f>
        <v xml:space="preserve">http://slimages.macys.com/is/image/MCY/3547385 </v>
      </c>
    </row>
    <row r="110" spans="1:13" ht="15.2" customHeight="1" x14ac:dyDescent="0.2">
      <c r="A110" s="26" t="s">
        <v>10809</v>
      </c>
      <c r="B110" s="27" t="s">
        <v>10810</v>
      </c>
      <c r="C110" s="28">
        <v>1</v>
      </c>
      <c r="D110" s="29">
        <v>14.41</v>
      </c>
      <c r="E110" s="29">
        <v>14.41</v>
      </c>
      <c r="F110" s="30">
        <v>39.5</v>
      </c>
      <c r="G110" s="29">
        <v>39.5</v>
      </c>
      <c r="H110" s="28" t="s">
        <v>735</v>
      </c>
      <c r="I110" s="27" t="s">
        <v>4</v>
      </c>
      <c r="J110" s="31" t="s">
        <v>5</v>
      </c>
      <c r="K110" s="27" t="s">
        <v>41</v>
      </c>
      <c r="L110" s="27" t="s">
        <v>45</v>
      </c>
      <c r="M110" s="32" t="str">
        <f>HYPERLINK("http://slimages.macys.com/is/image/MCY/3810736 ")</f>
        <v xml:space="preserve">http://slimages.macys.com/is/image/MCY/3810736 </v>
      </c>
    </row>
    <row r="111" spans="1:13" ht="15.2" customHeight="1" x14ac:dyDescent="0.2">
      <c r="A111" s="26" t="s">
        <v>10811</v>
      </c>
      <c r="B111" s="27" t="s">
        <v>10812</v>
      </c>
      <c r="C111" s="28">
        <v>1</v>
      </c>
      <c r="D111" s="29">
        <v>14.4</v>
      </c>
      <c r="E111" s="29">
        <v>14.4</v>
      </c>
      <c r="F111" s="30">
        <v>39.5</v>
      </c>
      <c r="G111" s="29">
        <v>39.5</v>
      </c>
      <c r="H111" s="28">
        <v>49651</v>
      </c>
      <c r="I111" s="27" t="s">
        <v>82</v>
      </c>
      <c r="J111" s="31" t="s">
        <v>5</v>
      </c>
      <c r="K111" s="27" t="s">
        <v>41</v>
      </c>
      <c r="L111" s="27" t="s">
        <v>80</v>
      </c>
      <c r="M111" s="32" t="str">
        <f>HYPERLINK("http://slimages.macys.com/is/image/MCY/3774608 ")</f>
        <v xml:space="preserve">http://slimages.macys.com/is/image/MCY/3774608 </v>
      </c>
    </row>
    <row r="112" spans="1:13" ht="15.2" customHeight="1" x14ac:dyDescent="0.2">
      <c r="A112" s="26" t="s">
        <v>10813</v>
      </c>
      <c r="B112" s="27" t="s">
        <v>10814</v>
      </c>
      <c r="C112" s="28">
        <v>1</v>
      </c>
      <c r="D112" s="29">
        <v>14</v>
      </c>
      <c r="E112" s="29">
        <v>14</v>
      </c>
      <c r="F112" s="30">
        <v>59</v>
      </c>
      <c r="G112" s="29">
        <v>59</v>
      </c>
      <c r="H112" s="28" t="s">
        <v>2852</v>
      </c>
      <c r="I112" s="27" t="s">
        <v>26</v>
      </c>
      <c r="J112" s="31" t="s">
        <v>52</v>
      </c>
      <c r="K112" s="27" t="s">
        <v>154</v>
      </c>
      <c r="L112" s="27" t="s">
        <v>155</v>
      </c>
      <c r="M112" s="32" t="str">
        <f>HYPERLINK("http://slimages.macys.com/is/image/MCY/3721265 ")</f>
        <v xml:space="preserve">http://slimages.macys.com/is/image/MCY/3721265 </v>
      </c>
    </row>
    <row r="113" spans="1:13" ht="15.2" customHeight="1" x14ac:dyDescent="0.2">
      <c r="A113" s="26" t="s">
        <v>10815</v>
      </c>
      <c r="B113" s="27" t="s">
        <v>10816</v>
      </c>
      <c r="C113" s="28">
        <v>1</v>
      </c>
      <c r="D113" s="29">
        <v>14</v>
      </c>
      <c r="E113" s="29">
        <v>14</v>
      </c>
      <c r="F113" s="30">
        <v>44</v>
      </c>
      <c r="G113" s="29">
        <v>44</v>
      </c>
      <c r="H113" s="28" t="s">
        <v>1187</v>
      </c>
      <c r="I113" s="27" t="s">
        <v>36</v>
      </c>
      <c r="J113" s="31" t="s">
        <v>21</v>
      </c>
      <c r="K113" s="27" t="s">
        <v>37</v>
      </c>
      <c r="L113" s="27" t="s">
        <v>38</v>
      </c>
      <c r="M113" s="32" t="str">
        <f>HYPERLINK("http://slimages.macys.com/is/image/MCY/3520282 ")</f>
        <v xml:space="preserve">http://slimages.macys.com/is/image/MCY/3520282 </v>
      </c>
    </row>
    <row r="114" spans="1:13" ht="15.2" customHeight="1" x14ac:dyDescent="0.2">
      <c r="A114" s="26" t="s">
        <v>9799</v>
      </c>
      <c r="B114" s="27" t="s">
        <v>9800</v>
      </c>
      <c r="C114" s="28">
        <v>1</v>
      </c>
      <c r="D114" s="29">
        <v>14</v>
      </c>
      <c r="E114" s="29">
        <v>14</v>
      </c>
      <c r="F114" s="30">
        <v>34.99</v>
      </c>
      <c r="G114" s="29">
        <v>34.99</v>
      </c>
      <c r="H114" s="28" t="s">
        <v>8266</v>
      </c>
      <c r="I114" s="27" t="s">
        <v>280</v>
      </c>
      <c r="J114" s="31" t="s">
        <v>40</v>
      </c>
      <c r="K114" s="27" t="s">
        <v>70</v>
      </c>
      <c r="L114" s="27" t="s">
        <v>128</v>
      </c>
      <c r="M114" s="32" t="str">
        <f>HYPERLINK("http://slimages.macys.com/is/image/MCY/3898817 ")</f>
        <v xml:space="preserve">http://slimages.macys.com/is/image/MCY/3898817 </v>
      </c>
    </row>
    <row r="115" spans="1:13" ht="15.2" customHeight="1" x14ac:dyDescent="0.2">
      <c r="A115" s="26" t="s">
        <v>10817</v>
      </c>
      <c r="B115" s="27" t="s">
        <v>10818</v>
      </c>
      <c r="C115" s="28">
        <v>1</v>
      </c>
      <c r="D115" s="29">
        <v>14</v>
      </c>
      <c r="E115" s="29">
        <v>14</v>
      </c>
      <c r="F115" s="30">
        <v>44</v>
      </c>
      <c r="G115" s="29">
        <v>44</v>
      </c>
      <c r="H115" s="28" t="s">
        <v>10819</v>
      </c>
      <c r="I115" s="27" t="s">
        <v>4</v>
      </c>
      <c r="J115" s="31" t="s">
        <v>52</v>
      </c>
      <c r="K115" s="27" t="s">
        <v>37</v>
      </c>
      <c r="L115" s="27" t="s">
        <v>38</v>
      </c>
      <c r="M115" s="32" t="str">
        <f>HYPERLINK("http://slimages.macys.com/is/image/MCY/3670412 ")</f>
        <v xml:space="preserve">http://slimages.macys.com/is/image/MCY/3670412 </v>
      </c>
    </row>
    <row r="116" spans="1:13" ht="15.2" customHeight="1" x14ac:dyDescent="0.2">
      <c r="A116" s="26" t="s">
        <v>10820</v>
      </c>
      <c r="B116" s="27" t="s">
        <v>10821</v>
      </c>
      <c r="C116" s="28">
        <v>1</v>
      </c>
      <c r="D116" s="29">
        <v>13.75</v>
      </c>
      <c r="E116" s="29">
        <v>13.75</v>
      </c>
      <c r="F116" s="30">
        <v>39.5</v>
      </c>
      <c r="G116" s="29">
        <v>39.5</v>
      </c>
      <c r="H116" s="28" t="s">
        <v>736</v>
      </c>
      <c r="I116" s="27" t="s">
        <v>4</v>
      </c>
      <c r="J116" s="31" t="s">
        <v>21</v>
      </c>
      <c r="K116" s="27" t="s">
        <v>53</v>
      </c>
      <c r="L116" s="27" t="s">
        <v>123</v>
      </c>
      <c r="M116" s="32" t="str">
        <f>HYPERLINK("http://slimages.macys.com/is/image/MCY/3399725 ")</f>
        <v xml:space="preserve">http://slimages.macys.com/is/image/MCY/3399725 </v>
      </c>
    </row>
    <row r="117" spans="1:13" ht="15.2" customHeight="1" x14ac:dyDescent="0.2">
      <c r="A117" s="26" t="s">
        <v>7509</v>
      </c>
      <c r="B117" s="27" t="s">
        <v>7510</v>
      </c>
      <c r="C117" s="28">
        <v>1</v>
      </c>
      <c r="D117" s="29">
        <v>13.75</v>
      </c>
      <c r="E117" s="29">
        <v>13.75</v>
      </c>
      <c r="F117" s="30">
        <v>39.5</v>
      </c>
      <c r="G117" s="29">
        <v>39.5</v>
      </c>
      <c r="H117" s="28" t="s">
        <v>7511</v>
      </c>
      <c r="I117" s="27" t="s">
        <v>343</v>
      </c>
      <c r="J117" s="31" t="s">
        <v>5</v>
      </c>
      <c r="K117" s="27" t="s">
        <v>53</v>
      </c>
      <c r="L117" s="27" t="s">
        <v>123</v>
      </c>
      <c r="M117" s="32" t="str">
        <f>HYPERLINK("http://slimages.macys.com/is/image/MCY/3399725 ")</f>
        <v xml:space="preserve">http://slimages.macys.com/is/image/MCY/3399725 </v>
      </c>
    </row>
    <row r="118" spans="1:13" ht="15.2" customHeight="1" x14ac:dyDescent="0.2">
      <c r="A118" s="26" t="s">
        <v>5420</v>
      </c>
      <c r="B118" s="27" t="s">
        <v>5421</v>
      </c>
      <c r="C118" s="28">
        <v>3</v>
      </c>
      <c r="D118" s="29">
        <v>13.5</v>
      </c>
      <c r="E118" s="29">
        <v>40.5</v>
      </c>
      <c r="F118" s="30">
        <v>29.99</v>
      </c>
      <c r="G118" s="29">
        <v>89.97</v>
      </c>
      <c r="H118" s="28" t="s">
        <v>739</v>
      </c>
      <c r="I118" s="27" t="s">
        <v>189</v>
      </c>
      <c r="J118" s="31" t="s">
        <v>113</v>
      </c>
      <c r="K118" s="27" t="s">
        <v>200</v>
      </c>
      <c r="L118" s="27" t="s">
        <v>133</v>
      </c>
      <c r="M118" s="32" t="str">
        <f>HYPERLINK("http://slimages.macys.com/is/image/MCY/3866347 ")</f>
        <v xml:space="preserve">http://slimages.macys.com/is/image/MCY/3866347 </v>
      </c>
    </row>
    <row r="119" spans="1:13" ht="15.2" customHeight="1" x14ac:dyDescent="0.2">
      <c r="A119" s="26" t="s">
        <v>1781</v>
      </c>
      <c r="B119" s="27" t="s">
        <v>1782</v>
      </c>
      <c r="C119" s="28">
        <v>1</v>
      </c>
      <c r="D119" s="29">
        <v>13.5</v>
      </c>
      <c r="E119" s="29">
        <v>13.5</v>
      </c>
      <c r="F119" s="30">
        <v>29.99</v>
      </c>
      <c r="G119" s="29">
        <v>29.99</v>
      </c>
      <c r="H119" s="28" t="s">
        <v>739</v>
      </c>
      <c r="I119" s="27" t="s">
        <v>189</v>
      </c>
      <c r="J119" s="31" t="s">
        <v>205</v>
      </c>
      <c r="K119" s="27" t="s">
        <v>200</v>
      </c>
      <c r="L119" s="27" t="s">
        <v>133</v>
      </c>
      <c r="M119" s="32" t="str">
        <f>HYPERLINK("http://slimages.macys.com/is/image/MCY/3866347 ")</f>
        <v xml:space="preserve">http://slimages.macys.com/is/image/MCY/3866347 </v>
      </c>
    </row>
    <row r="120" spans="1:13" ht="15.2" customHeight="1" x14ac:dyDescent="0.2">
      <c r="A120" s="26" t="s">
        <v>2142</v>
      </c>
      <c r="B120" s="27" t="s">
        <v>2143</v>
      </c>
      <c r="C120" s="28">
        <v>3</v>
      </c>
      <c r="D120" s="29">
        <v>13.5</v>
      </c>
      <c r="E120" s="29">
        <v>40.5</v>
      </c>
      <c r="F120" s="30">
        <v>29.99</v>
      </c>
      <c r="G120" s="29">
        <v>89.97</v>
      </c>
      <c r="H120" s="28" t="s">
        <v>739</v>
      </c>
      <c r="I120" s="27" t="s">
        <v>189</v>
      </c>
      <c r="J120" s="31" t="s">
        <v>214</v>
      </c>
      <c r="K120" s="27" t="s">
        <v>200</v>
      </c>
      <c r="L120" s="27" t="s">
        <v>133</v>
      </c>
      <c r="M120" s="32" t="str">
        <f>HYPERLINK("http://slimages.macys.com/is/image/MCY/3866347 ")</f>
        <v xml:space="preserve">http://slimages.macys.com/is/image/MCY/3866347 </v>
      </c>
    </row>
    <row r="121" spans="1:13" ht="15.2" customHeight="1" x14ac:dyDescent="0.2">
      <c r="A121" s="26" t="s">
        <v>9574</v>
      </c>
      <c r="B121" s="27" t="s">
        <v>9575</v>
      </c>
      <c r="C121" s="28">
        <v>1</v>
      </c>
      <c r="D121" s="29">
        <v>13.5</v>
      </c>
      <c r="E121" s="29">
        <v>13.5</v>
      </c>
      <c r="F121" s="30">
        <v>39</v>
      </c>
      <c r="G121" s="29">
        <v>39</v>
      </c>
      <c r="H121" s="28" t="s">
        <v>8269</v>
      </c>
      <c r="I121" s="27" t="s">
        <v>274</v>
      </c>
      <c r="J121" s="31" t="s">
        <v>71</v>
      </c>
      <c r="K121" s="27" t="s">
        <v>154</v>
      </c>
      <c r="L121" s="27" t="s">
        <v>155</v>
      </c>
      <c r="M121" s="32" t="str">
        <f>HYPERLINK("http://slimages.macys.com/is/image/MCY/3600932 ")</f>
        <v xml:space="preserve">http://slimages.macys.com/is/image/MCY/3600932 </v>
      </c>
    </row>
    <row r="122" spans="1:13" ht="15.2" customHeight="1" x14ac:dyDescent="0.2">
      <c r="A122" s="26" t="s">
        <v>10822</v>
      </c>
      <c r="B122" s="27" t="s">
        <v>10823</v>
      </c>
      <c r="C122" s="28">
        <v>1</v>
      </c>
      <c r="D122" s="29">
        <v>13.5</v>
      </c>
      <c r="E122" s="29">
        <v>13.5</v>
      </c>
      <c r="F122" s="30">
        <v>39</v>
      </c>
      <c r="G122" s="29">
        <v>39</v>
      </c>
      <c r="H122" s="28" t="s">
        <v>8267</v>
      </c>
      <c r="I122" s="27" t="s">
        <v>4</v>
      </c>
      <c r="J122" s="31" t="s">
        <v>69</v>
      </c>
      <c r="K122" s="27" t="s">
        <v>154</v>
      </c>
      <c r="L122" s="27" t="s">
        <v>155</v>
      </c>
      <c r="M122" s="32" t="str">
        <f>HYPERLINK("http://slimages.macys.com/is/image/MCY/3651765 ")</f>
        <v xml:space="preserve">http://slimages.macys.com/is/image/MCY/3651765 </v>
      </c>
    </row>
    <row r="123" spans="1:13" ht="15.2" customHeight="1" x14ac:dyDescent="0.2">
      <c r="A123" s="26" t="s">
        <v>2856</v>
      </c>
      <c r="B123" s="27" t="s">
        <v>2857</v>
      </c>
      <c r="C123" s="28">
        <v>4</v>
      </c>
      <c r="D123" s="29">
        <v>13.5</v>
      </c>
      <c r="E123" s="29">
        <v>54</v>
      </c>
      <c r="F123" s="30">
        <v>29.99</v>
      </c>
      <c r="G123" s="29">
        <v>119.96</v>
      </c>
      <c r="H123" s="28" t="s">
        <v>739</v>
      </c>
      <c r="I123" s="27" t="s">
        <v>189</v>
      </c>
      <c r="J123" s="31" t="s">
        <v>69</v>
      </c>
      <c r="K123" s="27" t="s">
        <v>200</v>
      </c>
      <c r="L123" s="27" t="s">
        <v>133</v>
      </c>
      <c r="M123" s="32" t="str">
        <f t="shared" ref="M123:M128" si="0">HYPERLINK("http://slimages.macys.com/is/image/MCY/3866347 ")</f>
        <v xml:space="preserve">http://slimages.macys.com/is/image/MCY/3866347 </v>
      </c>
    </row>
    <row r="124" spans="1:13" ht="15.2" customHeight="1" x14ac:dyDescent="0.2">
      <c r="A124" s="26" t="s">
        <v>737</v>
      </c>
      <c r="B124" s="27" t="s">
        <v>738</v>
      </c>
      <c r="C124" s="28">
        <v>3</v>
      </c>
      <c r="D124" s="29">
        <v>13.5</v>
      </c>
      <c r="E124" s="29">
        <v>40.5</v>
      </c>
      <c r="F124" s="30">
        <v>29.99</v>
      </c>
      <c r="G124" s="29">
        <v>89.97</v>
      </c>
      <c r="H124" s="28" t="s">
        <v>739</v>
      </c>
      <c r="I124" s="27" t="s">
        <v>189</v>
      </c>
      <c r="J124" s="31" t="s">
        <v>23</v>
      </c>
      <c r="K124" s="27" t="s">
        <v>200</v>
      </c>
      <c r="L124" s="27" t="s">
        <v>133</v>
      </c>
      <c r="M124" s="32" t="str">
        <f t="shared" si="0"/>
        <v xml:space="preserve">http://slimages.macys.com/is/image/MCY/3866347 </v>
      </c>
    </row>
    <row r="125" spans="1:13" ht="15.2" customHeight="1" x14ac:dyDescent="0.2">
      <c r="A125" s="26" t="s">
        <v>7375</v>
      </c>
      <c r="B125" s="27" t="s">
        <v>7376</v>
      </c>
      <c r="C125" s="28">
        <v>1</v>
      </c>
      <c r="D125" s="29">
        <v>13.5</v>
      </c>
      <c r="E125" s="29">
        <v>13.5</v>
      </c>
      <c r="F125" s="30">
        <v>29.99</v>
      </c>
      <c r="G125" s="29">
        <v>29.99</v>
      </c>
      <c r="H125" s="28" t="s">
        <v>739</v>
      </c>
      <c r="I125" s="27" t="s">
        <v>189</v>
      </c>
      <c r="J125" s="31" t="s">
        <v>230</v>
      </c>
      <c r="K125" s="27" t="s">
        <v>200</v>
      </c>
      <c r="L125" s="27" t="s">
        <v>133</v>
      </c>
      <c r="M125" s="32" t="str">
        <f t="shared" si="0"/>
        <v xml:space="preserve">http://slimages.macys.com/is/image/MCY/3866347 </v>
      </c>
    </row>
    <row r="126" spans="1:13" ht="15.2" customHeight="1" x14ac:dyDescent="0.2">
      <c r="A126" s="26" t="s">
        <v>1191</v>
      </c>
      <c r="B126" s="27" t="s">
        <v>1192</v>
      </c>
      <c r="C126" s="28">
        <v>1</v>
      </c>
      <c r="D126" s="29">
        <v>13.5</v>
      </c>
      <c r="E126" s="29">
        <v>13.5</v>
      </c>
      <c r="F126" s="30">
        <v>29.99</v>
      </c>
      <c r="G126" s="29">
        <v>29.99</v>
      </c>
      <c r="H126" s="28" t="s">
        <v>739</v>
      </c>
      <c r="I126" s="27" t="s">
        <v>207</v>
      </c>
      <c r="J126" s="31" t="s">
        <v>210</v>
      </c>
      <c r="K126" s="27" t="s">
        <v>200</v>
      </c>
      <c r="L126" s="27" t="s">
        <v>133</v>
      </c>
      <c r="M126" s="32" t="str">
        <f t="shared" si="0"/>
        <v xml:space="preserve">http://slimages.macys.com/is/image/MCY/3866347 </v>
      </c>
    </row>
    <row r="127" spans="1:13" ht="15.2" customHeight="1" x14ac:dyDescent="0.2">
      <c r="A127" s="26" t="s">
        <v>3236</v>
      </c>
      <c r="B127" s="27" t="s">
        <v>3237</v>
      </c>
      <c r="C127" s="28">
        <v>1</v>
      </c>
      <c r="D127" s="29">
        <v>13.5</v>
      </c>
      <c r="E127" s="29">
        <v>13.5</v>
      </c>
      <c r="F127" s="30">
        <v>29.99</v>
      </c>
      <c r="G127" s="29">
        <v>29.99</v>
      </c>
      <c r="H127" s="28" t="s">
        <v>739</v>
      </c>
      <c r="I127" s="27" t="s">
        <v>207</v>
      </c>
      <c r="J127" s="31" t="s">
        <v>214</v>
      </c>
      <c r="K127" s="27" t="s">
        <v>200</v>
      </c>
      <c r="L127" s="27" t="s">
        <v>133</v>
      </c>
      <c r="M127" s="32" t="str">
        <f t="shared" si="0"/>
        <v xml:space="preserve">http://slimages.macys.com/is/image/MCY/3866347 </v>
      </c>
    </row>
    <row r="128" spans="1:13" ht="15.2" customHeight="1" x14ac:dyDescent="0.2">
      <c r="A128" s="26" t="s">
        <v>1193</v>
      </c>
      <c r="B128" s="27" t="s">
        <v>1194</v>
      </c>
      <c r="C128" s="28">
        <v>2</v>
      </c>
      <c r="D128" s="29">
        <v>13.5</v>
      </c>
      <c r="E128" s="29">
        <v>27</v>
      </c>
      <c r="F128" s="30">
        <v>29.99</v>
      </c>
      <c r="G128" s="29">
        <v>59.98</v>
      </c>
      <c r="H128" s="28" t="s">
        <v>739</v>
      </c>
      <c r="I128" s="27" t="s">
        <v>207</v>
      </c>
      <c r="J128" s="31" t="s">
        <v>23</v>
      </c>
      <c r="K128" s="27" t="s">
        <v>200</v>
      </c>
      <c r="L128" s="27" t="s">
        <v>133</v>
      </c>
      <c r="M128" s="32" t="str">
        <f t="shared" si="0"/>
        <v xml:space="preserve">http://slimages.macys.com/is/image/MCY/3866347 </v>
      </c>
    </row>
    <row r="129" spans="1:13" ht="15.2" customHeight="1" x14ac:dyDescent="0.2">
      <c r="A129" s="26" t="s">
        <v>10452</v>
      </c>
      <c r="B129" s="27" t="s">
        <v>10453</v>
      </c>
      <c r="C129" s="28">
        <v>1</v>
      </c>
      <c r="D129" s="29">
        <v>13.5</v>
      </c>
      <c r="E129" s="29">
        <v>13.5</v>
      </c>
      <c r="F129" s="30">
        <v>29.99</v>
      </c>
      <c r="G129" s="29">
        <v>29.99</v>
      </c>
      <c r="H129" s="28" t="s">
        <v>740</v>
      </c>
      <c r="I129" s="27" t="s">
        <v>29</v>
      </c>
      <c r="J129" s="31" t="s">
        <v>234</v>
      </c>
      <c r="K129" s="27" t="s">
        <v>200</v>
      </c>
      <c r="L129" s="27" t="s">
        <v>741</v>
      </c>
      <c r="M129" s="32" t="str">
        <f>HYPERLINK("http://slimages.macys.com/is/image/MCY/3732749 ")</f>
        <v xml:space="preserve">http://slimages.macys.com/is/image/MCY/3732749 </v>
      </c>
    </row>
    <row r="130" spans="1:13" ht="15.2" customHeight="1" x14ac:dyDescent="0.2">
      <c r="A130" s="26" t="s">
        <v>10824</v>
      </c>
      <c r="B130" s="27" t="s">
        <v>10825</v>
      </c>
      <c r="C130" s="28">
        <v>1</v>
      </c>
      <c r="D130" s="29">
        <v>13.5</v>
      </c>
      <c r="E130" s="29">
        <v>13.5</v>
      </c>
      <c r="F130" s="30">
        <v>39</v>
      </c>
      <c r="G130" s="29">
        <v>39</v>
      </c>
      <c r="H130" s="28">
        <v>60372919</v>
      </c>
      <c r="I130" s="27" t="s">
        <v>82</v>
      </c>
      <c r="J130" s="31" t="s">
        <v>21</v>
      </c>
      <c r="K130" s="27" t="s">
        <v>6</v>
      </c>
      <c r="L130" s="27" t="s">
        <v>7</v>
      </c>
      <c r="M130" s="32" t="str">
        <f>HYPERLINK("http://slimages.macys.com/is/image/MCY/2781479 ")</f>
        <v xml:space="preserve">http://slimages.macys.com/is/image/MCY/2781479 </v>
      </c>
    </row>
    <row r="131" spans="1:13" ht="15.2" customHeight="1" x14ac:dyDescent="0.2">
      <c r="A131" s="26" t="s">
        <v>2861</v>
      </c>
      <c r="B131" s="27" t="s">
        <v>2862</v>
      </c>
      <c r="C131" s="28">
        <v>2</v>
      </c>
      <c r="D131" s="29">
        <v>13.5</v>
      </c>
      <c r="E131" s="29">
        <v>27</v>
      </c>
      <c r="F131" s="30">
        <v>29.99</v>
      </c>
      <c r="G131" s="29">
        <v>59.98</v>
      </c>
      <c r="H131" s="28" t="s">
        <v>739</v>
      </c>
      <c r="I131" s="27" t="s">
        <v>189</v>
      </c>
      <c r="J131" s="31" t="s">
        <v>234</v>
      </c>
      <c r="K131" s="27" t="s">
        <v>200</v>
      </c>
      <c r="L131" s="27" t="s">
        <v>133</v>
      </c>
      <c r="M131" s="32" t="str">
        <f>HYPERLINK("http://slimages.macys.com/is/image/MCY/3866347 ")</f>
        <v xml:space="preserve">http://slimages.macys.com/is/image/MCY/3866347 </v>
      </c>
    </row>
    <row r="132" spans="1:13" ht="15.2" customHeight="1" x14ac:dyDescent="0.2">
      <c r="A132" s="26" t="s">
        <v>10454</v>
      </c>
      <c r="B132" s="27" t="s">
        <v>10455</v>
      </c>
      <c r="C132" s="28">
        <v>1</v>
      </c>
      <c r="D132" s="29">
        <v>13.5</v>
      </c>
      <c r="E132" s="29">
        <v>13.5</v>
      </c>
      <c r="F132" s="30">
        <v>29.99</v>
      </c>
      <c r="G132" s="29">
        <v>29.99</v>
      </c>
      <c r="H132" s="28" t="s">
        <v>8268</v>
      </c>
      <c r="I132" s="27" t="s">
        <v>59</v>
      </c>
      <c r="J132" s="31" t="s">
        <v>205</v>
      </c>
      <c r="K132" s="27" t="s">
        <v>200</v>
      </c>
      <c r="L132" s="27" t="s">
        <v>741</v>
      </c>
      <c r="M132" s="32" t="str">
        <f>HYPERLINK("http://slimages.macys.com/is/image/MCY/3732749 ")</f>
        <v xml:space="preserve">http://slimages.macys.com/is/image/MCY/3732749 </v>
      </c>
    </row>
    <row r="133" spans="1:13" ht="15.2" customHeight="1" x14ac:dyDescent="0.2">
      <c r="A133" s="26" t="s">
        <v>10826</v>
      </c>
      <c r="B133" s="27" t="s">
        <v>10827</v>
      </c>
      <c r="C133" s="28">
        <v>1</v>
      </c>
      <c r="D133" s="29">
        <v>13.25</v>
      </c>
      <c r="E133" s="29">
        <v>13.25</v>
      </c>
      <c r="F133" s="30">
        <v>29.99</v>
      </c>
      <c r="G133" s="29">
        <v>29.99</v>
      </c>
      <c r="H133" s="28" t="s">
        <v>1195</v>
      </c>
      <c r="I133" s="27" t="s">
        <v>4</v>
      </c>
      <c r="J133" s="31" t="s">
        <v>113</v>
      </c>
      <c r="K133" s="27" t="s">
        <v>200</v>
      </c>
      <c r="L133" s="27" t="s">
        <v>1196</v>
      </c>
      <c r="M133" s="32" t="str">
        <f>HYPERLINK("http://slimages.macys.com/is/image/MCY/3755717 ")</f>
        <v xml:space="preserve">http://slimages.macys.com/is/image/MCY/3755717 </v>
      </c>
    </row>
    <row r="134" spans="1:13" ht="15.2" customHeight="1" x14ac:dyDescent="0.2">
      <c r="A134" s="26" t="s">
        <v>9850</v>
      </c>
      <c r="B134" s="27" t="s">
        <v>9851</v>
      </c>
      <c r="C134" s="28">
        <v>1</v>
      </c>
      <c r="D134" s="29">
        <v>13.25</v>
      </c>
      <c r="E134" s="29">
        <v>13.25</v>
      </c>
      <c r="F134" s="30">
        <v>24.99</v>
      </c>
      <c r="G134" s="29">
        <v>24.99</v>
      </c>
      <c r="H134" s="28" t="s">
        <v>195</v>
      </c>
      <c r="I134" s="27" t="s">
        <v>8</v>
      </c>
      <c r="J134" s="31" t="s">
        <v>40</v>
      </c>
      <c r="K134" s="27" t="s">
        <v>196</v>
      </c>
      <c r="L134" s="27" t="s">
        <v>197</v>
      </c>
      <c r="M134" s="32" t="str">
        <f>HYPERLINK("http://slimages.macys.com/is/image/MCY/3734929 ")</f>
        <v xml:space="preserve">http://slimages.macys.com/is/image/MCY/3734929 </v>
      </c>
    </row>
    <row r="135" spans="1:13" ht="15.2" customHeight="1" x14ac:dyDescent="0.2">
      <c r="A135" s="26" t="s">
        <v>7379</v>
      </c>
      <c r="B135" s="27" t="s">
        <v>7380</v>
      </c>
      <c r="C135" s="28">
        <v>2</v>
      </c>
      <c r="D135" s="29">
        <v>13.25</v>
      </c>
      <c r="E135" s="29">
        <v>26.5</v>
      </c>
      <c r="F135" s="30">
        <v>24.99</v>
      </c>
      <c r="G135" s="29">
        <v>49.98</v>
      </c>
      <c r="H135" s="28" t="s">
        <v>744</v>
      </c>
      <c r="I135" s="27" t="s">
        <v>4</v>
      </c>
      <c r="J135" s="31" t="s">
        <v>40</v>
      </c>
      <c r="K135" s="27" t="s">
        <v>196</v>
      </c>
      <c r="L135" s="27" t="s">
        <v>197</v>
      </c>
      <c r="M135" s="32" t="str">
        <f>HYPERLINK("http://slimages.macys.com/is/image/MCY/3734929 ")</f>
        <v xml:space="preserve">http://slimages.macys.com/is/image/MCY/3734929 </v>
      </c>
    </row>
    <row r="136" spans="1:13" ht="15.2" customHeight="1" x14ac:dyDescent="0.2">
      <c r="A136" s="26" t="s">
        <v>10828</v>
      </c>
      <c r="B136" s="27" t="s">
        <v>10829</v>
      </c>
      <c r="C136" s="28">
        <v>1</v>
      </c>
      <c r="D136" s="29">
        <v>13</v>
      </c>
      <c r="E136" s="29">
        <v>13</v>
      </c>
      <c r="F136" s="30">
        <v>29.99</v>
      </c>
      <c r="G136" s="29">
        <v>29.99</v>
      </c>
      <c r="H136" s="28" t="s">
        <v>10830</v>
      </c>
      <c r="I136" s="27" t="s">
        <v>29</v>
      </c>
      <c r="J136" s="31" t="s">
        <v>23</v>
      </c>
      <c r="K136" s="27" t="s">
        <v>200</v>
      </c>
      <c r="L136" s="27" t="s">
        <v>1201</v>
      </c>
      <c r="M136" s="32" t="str">
        <f>HYPERLINK("http://slimages.macys.com/is/image/MCY/3879582 ")</f>
        <v xml:space="preserve">http://slimages.macys.com/is/image/MCY/3879582 </v>
      </c>
    </row>
    <row r="137" spans="1:13" ht="15.2" customHeight="1" x14ac:dyDescent="0.2">
      <c r="A137" s="26" t="s">
        <v>10040</v>
      </c>
      <c r="B137" s="27" t="s">
        <v>10041</v>
      </c>
      <c r="C137" s="28">
        <v>1</v>
      </c>
      <c r="D137" s="29">
        <v>13</v>
      </c>
      <c r="E137" s="29">
        <v>13</v>
      </c>
      <c r="F137" s="30">
        <v>29.99</v>
      </c>
      <c r="G137" s="29">
        <v>29.99</v>
      </c>
      <c r="H137" s="28" t="s">
        <v>1207</v>
      </c>
      <c r="I137" s="27" t="s">
        <v>4</v>
      </c>
      <c r="J137" s="31" t="s">
        <v>113</v>
      </c>
      <c r="K137" s="27" t="s">
        <v>200</v>
      </c>
      <c r="L137" s="27" t="s">
        <v>133</v>
      </c>
      <c r="M137" s="32" t="str">
        <f>HYPERLINK("http://slimages.macys.com/is/image/MCY/3874062 ")</f>
        <v xml:space="preserve">http://slimages.macys.com/is/image/MCY/3874062 </v>
      </c>
    </row>
    <row r="138" spans="1:13" ht="15.2" customHeight="1" x14ac:dyDescent="0.2">
      <c r="A138" s="26" t="s">
        <v>10831</v>
      </c>
      <c r="B138" s="27" t="s">
        <v>10832</v>
      </c>
      <c r="C138" s="28">
        <v>1</v>
      </c>
      <c r="D138" s="29">
        <v>13</v>
      </c>
      <c r="E138" s="29">
        <v>13</v>
      </c>
      <c r="F138" s="30">
        <v>32.99</v>
      </c>
      <c r="G138" s="29">
        <v>32.99</v>
      </c>
      <c r="H138" s="28" t="s">
        <v>10833</v>
      </c>
      <c r="I138" s="27" t="s">
        <v>10</v>
      </c>
      <c r="J138" s="31" t="s">
        <v>52</v>
      </c>
      <c r="K138" s="27" t="s">
        <v>70</v>
      </c>
      <c r="L138" s="27" t="s">
        <v>250</v>
      </c>
      <c r="M138" s="32" t="str">
        <f>HYPERLINK("http://slimages.macys.com/is/image/MCY/3690383 ")</f>
        <v xml:space="preserve">http://slimages.macys.com/is/image/MCY/3690383 </v>
      </c>
    </row>
    <row r="139" spans="1:13" ht="15.2" customHeight="1" x14ac:dyDescent="0.2">
      <c r="A139" s="26" t="s">
        <v>754</v>
      </c>
      <c r="B139" s="27" t="s">
        <v>755</v>
      </c>
      <c r="C139" s="28">
        <v>1</v>
      </c>
      <c r="D139" s="29">
        <v>13</v>
      </c>
      <c r="E139" s="29">
        <v>13</v>
      </c>
      <c r="F139" s="30">
        <v>29.99</v>
      </c>
      <c r="G139" s="29">
        <v>29.99</v>
      </c>
      <c r="H139" s="28" t="s">
        <v>750</v>
      </c>
      <c r="I139" s="27" t="s">
        <v>29</v>
      </c>
      <c r="J139" s="31" t="s">
        <v>234</v>
      </c>
      <c r="K139" s="27" t="s">
        <v>200</v>
      </c>
      <c r="L139" s="27" t="s">
        <v>747</v>
      </c>
      <c r="M139" s="32" t="str">
        <f>HYPERLINK("http://slimages.macys.com/is/image/MCY/3955888 ")</f>
        <v xml:space="preserve">http://slimages.macys.com/is/image/MCY/3955888 </v>
      </c>
    </row>
    <row r="140" spans="1:13" ht="15.2" customHeight="1" x14ac:dyDescent="0.2">
      <c r="A140" s="26" t="s">
        <v>2876</v>
      </c>
      <c r="B140" s="27" t="s">
        <v>2877</v>
      </c>
      <c r="C140" s="28">
        <v>1</v>
      </c>
      <c r="D140" s="29">
        <v>12.85</v>
      </c>
      <c r="E140" s="29">
        <v>12.85</v>
      </c>
      <c r="F140" s="30">
        <v>27.99</v>
      </c>
      <c r="G140" s="29">
        <v>27.99</v>
      </c>
      <c r="H140" s="28" t="s">
        <v>1209</v>
      </c>
      <c r="I140" s="27" t="s">
        <v>189</v>
      </c>
      <c r="J140" s="31" t="s">
        <v>21</v>
      </c>
      <c r="K140" s="27" t="s">
        <v>224</v>
      </c>
      <c r="L140" s="27" t="s">
        <v>256</v>
      </c>
      <c r="M140" s="32" t="str">
        <f>HYPERLINK("http://slimages.macys.com/is/image/MCY/3890940 ")</f>
        <v xml:space="preserve">http://slimages.macys.com/is/image/MCY/3890940 </v>
      </c>
    </row>
    <row r="141" spans="1:13" ht="15.2" customHeight="1" x14ac:dyDescent="0.2">
      <c r="A141" s="26" t="s">
        <v>2878</v>
      </c>
      <c r="B141" s="27" t="s">
        <v>2879</v>
      </c>
      <c r="C141" s="28">
        <v>1</v>
      </c>
      <c r="D141" s="29">
        <v>12.85</v>
      </c>
      <c r="E141" s="29">
        <v>12.85</v>
      </c>
      <c r="F141" s="30">
        <v>27.99</v>
      </c>
      <c r="G141" s="29">
        <v>27.99</v>
      </c>
      <c r="H141" s="28" t="s">
        <v>2875</v>
      </c>
      <c r="I141" s="27" t="s">
        <v>189</v>
      </c>
      <c r="J141" s="31" t="s">
        <v>21</v>
      </c>
      <c r="K141" s="27" t="s">
        <v>224</v>
      </c>
      <c r="L141" s="27" t="s">
        <v>256</v>
      </c>
      <c r="M141" s="32" t="str">
        <f>HYPERLINK("http://slimages.macys.com/is/image/MCY/3875983 ")</f>
        <v xml:space="preserve">http://slimages.macys.com/is/image/MCY/3875983 </v>
      </c>
    </row>
    <row r="142" spans="1:13" ht="15.2" customHeight="1" x14ac:dyDescent="0.2">
      <c r="A142" s="26" t="s">
        <v>1216</v>
      </c>
      <c r="B142" s="27" t="s">
        <v>1217</v>
      </c>
      <c r="C142" s="28">
        <v>1</v>
      </c>
      <c r="D142" s="29">
        <v>12.75</v>
      </c>
      <c r="E142" s="29">
        <v>12.75</v>
      </c>
      <c r="F142" s="30">
        <v>29.99</v>
      </c>
      <c r="G142" s="29">
        <v>29.99</v>
      </c>
      <c r="H142" s="28" t="s">
        <v>759</v>
      </c>
      <c r="I142" s="27" t="s">
        <v>29</v>
      </c>
      <c r="J142" s="31" t="s">
        <v>21</v>
      </c>
      <c r="K142" s="27" t="s">
        <v>200</v>
      </c>
      <c r="L142" s="27" t="s">
        <v>201</v>
      </c>
      <c r="M142" s="32" t="str">
        <f>HYPERLINK("http://slimages.macys.com/is/image/MCY/3798023 ")</f>
        <v xml:space="preserve">http://slimages.macys.com/is/image/MCY/3798023 </v>
      </c>
    </row>
    <row r="143" spans="1:13" ht="15.2" customHeight="1" x14ac:dyDescent="0.2">
      <c r="A143" s="26" t="s">
        <v>1785</v>
      </c>
      <c r="B143" s="27" t="s">
        <v>1786</v>
      </c>
      <c r="C143" s="28">
        <v>1</v>
      </c>
      <c r="D143" s="29">
        <v>12.75</v>
      </c>
      <c r="E143" s="29">
        <v>12.75</v>
      </c>
      <c r="F143" s="30">
        <v>29.99</v>
      </c>
      <c r="G143" s="29">
        <v>29.99</v>
      </c>
      <c r="H143" s="28" t="s">
        <v>759</v>
      </c>
      <c r="I143" s="27" t="s">
        <v>4</v>
      </c>
      <c r="J143" s="31" t="s">
        <v>52</v>
      </c>
      <c r="K143" s="27" t="s">
        <v>200</v>
      </c>
      <c r="L143" s="27" t="s">
        <v>201</v>
      </c>
      <c r="M143" s="32" t="str">
        <f>HYPERLINK("http://slimages.macys.com/is/image/MCY/3798023 ")</f>
        <v xml:space="preserve">http://slimages.macys.com/is/image/MCY/3798023 </v>
      </c>
    </row>
    <row r="144" spans="1:13" ht="15.2" customHeight="1" x14ac:dyDescent="0.2">
      <c r="A144" s="26" t="s">
        <v>1787</v>
      </c>
      <c r="B144" s="27" t="s">
        <v>1788</v>
      </c>
      <c r="C144" s="28">
        <v>1</v>
      </c>
      <c r="D144" s="29">
        <v>12.75</v>
      </c>
      <c r="E144" s="29">
        <v>12.75</v>
      </c>
      <c r="F144" s="30">
        <v>29.99</v>
      </c>
      <c r="G144" s="29">
        <v>29.99</v>
      </c>
      <c r="H144" s="28" t="s">
        <v>759</v>
      </c>
      <c r="I144" s="27" t="s">
        <v>4</v>
      </c>
      <c r="J144" s="31" t="s">
        <v>21</v>
      </c>
      <c r="K144" s="27" t="s">
        <v>200</v>
      </c>
      <c r="L144" s="27" t="s">
        <v>201</v>
      </c>
      <c r="M144" s="32" t="str">
        <f>HYPERLINK("http://slimages.macys.com/is/image/MCY/3798023 ")</f>
        <v xml:space="preserve">http://slimages.macys.com/is/image/MCY/3798023 </v>
      </c>
    </row>
    <row r="145" spans="1:13" ht="15.2" customHeight="1" x14ac:dyDescent="0.2">
      <c r="A145" s="26" t="s">
        <v>4615</v>
      </c>
      <c r="B145" s="27" t="s">
        <v>4616</v>
      </c>
      <c r="C145" s="28">
        <v>1</v>
      </c>
      <c r="D145" s="29">
        <v>12.5</v>
      </c>
      <c r="E145" s="29">
        <v>12.5</v>
      </c>
      <c r="F145" s="30">
        <v>29.99</v>
      </c>
      <c r="G145" s="29">
        <v>29.99</v>
      </c>
      <c r="H145" s="28" t="s">
        <v>1222</v>
      </c>
      <c r="I145" s="27" t="s">
        <v>4</v>
      </c>
      <c r="J145" s="31" t="s">
        <v>214</v>
      </c>
      <c r="K145" s="27" t="s">
        <v>200</v>
      </c>
      <c r="L145" s="27" t="s">
        <v>133</v>
      </c>
      <c r="M145" s="32" t="str">
        <f>HYPERLINK("http://slimages.macys.com/is/image/MCY/3866441 ")</f>
        <v xml:space="preserve">http://slimages.macys.com/is/image/MCY/3866441 </v>
      </c>
    </row>
    <row r="146" spans="1:13" ht="15.2" customHeight="1" x14ac:dyDescent="0.2">
      <c r="A146" s="26" t="s">
        <v>2173</v>
      </c>
      <c r="B146" s="27" t="s">
        <v>2174</v>
      </c>
      <c r="C146" s="28">
        <v>1</v>
      </c>
      <c r="D146" s="29">
        <v>12.5</v>
      </c>
      <c r="E146" s="29">
        <v>12.5</v>
      </c>
      <c r="F146" s="30">
        <v>29.99</v>
      </c>
      <c r="G146" s="29">
        <v>29.99</v>
      </c>
      <c r="H146" s="28" t="s">
        <v>772</v>
      </c>
      <c r="I146" s="27" t="s">
        <v>4</v>
      </c>
      <c r="J146" s="31" t="s">
        <v>210</v>
      </c>
      <c r="K146" s="27" t="s">
        <v>200</v>
      </c>
      <c r="L146" s="27" t="s">
        <v>133</v>
      </c>
      <c r="M146" s="32" t="str">
        <f>HYPERLINK("http://slimages.macys.com/is/image/MCY/3873065 ")</f>
        <v xml:space="preserve">http://slimages.macys.com/is/image/MCY/3873065 </v>
      </c>
    </row>
    <row r="147" spans="1:13" ht="15.2" customHeight="1" x14ac:dyDescent="0.2">
      <c r="A147" s="26" t="s">
        <v>8373</v>
      </c>
      <c r="B147" s="27" t="s">
        <v>8374</v>
      </c>
      <c r="C147" s="28">
        <v>1</v>
      </c>
      <c r="D147" s="29">
        <v>12.5</v>
      </c>
      <c r="E147" s="29">
        <v>12.5</v>
      </c>
      <c r="F147" s="30">
        <v>29.99</v>
      </c>
      <c r="G147" s="29">
        <v>29.99</v>
      </c>
      <c r="H147" s="28" t="s">
        <v>2168</v>
      </c>
      <c r="I147" s="27" t="s">
        <v>207</v>
      </c>
      <c r="J147" s="31" t="s">
        <v>230</v>
      </c>
      <c r="K147" s="27" t="s">
        <v>200</v>
      </c>
      <c r="L147" s="27" t="s">
        <v>133</v>
      </c>
      <c r="M147" s="32" t="str">
        <f>HYPERLINK("http://slimages.macys.com/is/image/MCY/3874242 ")</f>
        <v xml:space="preserve">http://slimages.macys.com/is/image/MCY/3874242 </v>
      </c>
    </row>
    <row r="148" spans="1:13" ht="15.2" customHeight="1" x14ac:dyDescent="0.2">
      <c r="A148" s="26" t="s">
        <v>773</v>
      </c>
      <c r="B148" s="27" t="s">
        <v>774</v>
      </c>
      <c r="C148" s="28">
        <v>1</v>
      </c>
      <c r="D148" s="29">
        <v>12.5</v>
      </c>
      <c r="E148" s="29">
        <v>12.5</v>
      </c>
      <c r="F148" s="30">
        <v>29.99</v>
      </c>
      <c r="G148" s="29">
        <v>29.99</v>
      </c>
      <c r="H148" s="28" t="s">
        <v>772</v>
      </c>
      <c r="I148" s="27" t="s">
        <v>4</v>
      </c>
      <c r="J148" s="31" t="s">
        <v>214</v>
      </c>
      <c r="K148" s="27" t="s">
        <v>200</v>
      </c>
      <c r="L148" s="27" t="s">
        <v>133</v>
      </c>
      <c r="M148" s="32" t="str">
        <f>HYPERLINK("http://slimages.macys.com/is/image/MCY/3873065 ")</f>
        <v xml:space="preserve">http://slimages.macys.com/is/image/MCY/3873065 </v>
      </c>
    </row>
    <row r="149" spans="1:13" ht="15.2" customHeight="1" x14ac:dyDescent="0.2">
      <c r="A149" s="26" t="s">
        <v>8273</v>
      </c>
      <c r="B149" s="27" t="s">
        <v>8274</v>
      </c>
      <c r="C149" s="28">
        <v>1</v>
      </c>
      <c r="D149" s="29">
        <v>12.5</v>
      </c>
      <c r="E149" s="29">
        <v>12.5</v>
      </c>
      <c r="F149" s="30">
        <v>29.99</v>
      </c>
      <c r="G149" s="29">
        <v>29.99</v>
      </c>
      <c r="H149" s="28" t="s">
        <v>1222</v>
      </c>
      <c r="I149" s="27" t="s">
        <v>4</v>
      </c>
      <c r="J149" s="31" t="s">
        <v>69</v>
      </c>
      <c r="K149" s="27" t="s">
        <v>200</v>
      </c>
      <c r="L149" s="27" t="s">
        <v>133</v>
      </c>
      <c r="M149" s="32" t="str">
        <f>HYPERLINK("http://slimages.macys.com/is/image/MCY/3866441 ")</f>
        <v xml:space="preserve">http://slimages.macys.com/is/image/MCY/3866441 </v>
      </c>
    </row>
    <row r="150" spans="1:13" ht="15.2" customHeight="1" x14ac:dyDescent="0.2">
      <c r="A150" s="26" t="s">
        <v>10834</v>
      </c>
      <c r="B150" s="27" t="s">
        <v>10835</v>
      </c>
      <c r="C150" s="28">
        <v>1</v>
      </c>
      <c r="D150" s="29">
        <v>12.25</v>
      </c>
      <c r="E150" s="29">
        <v>12.25</v>
      </c>
      <c r="F150" s="30">
        <v>29.99</v>
      </c>
      <c r="G150" s="29">
        <v>29.99</v>
      </c>
      <c r="H150" s="28" t="s">
        <v>775</v>
      </c>
      <c r="I150" s="27" t="s">
        <v>4</v>
      </c>
      <c r="J150" s="31" t="s">
        <v>205</v>
      </c>
      <c r="K150" s="27" t="s">
        <v>200</v>
      </c>
      <c r="L150" s="27" t="s">
        <v>552</v>
      </c>
      <c r="M150" s="32" t="str">
        <f>HYPERLINK("http://slimages.macys.com/is/image/MCY/3573304 ")</f>
        <v xml:space="preserve">http://slimages.macys.com/is/image/MCY/3573304 </v>
      </c>
    </row>
    <row r="151" spans="1:13" ht="15.2" customHeight="1" x14ac:dyDescent="0.2">
      <c r="A151" s="26" t="s">
        <v>2889</v>
      </c>
      <c r="B151" s="27" t="s">
        <v>2890</v>
      </c>
      <c r="C151" s="28">
        <v>1</v>
      </c>
      <c r="D151" s="29">
        <v>12</v>
      </c>
      <c r="E151" s="29">
        <v>12</v>
      </c>
      <c r="F151" s="30">
        <v>29.99</v>
      </c>
      <c r="G151" s="29">
        <v>29.99</v>
      </c>
      <c r="H151" s="28" t="s">
        <v>2887</v>
      </c>
      <c r="I151" s="27" t="s">
        <v>10</v>
      </c>
      <c r="J151" s="31" t="s">
        <v>5</v>
      </c>
      <c r="K151" s="27" t="s">
        <v>70</v>
      </c>
      <c r="L151" s="27" t="s">
        <v>128</v>
      </c>
      <c r="M151" s="32" t="str">
        <f>HYPERLINK("http://slimages.macys.com/is/image/MCY/3676843 ")</f>
        <v xml:space="preserve">http://slimages.macys.com/is/image/MCY/3676843 </v>
      </c>
    </row>
    <row r="152" spans="1:13" ht="15.2" customHeight="1" x14ac:dyDescent="0.2">
      <c r="A152" s="26" t="s">
        <v>10836</v>
      </c>
      <c r="B152" s="27" t="s">
        <v>10837</v>
      </c>
      <c r="C152" s="28">
        <v>1</v>
      </c>
      <c r="D152" s="29">
        <v>12</v>
      </c>
      <c r="E152" s="29">
        <v>12</v>
      </c>
      <c r="F152" s="30">
        <v>29.99</v>
      </c>
      <c r="G152" s="29">
        <v>29.99</v>
      </c>
      <c r="H152" s="28" t="s">
        <v>1233</v>
      </c>
      <c r="I152" s="27" t="s">
        <v>29</v>
      </c>
      <c r="J152" s="31" t="s">
        <v>69</v>
      </c>
      <c r="K152" s="27" t="s">
        <v>200</v>
      </c>
      <c r="L152" s="27" t="s">
        <v>552</v>
      </c>
      <c r="M152" s="32" t="str">
        <f>HYPERLINK("http://slimages.macys.com/is/image/MCY/3777681 ")</f>
        <v xml:space="preserve">http://slimages.macys.com/is/image/MCY/3777681 </v>
      </c>
    </row>
    <row r="153" spans="1:13" ht="15.2" customHeight="1" x14ac:dyDescent="0.2">
      <c r="A153" s="26" t="s">
        <v>2180</v>
      </c>
      <c r="B153" s="27" t="s">
        <v>2181</v>
      </c>
      <c r="C153" s="28">
        <v>1</v>
      </c>
      <c r="D153" s="29">
        <v>12</v>
      </c>
      <c r="E153" s="29">
        <v>12</v>
      </c>
      <c r="F153" s="30">
        <v>44</v>
      </c>
      <c r="G153" s="29">
        <v>44</v>
      </c>
      <c r="H153" s="28" t="s">
        <v>2182</v>
      </c>
      <c r="I153" s="27" t="s">
        <v>144</v>
      </c>
      <c r="J153" s="31" t="s">
        <v>21</v>
      </c>
      <c r="K153" s="27" t="s">
        <v>37</v>
      </c>
      <c r="L153" s="27" t="s">
        <v>38</v>
      </c>
      <c r="M153" s="32" t="str">
        <f>HYPERLINK("http://slimages.macys.com/is/image/MCY/3590097 ")</f>
        <v xml:space="preserve">http://slimages.macys.com/is/image/MCY/3590097 </v>
      </c>
    </row>
    <row r="154" spans="1:13" ht="15.2" customHeight="1" x14ac:dyDescent="0.2">
      <c r="A154" s="26" t="s">
        <v>10838</v>
      </c>
      <c r="B154" s="27" t="s">
        <v>10839</v>
      </c>
      <c r="C154" s="28">
        <v>1</v>
      </c>
      <c r="D154" s="29">
        <v>12</v>
      </c>
      <c r="E154" s="29">
        <v>12</v>
      </c>
      <c r="F154" s="30">
        <v>29.99</v>
      </c>
      <c r="G154" s="29">
        <v>29.99</v>
      </c>
      <c r="H154" s="28" t="s">
        <v>2887</v>
      </c>
      <c r="I154" s="27" t="s">
        <v>10</v>
      </c>
      <c r="J154" s="31" t="s">
        <v>65</v>
      </c>
      <c r="K154" s="27" t="s">
        <v>70</v>
      </c>
      <c r="L154" s="27" t="s">
        <v>128</v>
      </c>
      <c r="M154" s="32" t="str">
        <f>HYPERLINK("http://slimages.macys.com/is/image/MCY/3676843 ")</f>
        <v xml:space="preserve">http://slimages.macys.com/is/image/MCY/3676843 </v>
      </c>
    </row>
    <row r="155" spans="1:13" ht="15.2" customHeight="1" x14ac:dyDescent="0.2">
      <c r="A155" s="26" t="s">
        <v>10238</v>
      </c>
      <c r="B155" s="27" t="s">
        <v>10239</v>
      </c>
      <c r="C155" s="28">
        <v>1</v>
      </c>
      <c r="D155" s="29">
        <v>12</v>
      </c>
      <c r="E155" s="29">
        <v>12</v>
      </c>
      <c r="F155" s="30">
        <v>29.99</v>
      </c>
      <c r="G155" s="29">
        <v>29.99</v>
      </c>
      <c r="H155" s="28" t="s">
        <v>2888</v>
      </c>
      <c r="I155" s="27" t="s">
        <v>4</v>
      </c>
      <c r="J155" s="31" t="s">
        <v>52</v>
      </c>
      <c r="K155" s="27" t="s">
        <v>70</v>
      </c>
      <c r="L155" s="27" t="s">
        <v>128</v>
      </c>
      <c r="M155" s="32" t="str">
        <f>HYPERLINK("http://slimages.macys.com/is/image/MCY/3676841 ")</f>
        <v xml:space="preserve">http://slimages.macys.com/is/image/MCY/3676841 </v>
      </c>
    </row>
    <row r="156" spans="1:13" ht="15.2" customHeight="1" x14ac:dyDescent="0.2">
      <c r="A156" s="26" t="s">
        <v>9070</v>
      </c>
      <c r="B156" s="27" t="s">
        <v>9071</v>
      </c>
      <c r="C156" s="28">
        <v>1</v>
      </c>
      <c r="D156" s="29">
        <v>12</v>
      </c>
      <c r="E156" s="29">
        <v>12</v>
      </c>
      <c r="F156" s="30">
        <v>29.99</v>
      </c>
      <c r="G156" s="29">
        <v>29.99</v>
      </c>
      <c r="H156" s="28" t="s">
        <v>1235</v>
      </c>
      <c r="I156" s="27" t="s">
        <v>36</v>
      </c>
      <c r="J156" s="31" t="s">
        <v>230</v>
      </c>
      <c r="K156" s="27" t="s">
        <v>200</v>
      </c>
      <c r="L156" s="27" t="s">
        <v>552</v>
      </c>
      <c r="M156" s="32" t="str">
        <f>HYPERLINK("http://slimages.macys.com/is/image/MCY/3777681 ")</f>
        <v xml:space="preserve">http://slimages.macys.com/is/image/MCY/3777681 </v>
      </c>
    </row>
    <row r="157" spans="1:13" ht="15.2" customHeight="1" x14ac:dyDescent="0.2">
      <c r="A157" s="26" t="s">
        <v>1231</v>
      </c>
      <c r="B157" s="27" t="s">
        <v>1232</v>
      </c>
      <c r="C157" s="28">
        <v>1</v>
      </c>
      <c r="D157" s="29">
        <v>12</v>
      </c>
      <c r="E157" s="29">
        <v>12</v>
      </c>
      <c r="F157" s="30">
        <v>25.99</v>
      </c>
      <c r="G157" s="29">
        <v>25.99</v>
      </c>
      <c r="H157" s="28" t="s">
        <v>209</v>
      </c>
      <c r="I157" s="27" t="s">
        <v>66</v>
      </c>
      <c r="J157" s="31" t="s">
        <v>69</v>
      </c>
      <c r="K157" s="27" t="s">
        <v>200</v>
      </c>
      <c r="L157" s="27" t="s">
        <v>133</v>
      </c>
      <c r="M157" s="32" t="str">
        <f>HYPERLINK("http://slimages.macys.com/is/image/MCY/2646953 ")</f>
        <v xml:space="preserve">http://slimages.macys.com/is/image/MCY/2646953 </v>
      </c>
    </row>
    <row r="158" spans="1:13" ht="15.2" customHeight="1" x14ac:dyDescent="0.2">
      <c r="A158" s="26" t="s">
        <v>10840</v>
      </c>
      <c r="B158" s="27" t="s">
        <v>10841</v>
      </c>
      <c r="C158" s="28">
        <v>1</v>
      </c>
      <c r="D158" s="29">
        <v>12</v>
      </c>
      <c r="E158" s="29">
        <v>12</v>
      </c>
      <c r="F158" s="30">
        <v>39</v>
      </c>
      <c r="G158" s="29">
        <v>39</v>
      </c>
      <c r="H158" s="28">
        <v>44143</v>
      </c>
      <c r="I158" s="27" t="s">
        <v>82</v>
      </c>
      <c r="J158" s="31" t="s">
        <v>205</v>
      </c>
      <c r="K158" s="27" t="s">
        <v>154</v>
      </c>
      <c r="L158" s="27" t="s">
        <v>155</v>
      </c>
      <c r="M158" s="32" t="str">
        <f>HYPERLINK("http://slimages.macys.com/is/image/MCY/3877545 ")</f>
        <v xml:space="preserve">http://slimages.macys.com/is/image/MCY/3877545 </v>
      </c>
    </row>
    <row r="159" spans="1:13" ht="15.2" customHeight="1" x14ac:dyDescent="0.2">
      <c r="A159" s="26" t="s">
        <v>8782</v>
      </c>
      <c r="B159" s="27" t="s">
        <v>8783</v>
      </c>
      <c r="C159" s="28">
        <v>1</v>
      </c>
      <c r="D159" s="29">
        <v>12</v>
      </c>
      <c r="E159" s="29">
        <v>12</v>
      </c>
      <c r="F159" s="30">
        <v>29.99</v>
      </c>
      <c r="G159" s="29">
        <v>29.99</v>
      </c>
      <c r="H159" s="28" t="s">
        <v>2608</v>
      </c>
      <c r="I159" s="27" t="s">
        <v>1</v>
      </c>
      <c r="J159" s="31" t="s">
        <v>21</v>
      </c>
      <c r="K159" s="27" t="s">
        <v>70</v>
      </c>
      <c r="L159" s="27" t="s">
        <v>128</v>
      </c>
      <c r="M159" s="32" t="str">
        <f>HYPERLINK("http://slimages.macys.com/is/image/MCY/3682473 ")</f>
        <v xml:space="preserve">http://slimages.macys.com/is/image/MCY/3682473 </v>
      </c>
    </row>
    <row r="160" spans="1:13" ht="15.2" customHeight="1" x14ac:dyDescent="0.2">
      <c r="A160" s="26" t="s">
        <v>3266</v>
      </c>
      <c r="B160" s="27" t="s">
        <v>3267</v>
      </c>
      <c r="C160" s="28">
        <v>1</v>
      </c>
      <c r="D160" s="29">
        <v>12</v>
      </c>
      <c r="E160" s="29">
        <v>12</v>
      </c>
      <c r="F160" s="30">
        <v>29.99</v>
      </c>
      <c r="G160" s="29">
        <v>29.99</v>
      </c>
      <c r="H160" s="28" t="s">
        <v>213</v>
      </c>
      <c r="I160" s="27" t="s">
        <v>4</v>
      </c>
      <c r="J160" s="31" t="s">
        <v>210</v>
      </c>
      <c r="K160" s="27" t="s">
        <v>200</v>
      </c>
      <c r="L160" s="27" t="s">
        <v>201</v>
      </c>
      <c r="M160" s="32" t="str">
        <f>HYPERLINK("http://slimages.macys.com/is/image/MCY/3755436 ")</f>
        <v xml:space="preserve">http://slimages.macys.com/is/image/MCY/3755436 </v>
      </c>
    </row>
    <row r="161" spans="1:13" ht="15.2" customHeight="1" x14ac:dyDescent="0.2">
      <c r="A161" s="26" t="s">
        <v>8210</v>
      </c>
      <c r="B161" s="27" t="s">
        <v>8211</v>
      </c>
      <c r="C161" s="28">
        <v>1</v>
      </c>
      <c r="D161" s="29">
        <v>12</v>
      </c>
      <c r="E161" s="29">
        <v>12</v>
      </c>
      <c r="F161" s="30">
        <v>29.99</v>
      </c>
      <c r="G161" s="29">
        <v>29.99</v>
      </c>
      <c r="H161" s="28" t="s">
        <v>213</v>
      </c>
      <c r="I161" s="27" t="s">
        <v>4</v>
      </c>
      <c r="J161" s="31" t="s">
        <v>230</v>
      </c>
      <c r="K161" s="27" t="s">
        <v>200</v>
      </c>
      <c r="L161" s="27" t="s">
        <v>201</v>
      </c>
      <c r="M161" s="32" t="str">
        <f>HYPERLINK("http://slimages.macys.com/is/image/MCY/3755436 ")</f>
        <v xml:space="preserve">http://slimages.macys.com/is/image/MCY/3755436 </v>
      </c>
    </row>
    <row r="162" spans="1:13" ht="15.2" customHeight="1" x14ac:dyDescent="0.2">
      <c r="A162" s="26" t="s">
        <v>7535</v>
      </c>
      <c r="B162" s="27" t="s">
        <v>7536</v>
      </c>
      <c r="C162" s="28">
        <v>1</v>
      </c>
      <c r="D162" s="29">
        <v>12</v>
      </c>
      <c r="E162" s="29">
        <v>12</v>
      </c>
      <c r="F162" s="30">
        <v>29.99</v>
      </c>
      <c r="G162" s="29">
        <v>29.99</v>
      </c>
      <c r="H162" s="28" t="s">
        <v>213</v>
      </c>
      <c r="I162" s="27" t="s">
        <v>4</v>
      </c>
      <c r="J162" s="31" t="s">
        <v>234</v>
      </c>
      <c r="K162" s="27" t="s">
        <v>200</v>
      </c>
      <c r="L162" s="27" t="s">
        <v>201</v>
      </c>
      <c r="M162" s="32" t="str">
        <f>HYPERLINK("http://slimages.macys.com/is/image/MCY/3755436 ")</f>
        <v xml:space="preserve">http://slimages.macys.com/is/image/MCY/3755436 </v>
      </c>
    </row>
    <row r="163" spans="1:13" ht="15.2" customHeight="1" x14ac:dyDescent="0.2">
      <c r="A163" s="26" t="s">
        <v>3268</v>
      </c>
      <c r="B163" s="27" t="s">
        <v>3269</v>
      </c>
      <c r="C163" s="28">
        <v>2</v>
      </c>
      <c r="D163" s="29">
        <v>12</v>
      </c>
      <c r="E163" s="29">
        <v>24</v>
      </c>
      <c r="F163" s="30">
        <v>29.99</v>
      </c>
      <c r="G163" s="29">
        <v>59.98</v>
      </c>
      <c r="H163" s="28" t="s">
        <v>1233</v>
      </c>
      <c r="I163" s="27" t="s">
        <v>29</v>
      </c>
      <c r="J163" s="31" t="s">
        <v>234</v>
      </c>
      <c r="K163" s="27" t="s">
        <v>200</v>
      </c>
      <c r="L163" s="27" t="s">
        <v>552</v>
      </c>
      <c r="M163" s="32" t="str">
        <f>HYPERLINK("http://slimages.macys.com/is/image/MCY/3777681 ")</f>
        <v xml:space="preserve">http://slimages.macys.com/is/image/MCY/3777681 </v>
      </c>
    </row>
    <row r="164" spans="1:13" ht="15.2" customHeight="1" x14ac:dyDescent="0.2">
      <c r="A164" s="26" t="s">
        <v>10842</v>
      </c>
      <c r="B164" s="27" t="s">
        <v>10843</v>
      </c>
      <c r="C164" s="28">
        <v>1</v>
      </c>
      <c r="D164" s="29">
        <v>12</v>
      </c>
      <c r="E164" s="29">
        <v>12</v>
      </c>
      <c r="F164" s="30">
        <v>29.99</v>
      </c>
      <c r="G164" s="29">
        <v>29.99</v>
      </c>
      <c r="H164" s="28" t="s">
        <v>1227</v>
      </c>
      <c r="I164" s="27" t="s">
        <v>10</v>
      </c>
      <c r="J164" s="31" t="s">
        <v>113</v>
      </c>
      <c r="K164" s="27" t="s">
        <v>200</v>
      </c>
      <c r="L164" s="27" t="s">
        <v>201</v>
      </c>
      <c r="M164" s="32" t="str">
        <f>HYPERLINK("http://slimages.macys.com/is/image/MCY/3755421 ")</f>
        <v xml:space="preserve">http://slimages.macys.com/is/image/MCY/3755421 </v>
      </c>
    </row>
    <row r="165" spans="1:13" ht="15.2" customHeight="1" x14ac:dyDescent="0.2">
      <c r="A165" s="26" t="s">
        <v>7537</v>
      </c>
      <c r="B165" s="27" t="s">
        <v>7538</v>
      </c>
      <c r="C165" s="28">
        <v>1</v>
      </c>
      <c r="D165" s="29">
        <v>11.75</v>
      </c>
      <c r="E165" s="29">
        <v>11.75</v>
      </c>
      <c r="F165" s="30">
        <v>59</v>
      </c>
      <c r="G165" s="29">
        <v>59</v>
      </c>
      <c r="H165" s="28" t="s">
        <v>1253</v>
      </c>
      <c r="I165" s="27" t="s">
        <v>152</v>
      </c>
      <c r="J165" s="31" t="s">
        <v>230</v>
      </c>
      <c r="K165" s="27" t="s">
        <v>24</v>
      </c>
      <c r="L165" s="27" t="s">
        <v>999</v>
      </c>
      <c r="M165" s="32" t="str">
        <f>HYPERLINK("http://slimages.macys.com/is/image/MCY/2745963 ")</f>
        <v xml:space="preserve">http://slimages.macys.com/is/image/MCY/2745963 </v>
      </c>
    </row>
    <row r="166" spans="1:13" ht="15.2" customHeight="1" x14ac:dyDescent="0.2">
      <c r="A166" s="26" t="s">
        <v>10844</v>
      </c>
      <c r="B166" s="27" t="s">
        <v>10845</v>
      </c>
      <c r="C166" s="28">
        <v>1</v>
      </c>
      <c r="D166" s="29">
        <v>11.7</v>
      </c>
      <c r="E166" s="29">
        <v>11.7</v>
      </c>
      <c r="F166" s="30">
        <v>32.5</v>
      </c>
      <c r="G166" s="29">
        <v>32.5</v>
      </c>
      <c r="H166" s="28" t="s">
        <v>1804</v>
      </c>
      <c r="I166" s="27" t="s">
        <v>29</v>
      </c>
      <c r="J166" s="31" t="s">
        <v>71</v>
      </c>
      <c r="K166" s="27" t="s">
        <v>27</v>
      </c>
      <c r="L166" s="27" t="s">
        <v>28</v>
      </c>
      <c r="M166" s="32" t="str">
        <f>HYPERLINK("http://slimages.macys.com/is/image/MCY/3589871 ")</f>
        <v xml:space="preserve">http://slimages.macys.com/is/image/MCY/3589871 </v>
      </c>
    </row>
    <row r="167" spans="1:13" ht="15.2" customHeight="1" x14ac:dyDescent="0.2">
      <c r="A167" s="26" t="s">
        <v>10846</v>
      </c>
      <c r="B167" s="27" t="s">
        <v>10847</v>
      </c>
      <c r="C167" s="28">
        <v>1</v>
      </c>
      <c r="D167" s="29">
        <v>11.65</v>
      </c>
      <c r="E167" s="29">
        <v>11.65</v>
      </c>
      <c r="F167" s="30">
        <v>29.99</v>
      </c>
      <c r="G167" s="29">
        <v>29.99</v>
      </c>
      <c r="H167" s="28" t="s">
        <v>2185</v>
      </c>
      <c r="I167" s="27" t="s">
        <v>107</v>
      </c>
      <c r="J167" s="31" t="s">
        <v>230</v>
      </c>
      <c r="K167" s="27" t="s">
        <v>200</v>
      </c>
      <c r="L167" s="27" t="s">
        <v>552</v>
      </c>
      <c r="M167" s="32" t="str">
        <f>HYPERLINK("http://slimages.macys.com/is/image/MCY/3683142 ")</f>
        <v xml:space="preserve">http://slimages.macys.com/is/image/MCY/3683142 </v>
      </c>
    </row>
    <row r="168" spans="1:13" ht="15.2" customHeight="1" x14ac:dyDescent="0.2">
      <c r="A168" s="26" t="s">
        <v>9858</v>
      </c>
      <c r="B168" s="27" t="s">
        <v>9859</v>
      </c>
      <c r="C168" s="28">
        <v>1</v>
      </c>
      <c r="D168" s="29">
        <v>11.5</v>
      </c>
      <c r="E168" s="29">
        <v>11.5</v>
      </c>
      <c r="F168" s="30">
        <v>29.99</v>
      </c>
      <c r="G168" s="29">
        <v>29.99</v>
      </c>
      <c r="H168" s="28" t="s">
        <v>220</v>
      </c>
      <c r="I168" s="27" t="s">
        <v>189</v>
      </c>
      <c r="J168" s="31" t="s">
        <v>234</v>
      </c>
      <c r="K168" s="27" t="s">
        <v>200</v>
      </c>
      <c r="L168" s="27" t="s">
        <v>201</v>
      </c>
      <c r="M168" s="32" t="str">
        <f>HYPERLINK("http://slimages.macys.com/is/image/MCY/3899641 ")</f>
        <v xml:space="preserve">http://slimages.macys.com/is/image/MCY/3899641 </v>
      </c>
    </row>
    <row r="169" spans="1:13" ht="15.2" customHeight="1" x14ac:dyDescent="0.2">
      <c r="A169" s="26" t="s">
        <v>2615</v>
      </c>
      <c r="B169" s="27" t="s">
        <v>2616</v>
      </c>
      <c r="C169" s="28">
        <v>1</v>
      </c>
      <c r="D169" s="29">
        <v>11.5</v>
      </c>
      <c r="E169" s="29">
        <v>11.5</v>
      </c>
      <c r="F169" s="30">
        <v>29.99</v>
      </c>
      <c r="G169" s="29">
        <v>29.99</v>
      </c>
      <c r="H169" s="28" t="s">
        <v>233</v>
      </c>
      <c r="I169" s="27" t="s">
        <v>26</v>
      </c>
      <c r="J169" s="31" t="s">
        <v>234</v>
      </c>
      <c r="K169" s="27" t="s">
        <v>200</v>
      </c>
      <c r="L169" s="27" t="s">
        <v>201</v>
      </c>
      <c r="M169" s="32" t="str">
        <f>HYPERLINK("http://slimages.macys.com/is/image/MCY/3899624 ")</f>
        <v xml:space="preserve">http://slimages.macys.com/is/image/MCY/3899624 </v>
      </c>
    </row>
    <row r="170" spans="1:13" ht="15.2" customHeight="1" x14ac:dyDescent="0.2">
      <c r="A170" s="26" t="s">
        <v>8445</v>
      </c>
      <c r="B170" s="27" t="s">
        <v>8446</v>
      </c>
      <c r="C170" s="28">
        <v>1</v>
      </c>
      <c r="D170" s="29">
        <v>11.5</v>
      </c>
      <c r="E170" s="29">
        <v>11.5</v>
      </c>
      <c r="F170" s="30">
        <v>29.99</v>
      </c>
      <c r="G170" s="29">
        <v>29.99</v>
      </c>
      <c r="H170" s="28" t="s">
        <v>233</v>
      </c>
      <c r="I170" s="27" t="s">
        <v>26</v>
      </c>
      <c r="J170" s="31" t="s">
        <v>230</v>
      </c>
      <c r="K170" s="27" t="s">
        <v>200</v>
      </c>
      <c r="L170" s="27" t="s">
        <v>201</v>
      </c>
      <c r="M170" s="32" t="str">
        <f>HYPERLINK("http://slimages.macys.com/is/image/MCY/3899624 ")</f>
        <v xml:space="preserve">http://slimages.macys.com/is/image/MCY/3899624 </v>
      </c>
    </row>
    <row r="171" spans="1:13" ht="15.2" customHeight="1" x14ac:dyDescent="0.2">
      <c r="A171" s="26" t="s">
        <v>10848</v>
      </c>
      <c r="B171" s="27" t="s">
        <v>10849</v>
      </c>
      <c r="C171" s="28">
        <v>1</v>
      </c>
      <c r="D171" s="29">
        <v>11.5</v>
      </c>
      <c r="E171" s="29">
        <v>11.5</v>
      </c>
      <c r="F171" s="30">
        <v>25.99</v>
      </c>
      <c r="G171" s="29">
        <v>25.99</v>
      </c>
      <c r="H171" s="28" t="s">
        <v>1269</v>
      </c>
      <c r="I171" s="27" t="s">
        <v>189</v>
      </c>
      <c r="J171" s="31" t="s">
        <v>205</v>
      </c>
      <c r="K171" s="27" t="s">
        <v>200</v>
      </c>
      <c r="L171" s="27" t="s">
        <v>133</v>
      </c>
      <c r="M171" s="32" t="str">
        <f>HYPERLINK("http://slimages.macys.com/is/image/MCY/3858043 ")</f>
        <v xml:space="preserve">http://slimages.macys.com/is/image/MCY/3858043 </v>
      </c>
    </row>
    <row r="172" spans="1:13" ht="15.2" customHeight="1" x14ac:dyDescent="0.2">
      <c r="A172" s="26" t="s">
        <v>8275</v>
      </c>
      <c r="B172" s="27" t="s">
        <v>8276</v>
      </c>
      <c r="C172" s="28">
        <v>1</v>
      </c>
      <c r="D172" s="29">
        <v>11.5</v>
      </c>
      <c r="E172" s="29">
        <v>11.5</v>
      </c>
      <c r="F172" s="30">
        <v>27.99</v>
      </c>
      <c r="G172" s="29">
        <v>27.99</v>
      </c>
      <c r="H172" s="28" t="s">
        <v>223</v>
      </c>
      <c r="I172" s="27" t="s">
        <v>59</v>
      </c>
      <c r="J172" s="31" t="s">
        <v>5</v>
      </c>
      <c r="K172" s="27" t="s">
        <v>224</v>
      </c>
      <c r="L172" s="27" t="s">
        <v>225</v>
      </c>
      <c r="M172" s="32" t="str">
        <f>HYPERLINK("http://slimages.macys.com/is/image/MCY/3777812 ")</f>
        <v xml:space="preserve">http://slimages.macys.com/is/image/MCY/3777812 </v>
      </c>
    </row>
    <row r="173" spans="1:13" ht="15.2" customHeight="1" x14ac:dyDescent="0.2">
      <c r="A173" s="26" t="s">
        <v>10850</v>
      </c>
      <c r="B173" s="27" t="s">
        <v>10851</v>
      </c>
      <c r="C173" s="28">
        <v>1</v>
      </c>
      <c r="D173" s="29">
        <v>11.5</v>
      </c>
      <c r="E173" s="29">
        <v>11.5</v>
      </c>
      <c r="F173" s="30">
        <v>25.99</v>
      </c>
      <c r="G173" s="29">
        <v>25.99</v>
      </c>
      <c r="H173" s="28" t="s">
        <v>1269</v>
      </c>
      <c r="I173" s="27" t="s">
        <v>20</v>
      </c>
      <c r="J173" s="31" t="s">
        <v>1765</v>
      </c>
      <c r="K173" s="27" t="s">
        <v>200</v>
      </c>
      <c r="L173" s="27" t="s">
        <v>133</v>
      </c>
      <c r="M173" s="32" t="str">
        <f>HYPERLINK("http://slimages.macys.com/is/image/MCY/3858043 ")</f>
        <v xml:space="preserve">http://slimages.macys.com/is/image/MCY/3858043 </v>
      </c>
    </row>
    <row r="174" spans="1:13" ht="15.2" customHeight="1" x14ac:dyDescent="0.2">
      <c r="A174" s="26" t="s">
        <v>2200</v>
      </c>
      <c r="B174" s="27" t="s">
        <v>2201</v>
      </c>
      <c r="C174" s="28">
        <v>2</v>
      </c>
      <c r="D174" s="29">
        <v>11.5</v>
      </c>
      <c r="E174" s="29">
        <v>23</v>
      </c>
      <c r="F174" s="30">
        <v>29.99</v>
      </c>
      <c r="G174" s="29">
        <v>59.98</v>
      </c>
      <c r="H174" s="28" t="s">
        <v>220</v>
      </c>
      <c r="I174" s="27" t="s">
        <v>189</v>
      </c>
      <c r="J174" s="31" t="s">
        <v>69</v>
      </c>
      <c r="K174" s="27" t="s">
        <v>200</v>
      </c>
      <c r="L174" s="27" t="s">
        <v>201</v>
      </c>
      <c r="M174" s="32" t="str">
        <f>HYPERLINK("http://slimages.macys.com/is/image/MCY/3899641 ")</f>
        <v xml:space="preserve">http://slimages.macys.com/is/image/MCY/3899641 </v>
      </c>
    </row>
    <row r="175" spans="1:13" ht="15.2" customHeight="1" x14ac:dyDescent="0.2">
      <c r="A175" s="26" t="s">
        <v>9860</v>
      </c>
      <c r="B175" s="27" t="s">
        <v>9861</v>
      </c>
      <c r="C175" s="28">
        <v>1</v>
      </c>
      <c r="D175" s="29">
        <v>11.5</v>
      </c>
      <c r="E175" s="29">
        <v>11.5</v>
      </c>
      <c r="F175" s="30">
        <v>29.99</v>
      </c>
      <c r="G175" s="29">
        <v>29.99</v>
      </c>
      <c r="H175" s="28" t="s">
        <v>220</v>
      </c>
      <c r="I175" s="27" t="s">
        <v>189</v>
      </c>
      <c r="J175" s="31" t="s">
        <v>113</v>
      </c>
      <c r="K175" s="27" t="s">
        <v>200</v>
      </c>
      <c r="L175" s="27" t="s">
        <v>201</v>
      </c>
      <c r="M175" s="32" t="str">
        <f>HYPERLINK("http://slimages.macys.com/is/image/MCY/3899641 ")</f>
        <v xml:space="preserve">http://slimages.macys.com/is/image/MCY/3899641 </v>
      </c>
    </row>
    <row r="176" spans="1:13" ht="15.2" customHeight="1" x14ac:dyDescent="0.2">
      <c r="A176" s="26" t="s">
        <v>2188</v>
      </c>
      <c r="B176" s="27" t="s">
        <v>2189</v>
      </c>
      <c r="C176" s="28">
        <v>1</v>
      </c>
      <c r="D176" s="29">
        <v>11.5</v>
      </c>
      <c r="E176" s="29">
        <v>11.5</v>
      </c>
      <c r="F176" s="30">
        <v>29.99</v>
      </c>
      <c r="G176" s="29">
        <v>29.99</v>
      </c>
      <c r="H176" s="28" t="s">
        <v>233</v>
      </c>
      <c r="I176" s="27" t="s">
        <v>4</v>
      </c>
      <c r="J176" s="31" t="s">
        <v>205</v>
      </c>
      <c r="K176" s="27" t="s">
        <v>200</v>
      </c>
      <c r="L176" s="27" t="s">
        <v>201</v>
      </c>
      <c r="M176" s="32" t="str">
        <f>HYPERLINK("http://slimages.macys.com/is/image/MCY/3899544 ")</f>
        <v xml:space="preserve">http://slimages.macys.com/is/image/MCY/3899544 </v>
      </c>
    </row>
    <row r="177" spans="1:13" ht="15.2" customHeight="1" x14ac:dyDescent="0.2">
      <c r="A177" s="26" t="s">
        <v>10852</v>
      </c>
      <c r="B177" s="27" t="s">
        <v>10853</v>
      </c>
      <c r="C177" s="28">
        <v>1</v>
      </c>
      <c r="D177" s="29">
        <v>11.5</v>
      </c>
      <c r="E177" s="29">
        <v>11.5</v>
      </c>
      <c r="F177" s="30">
        <v>25.99</v>
      </c>
      <c r="G177" s="29">
        <v>25.99</v>
      </c>
      <c r="H177" s="28" t="s">
        <v>1269</v>
      </c>
      <c r="I177" s="27" t="s">
        <v>189</v>
      </c>
      <c r="J177" s="31"/>
      <c r="K177" s="27" t="s">
        <v>200</v>
      </c>
      <c r="L177" s="27" t="s">
        <v>133</v>
      </c>
      <c r="M177" s="32" t="str">
        <f>HYPERLINK("http://slimages.macys.com/is/image/MCY/3858043 ")</f>
        <v xml:space="preserve">http://slimages.macys.com/is/image/MCY/3858043 </v>
      </c>
    </row>
    <row r="178" spans="1:13" ht="15.2" customHeight="1" x14ac:dyDescent="0.2">
      <c r="A178" s="26" t="s">
        <v>4618</v>
      </c>
      <c r="B178" s="27" t="s">
        <v>4619</v>
      </c>
      <c r="C178" s="28">
        <v>1</v>
      </c>
      <c r="D178" s="29">
        <v>11.5</v>
      </c>
      <c r="E178" s="29">
        <v>11.5</v>
      </c>
      <c r="F178" s="30">
        <v>29.99</v>
      </c>
      <c r="G178" s="29">
        <v>29.99</v>
      </c>
      <c r="H178" s="28" t="s">
        <v>233</v>
      </c>
      <c r="I178" s="27" t="s">
        <v>26</v>
      </c>
      <c r="J178" s="31" t="s">
        <v>210</v>
      </c>
      <c r="K178" s="27" t="s">
        <v>200</v>
      </c>
      <c r="L178" s="27" t="s">
        <v>201</v>
      </c>
      <c r="M178" s="32" t="str">
        <f>HYPERLINK("http://slimages.macys.com/is/image/MCY/3899624 ")</f>
        <v xml:space="preserve">http://slimages.macys.com/is/image/MCY/3899624 </v>
      </c>
    </row>
    <row r="179" spans="1:13" ht="15.2" customHeight="1" x14ac:dyDescent="0.2">
      <c r="A179" s="26" t="s">
        <v>6194</v>
      </c>
      <c r="B179" s="27" t="s">
        <v>6195</v>
      </c>
      <c r="C179" s="28">
        <v>1</v>
      </c>
      <c r="D179" s="29">
        <v>11.5</v>
      </c>
      <c r="E179" s="29">
        <v>11.5</v>
      </c>
      <c r="F179" s="30">
        <v>29.99</v>
      </c>
      <c r="G179" s="29">
        <v>29.99</v>
      </c>
      <c r="H179" s="28" t="s">
        <v>220</v>
      </c>
      <c r="I179" s="27" t="s">
        <v>189</v>
      </c>
      <c r="J179" s="31" t="s">
        <v>210</v>
      </c>
      <c r="K179" s="27" t="s">
        <v>200</v>
      </c>
      <c r="L179" s="27" t="s">
        <v>201</v>
      </c>
      <c r="M179" s="32" t="str">
        <f>HYPERLINK("http://slimages.macys.com/is/image/MCY/3899641 ")</f>
        <v xml:space="preserve">http://slimages.macys.com/is/image/MCY/3899641 </v>
      </c>
    </row>
    <row r="180" spans="1:13" ht="15.2" customHeight="1" x14ac:dyDescent="0.2">
      <c r="A180" s="26" t="s">
        <v>10854</v>
      </c>
      <c r="B180" s="27" t="s">
        <v>10855</v>
      </c>
      <c r="C180" s="28">
        <v>1</v>
      </c>
      <c r="D180" s="29">
        <v>11.25</v>
      </c>
      <c r="E180" s="29">
        <v>11.25</v>
      </c>
      <c r="F180" s="30">
        <v>29.99</v>
      </c>
      <c r="G180" s="29">
        <v>29.99</v>
      </c>
      <c r="H180" s="28" t="s">
        <v>4617</v>
      </c>
      <c r="I180" s="27" t="s">
        <v>146</v>
      </c>
      <c r="J180" s="31" t="s">
        <v>214</v>
      </c>
      <c r="K180" s="27" t="s">
        <v>200</v>
      </c>
      <c r="L180" s="27" t="s">
        <v>201</v>
      </c>
      <c r="M180" s="32" t="str">
        <f>HYPERLINK("http://slimages.macys.com/is/image/MCY/3825803 ")</f>
        <v xml:space="preserve">http://slimages.macys.com/is/image/MCY/3825803 </v>
      </c>
    </row>
    <row r="181" spans="1:13" ht="15.2" customHeight="1" x14ac:dyDescent="0.2">
      <c r="A181" s="26" t="s">
        <v>1273</v>
      </c>
      <c r="B181" s="27" t="s">
        <v>1274</v>
      </c>
      <c r="C181" s="28">
        <v>1</v>
      </c>
      <c r="D181" s="29">
        <v>11.25</v>
      </c>
      <c r="E181" s="29">
        <v>11.25</v>
      </c>
      <c r="F181" s="30">
        <v>29.99</v>
      </c>
      <c r="G181" s="29">
        <v>29.99</v>
      </c>
      <c r="H181" s="28" t="s">
        <v>1272</v>
      </c>
      <c r="I181" s="27" t="s">
        <v>343</v>
      </c>
      <c r="J181" s="31" t="s">
        <v>69</v>
      </c>
      <c r="K181" s="27" t="s">
        <v>200</v>
      </c>
      <c r="L181" s="27" t="s">
        <v>201</v>
      </c>
      <c r="M181" s="32" t="str">
        <f>HYPERLINK("http://slimages.macys.com/is/image/MCY/3825803 ")</f>
        <v xml:space="preserve">http://slimages.macys.com/is/image/MCY/3825803 </v>
      </c>
    </row>
    <row r="182" spans="1:13" ht="15.2" customHeight="1" x14ac:dyDescent="0.2">
      <c r="A182" s="26" t="s">
        <v>10856</v>
      </c>
      <c r="B182" s="27" t="s">
        <v>10857</v>
      </c>
      <c r="C182" s="28">
        <v>1</v>
      </c>
      <c r="D182" s="29">
        <v>11.25</v>
      </c>
      <c r="E182" s="29">
        <v>11.25</v>
      </c>
      <c r="F182" s="30">
        <v>25.99</v>
      </c>
      <c r="G182" s="29">
        <v>25.99</v>
      </c>
      <c r="H182" s="28" t="s">
        <v>7541</v>
      </c>
      <c r="I182" s="27" t="s">
        <v>10</v>
      </c>
      <c r="J182" s="31" t="s">
        <v>23</v>
      </c>
      <c r="K182" s="27" t="s">
        <v>200</v>
      </c>
      <c r="L182" s="27" t="s">
        <v>552</v>
      </c>
      <c r="M182" s="32" t="str">
        <f>HYPERLINK("http://slimages.macys.com/is/image/MCY/3755250 ")</f>
        <v xml:space="preserve">http://slimages.macys.com/is/image/MCY/3755250 </v>
      </c>
    </row>
    <row r="183" spans="1:13" ht="15.2" customHeight="1" x14ac:dyDescent="0.2">
      <c r="A183" s="26" t="s">
        <v>10858</v>
      </c>
      <c r="B183" s="27" t="s">
        <v>10859</v>
      </c>
      <c r="C183" s="28">
        <v>1</v>
      </c>
      <c r="D183" s="29">
        <v>11</v>
      </c>
      <c r="E183" s="29">
        <v>11</v>
      </c>
      <c r="F183" s="30">
        <v>29.99</v>
      </c>
      <c r="G183" s="29">
        <v>29.99</v>
      </c>
      <c r="H183" s="28" t="s">
        <v>2203</v>
      </c>
      <c r="I183" s="27" t="s">
        <v>1</v>
      </c>
      <c r="J183" s="31" t="s">
        <v>216</v>
      </c>
      <c r="K183" s="27" t="s">
        <v>200</v>
      </c>
      <c r="L183" s="27" t="s">
        <v>765</v>
      </c>
      <c r="M183" s="32" t="str">
        <f>HYPERLINK("http://slimages.macys.com/is/image/MCY/3364230 ")</f>
        <v xml:space="preserve">http://slimages.macys.com/is/image/MCY/3364230 </v>
      </c>
    </row>
    <row r="184" spans="1:13" ht="15.2" customHeight="1" x14ac:dyDescent="0.2">
      <c r="A184" s="26" t="s">
        <v>8283</v>
      </c>
      <c r="B184" s="27" t="s">
        <v>8284</v>
      </c>
      <c r="C184" s="28">
        <v>1</v>
      </c>
      <c r="D184" s="29">
        <v>11</v>
      </c>
      <c r="E184" s="29">
        <v>11</v>
      </c>
      <c r="F184" s="30">
        <v>29.99</v>
      </c>
      <c r="G184" s="29">
        <v>29.99</v>
      </c>
      <c r="H184" s="28" t="s">
        <v>1286</v>
      </c>
      <c r="I184" s="27" t="s">
        <v>1</v>
      </c>
      <c r="J184" s="31" t="s">
        <v>113</v>
      </c>
      <c r="K184" s="27" t="s">
        <v>200</v>
      </c>
      <c r="L184" s="27" t="s">
        <v>765</v>
      </c>
      <c r="M184" s="32" t="str">
        <f>HYPERLINK("http://slimages.macys.com/is/image/MCY/3364230 ")</f>
        <v xml:space="preserve">http://slimages.macys.com/is/image/MCY/3364230 </v>
      </c>
    </row>
    <row r="185" spans="1:13" ht="15.2" customHeight="1" x14ac:dyDescent="0.2">
      <c r="A185" s="26" t="s">
        <v>8289</v>
      </c>
      <c r="B185" s="27" t="s">
        <v>8290</v>
      </c>
      <c r="C185" s="28">
        <v>1</v>
      </c>
      <c r="D185" s="29">
        <v>11</v>
      </c>
      <c r="E185" s="29">
        <v>11</v>
      </c>
      <c r="F185" s="30">
        <v>29.99</v>
      </c>
      <c r="G185" s="29">
        <v>29.99</v>
      </c>
      <c r="H185" s="28" t="s">
        <v>1286</v>
      </c>
      <c r="I185" s="27" t="s">
        <v>1</v>
      </c>
      <c r="J185" s="31" t="s">
        <v>234</v>
      </c>
      <c r="K185" s="27" t="s">
        <v>200</v>
      </c>
      <c r="L185" s="27" t="s">
        <v>765</v>
      </c>
      <c r="M185" s="32" t="str">
        <f>HYPERLINK("http://slimages.macys.com/is/image/MCY/3364230 ")</f>
        <v xml:space="preserve">http://slimages.macys.com/is/image/MCY/3364230 </v>
      </c>
    </row>
    <row r="186" spans="1:13" ht="15.2" customHeight="1" x14ac:dyDescent="0.2">
      <c r="A186" s="26" t="s">
        <v>10860</v>
      </c>
      <c r="B186" s="27" t="s">
        <v>10861</v>
      </c>
      <c r="C186" s="28">
        <v>1</v>
      </c>
      <c r="D186" s="29">
        <v>11</v>
      </c>
      <c r="E186" s="29">
        <v>11</v>
      </c>
      <c r="F186" s="30">
        <v>29.99</v>
      </c>
      <c r="G186" s="29">
        <v>29.99</v>
      </c>
      <c r="H186" s="28" t="s">
        <v>1286</v>
      </c>
      <c r="I186" s="27" t="s">
        <v>1</v>
      </c>
      <c r="J186" s="31" t="s">
        <v>210</v>
      </c>
      <c r="K186" s="27" t="s">
        <v>200</v>
      </c>
      <c r="L186" s="27" t="s">
        <v>765</v>
      </c>
      <c r="M186" s="32" t="str">
        <f>HYPERLINK("http://slimages.macys.com/is/image/MCY/3364230 ")</f>
        <v xml:space="preserve">http://slimages.macys.com/is/image/MCY/3364230 </v>
      </c>
    </row>
    <row r="187" spans="1:13" ht="15.2" customHeight="1" x14ac:dyDescent="0.2">
      <c r="A187" s="26" t="s">
        <v>7544</v>
      </c>
      <c r="B187" s="27" t="s">
        <v>7545</v>
      </c>
      <c r="C187" s="28">
        <v>1</v>
      </c>
      <c r="D187" s="29">
        <v>11</v>
      </c>
      <c r="E187" s="29">
        <v>11</v>
      </c>
      <c r="F187" s="30">
        <v>39</v>
      </c>
      <c r="G187" s="29">
        <v>39</v>
      </c>
      <c r="H187" s="28" t="s">
        <v>7391</v>
      </c>
      <c r="I187" s="27"/>
      <c r="J187" s="31" t="s">
        <v>5</v>
      </c>
      <c r="K187" s="27" t="s">
        <v>154</v>
      </c>
      <c r="L187" s="27" t="s">
        <v>155</v>
      </c>
      <c r="M187" s="32" t="str">
        <f>HYPERLINK("http://slimages.macys.com/is/image/MCY/3747956 ")</f>
        <v xml:space="preserve">http://slimages.macys.com/is/image/MCY/3747956 </v>
      </c>
    </row>
    <row r="188" spans="1:13" ht="15.2" customHeight="1" x14ac:dyDescent="0.2">
      <c r="A188" s="26" t="s">
        <v>8285</v>
      </c>
      <c r="B188" s="27" t="s">
        <v>8286</v>
      </c>
      <c r="C188" s="28">
        <v>2</v>
      </c>
      <c r="D188" s="29">
        <v>11</v>
      </c>
      <c r="E188" s="29">
        <v>22</v>
      </c>
      <c r="F188" s="30">
        <v>29.99</v>
      </c>
      <c r="G188" s="29">
        <v>59.98</v>
      </c>
      <c r="H188" s="28" t="s">
        <v>1286</v>
      </c>
      <c r="I188" s="27" t="s">
        <v>1</v>
      </c>
      <c r="J188" s="31" t="s">
        <v>230</v>
      </c>
      <c r="K188" s="27" t="s">
        <v>200</v>
      </c>
      <c r="L188" s="27" t="s">
        <v>765</v>
      </c>
      <c r="M188" s="32" t="str">
        <f>HYPERLINK("http://slimages.macys.com/is/image/MCY/3364230 ")</f>
        <v xml:space="preserve">http://slimages.macys.com/is/image/MCY/3364230 </v>
      </c>
    </row>
    <row r="189" spans="1:13" ht="15.2" customHeight="1" x14ac:dyDescent="0.2">
      <c r="A189" s="26" t="s">
        <v>10862</v>
      </c>
      <c r="B189" s="27" t="s">
        <v>10863</v>
      </c>
      <c r="C189" s="28">
        <v>1</v>
      </c>
      <c r="D189" s="29">
        <v>10.85</v>
      </c>
      <c r="E189" s="29">
        <v>10.85</v>
      </c>
      <c r="F189" s="30">
        <v>27.99</v>
      </c>
      <c r="G189" s="29">
        <v>27.99</v>
      </c>
      <c r="H189" s="28" t="s">
        <v>8385</v>
      </c>
      <c r="I189" s="27" t="s">
        <v>36</v>
      </c>
      <c r="J189" s="31" t="s">
        <v>52</v>
      </c>
      <c r="K189" s="27" t="s">
        <v>224</v>
      </c>
      <c r="L189" s="27" t="s">
        <v>197</v>
      </c>
      <c r="M189" s="32" t="str">
        <f>HYPERLINK("http://slimages.macys.com/is/image/MCY/3777906 ")</f>
        <v xml:space="preserve">http://slimages.macys.com/is/image/MCY/3777906 </v>
      </c>
    </row>
    <row r="190" spans="1:13" ht="15.2" customHeight="1" x14ac:dyDescent="0.2">
      <c r="A190" s="26" t="s">
        <v>7394</v>
      </c>
      <c r="B190" s="27" t="s">
        <v>7395</v>
      </c>
      <c r="C190" s="28">
        <v>1</v>
      </c>
      <c r="D190" s="29">
        <v>10.76</v>
      </c>
      <c r="E190" s="29">
        <v>10.76</v>
      </c>
      <c r="F190" s="30">
        <v>29.5</v>
      </c>
      <c r="G190" s="29">
        <v>29.5</v>
      </c>
      <c r="H190" s="28" t="s">
        <v>3304</v>
      </c>
      <c r="I190" s="27" t="s">
        <v>22</v>
      </c>
      <c r="J190" s="31" t="s">
        <v>21</v>
      </c>
      <c r="K190" s="27" t="s">
        <v>41</v>
      </c>
      <c r="L190" s="27" t="s">
        <v>45</v>
      </c>
      <c r="M190" s="32" t="str">
        <f>HYPERLINK("http://slimages.macys.com/is/image/MCY/3700884 ")</f>
        <v xml:space="preserve">http://slimages.macys.com/is/image/MCY/3700884 </v>
      </c>
    </row>
    <row r="191" spans="1:13" ht="15.2" customHeight="1" x14ac:dyDescent="0.2">
      <c r="A191" s="26" t="s">
        <v>5034</v>
      </c>
      <c r="B191" s="27" t="s">
        <v>5035</v>
      </c>
      <c r="C191" s="28">
        <v>1</v>
      </c>
      <c r="D191" s="29">
        <v>10.65</v>
      </c>
      <c r="E191" s="29">
        <v>10.65</v>
      </c>
      <c r="F191" s="30">
        <v>27.99</v>
      </c>
      <c r="G191" s="29">
        <v>27.99</v>
      </c>
      <c r="H191" s="28" t="s">
        <v>1290</v>
      </c>
      <c r="I191" s="27" t="s">
        <v>49</v>
      </c>
      <c r="J191" s="31" t="s">
        <v>5</v>
      </c>
      <c r="K191" s="27" t="s">
        <v>224</v>
      </c>
      <c r="L191" s="27" t="s">
        <v>237</v>
      </c>
      <c r="M191" s="32" t="str">
        <f>HYPERLINK("http://slimages.macys.com/is/image/MCY/3787610 ")</f>
        <v xml:space="preserve">http://slimages.macys.com/is/image/MCY/3787610 </v>
      </c>
    </row>
    <row r="192" spans="1:13" ht="15.2" customHeight="1" x14ac:dyDescent="0.2">
      <c r="A192" s="26" t="s">
        <v>8298</v>
      </c>
      <c r="B192" s="27" t="s">
        <v>8299</v>
      </c>
      <c r="C192" s="28">
        <v>2</v>
      </c>
      <c r="D192" s="29">
        <v>10.65</v>
      </c>
      <c r="E192" s="29">
        <v>21.3</v>
      </c>
      <c r="F192" s="30">
        <v>27.99</v>
      </c>
      <c r="G192" s="29">
        <v>55.98</v>
      </c>
      <c r="H192" s="28" t="s">
        <v>1290</v>
      </c>
      <c r="I192" s="27" t="s">
        <v>49</v>
      </c>
      <c r="J192" s="31" t="s">
        <v>52</v>
      </c>
      <c r="K192" s="27" t="s">
        <v>224</v>
      </c>
      <c r="L192" s="27" t="s">
        <v>237</v>
      </c>
      <c r="M192" s="32" t="str">
        <f>HYPERLINK("http://slimages.macys.com/is/image/MCY/3787610 ")</f>
        <v xml:space="preserve">http://slimages.macys.com/is/image/MCY/3787610 </v>
      </c>
    </row>
    <row r="193" spans="1:13" ht="15.2" customHeight="1" x14ac:dyDescent="0.2">
      <c r="A193" s="26" t="s">
        <v>2207</v>
      </c>
      <c r="B193" s="27" t="s">
        <v>2208</v>
      </c>
      <c r="C193" s="28">
        <v>1</v>
      </c>
      <c r="D193" s="29">
        <v>10.6</v>
      </c>
      <c r="E193" s="29">
        <v>10.6</v>
      </c>
      <c r="F193" s="30">
        <v>22.99</v>
      </c>
      <c r="G193" s="29">
        <v>22.99</v>
      </c>
      <c r="H193" s="28" t="s">
        <v>2209</v>
      </c>
      <c r="I193" s="27" t="s">
        <v>4</v>
      </c>
      <c r="J193" s="31" t="s">
        <v>5</v>
      </c>
      <c r="K193" s="27" t="s">
        <v>208</v>
      </c>
      <c r="L193" s="27" t="s">
        <v>197</v>
      </c>
      <c r="M193" s="32" t="str">
        <f>HYPERLINK("http://slimages.macys.com/is/image/MCY/3755612 ")</f>
        <v xml:space="preserve">http://slimages.macys.com/is/image/MCY/3755612 </v>
      </c>
    </row>
    <row r="194" spans="1:13" ht="15.2" customHeight="1" x14ac:dyDescent="0.2">
      <c r="A194" s="26" t="s">
        <v>2904</v>
      </c>
      <c r="B194" s="27" t="s">
        <v>2905</v>
      </c>
      <c r="C194" s="28">
        <v>1</v>
      </c>
      <c r="D194" s="29">
        <v>10.5</v>
      </c>
      <c r="E194" s="29">
        <v>10.5</v>
      </c>
      <c r="F194" s="30">
        <v>25.99</v>
      </c>
      <c r="G194" s="29">
        <v>25.99</v>
      </c>
      <c r="H194" s="28" t="s">
        <v>1305</v>
      </c>
      <c r="I194" s="27" t="s">
        <v>207</v>
      </c>
      <c r="J194" s="31" t="s">
        <v>69</v>
      </c>
      <c r="K194" s="27" t="s">
        <v>200</v>
      </c>
      <c r="L194" s="27" t="s">
        <v>133</v>
      </c>
      <c r="M194" s="32" t="str">
        <f>HYPERLINK("http://slimages.macys.com/is/image/MCY/3773860 ")</f>
        <v xml:space="preserve">http://slimages.macys.com/is/image/MCY/3773860 </v>
      </c>
    </row>
    <row r="195" spans="1:13" ht="15.2" customHeight="1" x14ac:dyDescent="0.2">
      <c r="A195" s="26" t="s">
        <v>10080</v>
      </c>
      <c r="B195" s="27" t="s">
        <v>10081</v>
      </c>
      <c r="C195" s="28">
        <v>1</v>
      </c>
      <c r="D195" s="29">
        <v>10.5</v>
      </c>
      <c r="E195" s="29">
        <v>10.5</v>
      </c>
      <c r="F195" s="30">
        <v>25.99</v>
      </c>
      <c r="G195" s="29">
        <v>25.99</v>
      </c>
      <c r="H195" s="28" t="s">
        <v>1305</v>
      </c>
      <c r="I195" s="27" t="s">
        <v>207</v>
      </c>
      <c r="J195" s="31" t="s">
        <v>210</v>
      </c>
      <c r="K195" s="27" t="s">
        <v>200</v>
      </c>
      <c r="L195" s="27" t="s">
        <v>133</v>
      </c>
      <c r="M195" s="32" t="str">
        <f>HYPERLINK("http://slimages.macys.com/is/image/MCY/3773860 ")</f>
        <v xml:space="preserve">http://slimages.macys.com/is/image/MCY/3773860 </v>
      </c>
    </row>
    <row r="196" spans="1:13" ht="15.2" customHeight="1" x14ac:dyDescent="0.2">
      <c r="A196" s="26" t="s">
        <v>2623</v>
      </c>
      <c r="B196" s="27" t="s">
        <v>2624</v>
      </c>
      <c r="C196" s="28">
        <v>1</v>
      </c>
      <c r="D196" s="29">
        <v>10.5</v>
      </c>
      <c r="E196" s="29">
        <v>10.5</v>
      </c>
      <c r="F196" s="30">
        <v>25.99</v>
      </c>
      <c r="G196" s="29">
        <v>25.99</v>
      </c>
      <c r="H196" s="28" t="s">
        <v>1305</v>
      </c>
      <c r="I196" s="27" t="s">
        <v>207</v>
      </c>
      <c r="J196" s="31" t="s">
        <v>216</v>
      </c>
      <c r="K196" s="27" t="s">
        <v>200</v>
      </c>
      <c r="L196" s="27" t="s">
        <v>133</v>
      </c>
      <c r="M196" s="32" t="str">
        <f>HYPERLINK("http://slimages.macys.com/is/image/MCY/3773860 ")</f>
        <v xml:space="preserve">http://slimages.macys.com/is/image/MCY/3773860 </v>
      </c>
    </row>
    <row r="197" spans="1:13" ht="15.2" customHeight="1" x14ac:dyDescent="0.2">
      <c r="A197" s="26" t="s">
        <v>2618</v>
      </c>
      <c r="B197" s="27" t="s">
        <v>2619</v>
      </c>
      <c r="C197" s="28">
        <v>1</v>
      </c>
      <c r="D197" s="29">
        <v>10.5</v>
      </c>
      <c r="E197" s="29">
        <v>10.5</v>
      </c>
      <c r="F197" s="30">
        <v>26.99</v>
      </c>
      <c r="G197" s="29">
        <v>26.99</v>
      </c>
      <c r="H197" s="28" t="s">
        <v>2620</v>
      </c>
      <c r="I197" s="27" t="s">
        <v>75</v>
      </c>
      <c r="J197" s="31" t="s">
        <v>52</v>
      </c>
      <c r="K197" s="27" t="s">
        <v>70</v>
      </c>
      <c r="L197" s="27" t="s">
        <v>250</v>
      </c>
      <c r="M197" s="32" t="str">
        <f>HYPERLINK("http://slimages.macys.com/is/image/MCY/3666154 ")</f>
        <v xml:space="preserve">http://slimages.macys.com/is/image/MCY/3666154 </v>
      </c>
    </row>
    <row r="198" spans="1:13" ht="15.2" customHeight="1" x14ac:dyDescent="0.2">
      <c r="A198" s="26" t="s">
        <v>3316</v>
      </c>
      <c r="B198" s="27" t="s">
        <v>3317</v>
      </c>
      <c r="C198" s="28">
        <v>1</v>
      </c>
      <c r="D198" s="29">
        <v>10.5</v>
      </c>
      <c r="E198" s="29">
        <v>10.5</v>
      </c>
      <c r="F198" s="30">
        <v>25.99</v>
      </c>
      <c r="G198" s="29">
        <v>25.99</v>
      </c>
      <c r="H198" s="28" t="s">
        <v>1305</v>
      </c>
      <c r="I198" s="27" t="s">
        <v>207</v>
      </c>
      <c r="J198" s="31" t="s">
        <v>23</v>
      </c>
      <c r="K198" s="27" t="s">
        <v>200</v>
      </c>
      <c r="L198" s="27" t="s">
        <v>133</v>
      </c>
      <c r="M198" s="32" t="str">
        <f>HYPERLINK("http://slimages.macys.com/is/image/MCY/3773860 ")</f>
        <v xml:space="preserve">http://slimages.macys.com/is/image/MCY/3773860 </v>
      </c>
    </row>
    <row r="199" spans="1:13" ht="15.2" customHeight="1" x14ac:dyDescent="0.2">
      <c r="A199" s="26" t="s">
        <v>8388</v>
      </c>
      <c r="B199" s="27" t="s">
        <v>8389</v>
      </c>
      <c r="C199" s="28">
        <v>1</v>
      </c>
      <c r="D199" s="29">
        <v>10.5</v>
      </c>
      <c r="E199" s="29">
        <v>10.5</v>
      </c>
      <c r="F199" s="30">
        <v>22.99</v>
      </c>
      <c r="G199" s="29">
        <v>22.99</v>
      </c>
      <c r="H199" s="28">
        <v>60444926</v>
      </c>
      <c r="I199" s="27" t="s">
        <v>4</v>
      </c>
      <c r="J199" s="31" t="s">
        <v>71</v>
      </c>
      <c r="K199" s="27" t="s">
        <v>208</v>
      </c>
      <c r="L199" s="27" t="s">
        <v>255</v>
      </c>
      <c r="M199" s="32" t="str">
        <f>HYPERLINK("http://slimages.macys.com/is/image/MCY/3834604 ")</f>
        <v xml:space="preserve">http://slimages.macys.com/is/image/MCY/3834604 </v>
      </c>
    </row>
    <row r="200" spans="1:13" ht="15.2" customHeight="1" x14ac:dyDescent="0.2">
      <c r="A200" s="26" t="s">
        <v>4472</v>
      </c>
      <c r="B200" s="27" t="s">
        <v>4473</v>
      </c>
      <c r="C200" s="28">
        <v>1</v>
      </c>
      <c r="D200" s="29">
        <v>10.5</v>
      </c>
      <c r="E200" s="29">
        <v>10.5</v>
      </c>
      <c r="F200" s="30">
        <v>27.99</v>
      </c>
      <c r="G200" s="29">
        <v>27.99</v>
      </c>
      <c r="H200" s="28" t="s">
        <v>253</v>
      </c>
      <c r="I200" s="27" t="s">
        <v>4</v>
      </c>
      <c r="J200" s="31" t="s">
        <v>5</v>
      </c>
      <c r="K200" s="27" t="s">
        <v>224</v>
      </c>
      <c r="L200" s="27" t="s">
        <v>254</v>
      </c>
      <c r="M200" s="32" t="str">
        <f>HYPERLINK("http://slimages.macys.com/is/image/MCY/3798053 ")</f>
        <v xml:space="preserve">http://slimages.macys.com/is/image/MCY/3798053 </v>
      </c>
    </row>
    <row r="201" spans="1:13" ht="15.2" customHeight="1" x14ac:dyDescent="0.2">
      <c r="A201" s="26" t="s">
        <v>5432</v>
      </c>
      <c r="B201" s="27" t="s">
        <v>5433</v>
      </c>
      <c r="C201" s="28">
        <v>1</v>
      </c>
      <c r="D201" s="29">
        <v>10.5</v>
      </c>
      <c r="E201" s="29">
        <v>10.5</v>
      </c>
      <c r="F201" s="30">
        <v>24.99</v>
      </c>
      <c r="G201" s="29">
        <v>24.99</v>
      </c>
      <c r="H201" s="28" t="s">
        <v>259</v>
      </c>
      <c r="I201" s="27" t="s">
        <v>26</v>
      </c>
      <c r="J201" s="31" t="s">
        <v>40</v>
      </c>
      <c r="K201" s="27" t="s">
        <v>224</v>
      </c>
      <c r="L201" s="27" t="s">
        <v>260</v>
      </c>
      <c r="M201" s="32" t="str">
        <f>HYPERLINK("http://slimages.macys.com/is/image/MCY/3832929 ")</f>
        <v xml:space="preserve">http://slimages.macys.com/is/image/MCY/3832929 </v>
      </c>
    </row>
    <row r="202" spans="1:13" ht="15.2" customHeight="1" x14ac:dyDescent="0.2">
      <c r="A202" s="26" t="s">
        <v>8625</v>
      </c>
      <c r="B202" s="27" t="s">
        <v>8626</v>
      </c>
      <c r="C202" s="28">
        <v>1</v>
      </c>
      <c r="D202" s="29">
        <v>10.5</v>
      </c>
      <c r="E202" s="29">
        <v>10.5</v>
      </c>
      <c r="F202" s="30">
        <v>24.99</v>
      </c>
      <c r="G202" s="29">
        <v>24.99</v>
      </c>
      <c r="H202" s="28" t="s">
        <v>259</v>
      </c>
      <c r="I202" s="27" t="s">
        <v>26</v>
      </c>
      <c r="J202" s="31" t="s">
        <v>21</v>
      </c>
      <c r="K202" s="27" t="s">
        <v>224</v>
      </c>
      <c r="L202" s="27" t="s">
        <v>260</v>
      </c>
      <c r="M202" s="32" t="str">
        <f>HYPERLINK("http://slimages.macys.com/is/image/MCY/3832929 ")</f>
        <v xml:space="preserve">http://slimages.macys.com/is/image/MCY/3832929 </v>
      </c>
    </row>
    <row r="203" spans="1:13" ht="15.2" customHeight="1" x14ac:dyDescent="0.2">
      <c r="A203" s="26" t="s">
        <v>4466</v>
      </c>
      <c r="B203" s="27" t="s">
        <v>4467</v>
      </c>
      <c r="C203" s="28">
        <v>1</v>
      </c>
      <c r="D203" s="29">
        <v>10.5</v>
      </c>
      <c r="E203" s="29">
        <v>10.5</v>
      </c>
      <c r="F203" s="30">
        <v>24.99</v>
      </c>
      <c r="G203" s="29">
        <v>24.99</v>
      </c>
      <c r="H203" s="28" t="s">
        <v>259</v>
      </c>
      <c r="I203" s="27" t="s">
        <v>127</v>
      </c>
      <c r="J203" s="31" t="s">
        <v>5</v>
      </c>
      <c r="K203" s="27" t="s">
        <v>224</v>
      </c>
      <c r="L203" s="27" t="s">
        <v>260</v>
      </c>
      <c r="M203" s="32" t="str">
        <f>HYPERLINK("http://slimages.macys.com/is/image/MCY/3832935 ")</f>
        <v xml:space="preserve">http://slimages.macys.com/is/image/MCY/3832935 </v>
      </c>
    </row>
    <row r="204" spans="1:13" ht="15.2" customHeight="1" x14ac:dyDescent="0.2">
      <c r="A204" s="26" t="s">
        <v>10289</v>
      </c>
      <c r="B204" s="27" t="s">
        <v>10290</v>
      </c>
      <c r="C204" s="28">
        <v>1</v>
      </c>
      <c r="D204" s="29">
        <v>10.199999999999999</v>
      </c>
      <c r="E204" s="29">
        <v>10.199999999999999</v>
      </c>
      <c r="F204" s="30">
        <v>22.99</v>
      </c>
      <c r="G204" s="29">
        <v>22.99</v>
      </c>
      <c r="H204" s="28" t="s">
        <v>10250</v>
      </c>
      <c r="I204" s="27" t="s">
        <v>1</v>
      </c>
      <c r="J204" s="31" t="s">
        <v>52</v>
      </c>
      <c r="K204" s="27" t="s">
        <v>208</v>
      </c>
      <c r="L204" s="27" t="s">
        <v>197</v>
      </c>
      <c r="M204" s="32" t="str">
        <f>HYPERLINK("http://slimages.macys.com/is/image/MCY/3940749 ")</f>
        <v xml:space="preserve">http://slimages.macys.com/is/image/MCY/3940749 </v>
      </c>
    </row>
    <row r="205" spans="1:13" ht="15.2" customHeight="1" x14ac:dyDescent="0.2">
      <c r="A205" s="26" t="s">
        <v>7751</v>
      </c>
      <c r="B205" s="27" t="s">
        <v>7752</v>
      </c>
      <c r="C205" s="28">
        <v>1</v>
      </c>
      <c r="D205" s="29">
        <v>10</v>
      </c>
      <c r="E205" s="29">
        <v>10</v>
      </c>
      <c r="F205" s="30">
        <v>39</v>
      </c>
      <c r="G205" s="29">
        <v>39</v>
      </c>
      <c r="H205" s="28" t="s">
        <v>7753</v>
      </c>
      <c r="I205" s="27" t="s">
        <v>4</v>
      </c>
      <c r="J205" s="31" t="s">
        <v>52</v>
      </c>
      <c r="K205" s="27" t="s">
        <v>70</v>
      </c>
      <c r="L205" s="27" t="s">
        <v>155</v>
      </c>
      <c r="M205" s="32" t="str">
        <f>HYPERLINK("http://slimages.macys.com/is/image/MCY/3809555 ")</f>
        <v xml:space="preserve">http://slimages.macys.com/is/image/MCY/3809555 </v>
      </c>
    </row>
    <row r="206" spans="1:13" ht="15.2" customHeight="1" x14ac:dyDescent="0.2">
      <c r="A206" s="26" t="s">
        <v>10864</v>
      </c>
      <c r="B206" s="27" t="s">
        <v>10865</v>
      </c>
      <c r="C206" s="28">
        <v>1</v>
      </c>
      <c r="D206" s="29">
        <v>10</v>
      </c>
      <c r="E206" s="29">
        <v>10</v>
      </c>
      <c r="F206" s="30">
        <v>39</v>
      </c>
      <c r="G206" s="29">
        <v>39</v>
      </c>
      <c r="H206" s="28" t="s">
        <v>10866</v>
      </c>
      <c r="I206" s="27" t="s">
        <v>5519</v>
      </c>
      <c r="J206" s="31" t="s">
        <v>65</v>
      </c>
      <c r="K206" s="27" t="s">
        <v>154</v>
      </c>
      <c r="L206" s="27" t="s">
        <v>155</v>
      </c>
      <c r="M206" s="32" t="str">
        <f>HYPERLINK("http://slimages.macys.com/is/image/MCY/1080029 ")</f>
        <v xml:space="preserve">http://slimages.macys.com/is/image/MCY/1080029 </v>
      </c>
    </row>
    <row r="207" spans="1:13" ht="15.2" customHeight="1" x14ac:dyDescent="0.2">
      <c r="A207" s="26" t="s">
        <v>8637</v>
      </c>
      <c r="B207" s="27" t="s">
        <v>8638</v>
      </c>
      <c r="C207" s="28">
        <v>1</v>
      </c>
      <c r="D207" s="29">
        <v>10</v>
      </c>
      <c r="E207" s="29">
        <v>10</v>
      </c>
      <c r="F207" s="30">
        <v>22.99</v>
      </c>
      <c r="G207" s="29">
        <v>22.99</v>
      </c>
      <c r="H207" s="28" t="s">
        <v>2914</v>
      </c>
      <c r="I207" s="27" t="s">
        <v>94</v>
      </c>
      <c r="J207" s="31" t="s">
        <v>5</v>
      </c>
      <c r="K207" s="27" t="s">
        <v>208</v>
      </c>
      <c r="L207" s="27" t="s">
        <v>197</v>
      </c>
      <c r="M207" s="32" t="str">
        <f>HYPERLINK("http://slimages.macys.com/is/image/MCY/3687920 ")</f>
        <v xml:space="preserve">http://slimages.macys.com/is/image/MCY/3687920 </v>
      </c>
    </row>
    <row r="208" spans="1:13" ht="15.2" customHeight="1" x14ac:dyDescent="0.2">
      <c r="A208" s="26" t="s">
        <v>8301</v>
      </c>
      <c r="B208" s="27" t="s">
        <v>8302</v>
      </c>
      <c r="C208" s="28">
        <v>1</v>
      </c>
      <c r="D208" s="29">
        <v>10</v>
      </c>
      <c r="E208" s="29">
        <v>10</v>
      </c>
      <c r="F208" s="30">
        <v>27.99</v>
      </c>
      <c r="G208" s="29">
        <v>27.99</v>
      </c>
      <c r="H208" s="28" t="s">
        <v>279</v>
      </c>
      <c r="I208" s="27" t="s">
        <v>274</v>
      </c>
      <c r="J208" s="31" t="s">
        <v>40</v>
      </c>
      <c r="K208" s="27" t="s">
        <v>224</v>
      </c>
      <c r="L208" s="27" t="s">
        <v>237</v>
      </c>
      <c r="M208" s="32" t="str">
        <f>HYPERLINK("http://slimages.macys.com/is/image/MCY/3820976 ")</f>
        <v xml:space="preserve">http://slimages.macys.com/is/image/MCY/3820976 </v>
      </c>
    </row>
    <row r="209" spans="1:13" ht="15.2" customHeight="1" x14ac:dyDescent="0.2">
      <c r="A209" s="26" t="s">
        <v>10322</v>
      </c>
      <c r="B209" s="27" t="s">
        <v>10323</v>
      </c>
      <c r="C209" s="28">
        <v>1</v>
      </c>
      <c r="D209" s="29">
        <v>10</v>
      </c>
      <c r="E209" s="29">
        <v>10</v>
      </c>
      <c r="F209" s="30">
        <v>27.99</v>
      </c>
      <c r="G209" s="29">
        <v>27.99</v>
      </c>
      <c r="H209" s="28" t="s">
        <v>8397</v>
      </c>
      <c r="I209" s="27" t="s">
        <v>26</v>
      </c>
      <c r="J209" s="31" t="s">
        <v>5</v>
      </c>
      <c r="K209" s="27" t="s">
        <v>224</v>
      </c>
      <c r="L209" s="27" t="s">
        <v>260</v>
      </c>
      <c r="M209" s="32" t="str">
        <f>HYPERLINK("http://slimages.macys.com/is/image/MCY/3834627 ")</f>
        <v xml:space="preserve">http://slimages.macys.com/is/image/MCY/3834627 </v>
      </c>
    </row>
    <row r="210" spans="1:13" ht="15.2" customHeight="1" x14ac:dyDescent="0.2">
      <c r="A210" s="26" t="s">
        <v>10867</v>
      </c>
      <c r="B210" s="27" t="s">
        <v>10868</v>
      </c>
      <c r="C210" s="28">
        <v>1</v>
      </c>
      <c r="D210" s="29">
        <v>10</v>
      </c>
      <c r="E210" s="29">
        <v>10</v>
      </c>
      <c r="F210" s="30">
        <v>24.98</v>
      </c>
      <c r="G210" s="29">
        <v>24.98</v>
      </c>
      <c r="H210" s="28" t="s">
        <v>1321</v>
      </c>
      <c r="I210" s="27" t="s">
        <v>4</v>
      </c>
      <c r="J210" s="31" t="s">
        <v>113</v>
      </c>
      <c r="K210" s="27" t="s">
        <v>154</v>
      </c>
      <c r="L210" s="27" t="s">
        <v>155</v>
      </c>
      <c r="M210" s="32" t="str">
        <f>HYPERLINK("http://slimages.macys.com/is/image/MCY/2035405 ")</f>
        <v xml:space="preserve">http://slimages.macys.com/is/image/MCY/2035405 </v>
      </c>
    </row>
    <row r="211" spans="1:13" ht="15.2" customHeight="1" x14ac:dyDescent="0.2">
      <c r="A211" s="26" t="s">
        <v>10869</v>
      </c>
      <c r="B211" s="27" t="s">
        <v>10870</v>
      </c>
      <c r="C211" s="28">
        <v>1</v>
      </c>
      <c r="D211" s="29">
        <v>9.8000000000000007</v>
      </c>
      <c r="E211" s="29">
        <v>9.8000000000000007</v>
      </c>
      <c r="F211" s="30">
        <v>29</v>
      </c>
      <c r="G211" s="29">
        <v>29</v>
      </c>
      <c r="H211" s="28" t="s">
        <v>4476</v>
      </c>
      <c r="I211" s="27" t="s">
        <v>280</v>
      </c>
      <c r="J211" s="31" t="s">
        <v>40</v>
      </c>
      <c r="K211" s="27" t="s">
        <v>42</v>
      </c>
      <c r="L211" s="27" t="s">
        <v>43</v>
      </c>
      <c r="M211" s="32" t="str">
        <f>HYPERLINK("http://slimages.macys.com/is/image/MCY/3611260 ")</f>
        <v xml:space="preserve">http://slimages.macys.com/is/image/MCY/3611260 </v>
      </c>
    </row>
    <row r="212" spans="1:13" ht="15.2" customHeight="1" x14ac:dyDescent="0.2">
      <c r="A212" s="26" t="s">
        <v>798</v>
      </c>
      <c r="B212" s="27" t="s">
        <v>799</v>
      </c>
      <c r="C212" s="28">
        <v>1</v>
      </c>
      <c r="D212" s="29">
        <v>9.75</v>
      </c>
      <c r="E212" s="29">
        <v>9.75</v>
      </c>
      <c r="F212" s="30">
        <v>22.99</v>
      </c>
      <c r="G212" s="29">
        <v>22.99</v>
      </c>
      <c r="H212" s="28">
        <v>60444973</v>
      </c>
      <c r="I212" s="27" t="s">
        <v>4</v>
      </c>
      <c r="J212" s="31" t="s">
        <v>52</v>
      </c>
      <c r="K212" s="27" t="s">
        <v>208</v>
      </c>
      <c r="L212" s="27" t="s">
        <v>255</v>
      </c>
      <c r="M212" s="32" t="str">
        <f>HYPERLINK("http://slimages.macys.com/is/image/MCY/3850039 ")</f>
        <v xml:space="preserve">http://slimages.macys.com/is/image/MCY/3850039 </v>
      </c>
    </row>
    <row r="213" spans="1:13" ht="15.2" customHeight="1" x14ac:dyDescent="0.2">
      <c r="A213" s="26" t="s">
        <v>10871</v>
      </c>
      <c r="B213" s="27" t="s">
        <v>10872</v>
      </c>
      <c r="C213" s="28">
        <v>1</v>
      </c>
      <c r="D213" s="29">
        <v>9.75</v>
      </c>
      <c r="E213" s="29">
        <v>9.75</v>
      </c>
      <c r="F213" s="30">
        <v>19.989999999999998</v>
      </c>
      <c r="G213" s="29">
        <v>19.989999999999998</v>
      </c>
      <c r="H213" s="28" t="s">
        <v>2632</v>
      </c>
      <c r="I213" s="27" t="s">
        <v>59</v>
      </c>
      <c r="J213" s="31" t="s">
        <v>21</v>
      </c>
      <c r="K213" s="27" t="s">
        <v>196</v>
      </c>
      <c r="L213" s="27" t="s">
        <v>256</v>
      </c>
      <c r="M213" s="32" t="str">
        <f>HYPERLINK("http://slimages.macys.com/is/image/MCY/3755166 ")</f>
        <v xml:space="preserve">http://slimages.macys.com/is/image/MCY/3755166 </v>
      </c>
    </row>
    <row r="214" spans="1:13" ht="15.2" customHeight="1" x14ac:dyDescent="0.2">
      <c r="A214" s="26" t="s">
        <v>10873</v>
      </c>
      <c r="B214" s="27" t="s">
        <v>10874</v>
      </c>
      <c r="C214" s="28">
        <v>2</v>
      </c>
      <c r="D214" s="29">
        <v>9.75</v>
      </c>
      <c r="E214" s="29">
        <v>19.5</v>
      </c>
      <c r="F214" s="30">
        <v>24.99</v>
      </c>
      <c r="G214" s="29">
        <v>49.98</v>
      </c>
      <c r="H214" s="28" t="s">
        <v>4347</v>
      </c>
      <c r="I214" s="27" t="s">
        <v>82</v>
      </c>
      <c r="J214" s="31" t="s">
        <v>40</v>
      </c>
      <c r="K214" s="27" t="s">
        <v>224</v>
      </c>
      <c r="L214" s="27" t="s">
        <v>197</v>
      </c>
      <c r="M214" s="32" t="str">
        <f>HYPERLINK("http://slimages.macys.com/is/image/MCY/3820961 ")</f>
        <v xml:space="preserve">http://slimages.macys.com/is/image/MCY/3820961 </v>
      </c>
    </row>
    <row r="215" spans="1:13" ht="15.2" customHeight="1" x14ac:dyDescent="0.2">
      <c r="A215" s="26" t="s">
        <v>9864</v>
      </c>
      <c r="B215" s="27" t="s">
        <v>9865</v>
      </c>
      <c r="C215" s="28">
        <v>1</v>
      </c>
      <c r="D215" s="29">
        <v>9.75</v>
      </c>
      <c r="E215" s="29">
        <v>9.75</v>
      </c>
      <c r="F215" s="30">
        <v>19.989999999999998</v>
      </c>
      <c r="G215" s="29">
        <v>19.989999999999998</v>
      </c>
      <c r="H215" s="28" t="s">
        <v>2632</v>
      </c>
      <c r="I215" s="27" t="s">
        <v>10</v>
      </c>
      <c r="J215" s="31" t="s">
        <v>40</v>
      </c>
      <c r="K215" s="27" t="s">
        <v>196</v>
      </c>
      <c r="L215" s="27" t="s">
        <v>256</v>
      </c>
      <c r="M215" s="32" t="str">
        <f>HYPERLINK("http://slimages.macys.com/is/image/MCY/3755166 ")</f>
        <v xml:space="preserve">http://slimages.macys.com/is/image/MCY/3755166 </v>
      </c>
    </row>
    <row r="216" spans="1:13" ht="15.2" customHeight="1" x14ac:dyDescent="0.2">
      <c r="A216" s="26" t="s">
        <v>10084</v>
      </c>
      <c r="B216" s="27" t="s">
        <v>10085</v>
      </c>
      <c r="C216" s="28">
        <v>2</v>
      </c>
      <c r="D216" s="29">
        <v>9.65</v>
      </c>
      <c r="E216" s="29">
        <v>19.3</v>
      </c>
      <c r="F216" s="30">
        <v>27.99</v>
      </c>
      <c r="G216" s="29">
        <v>55.98</v>
      </c>
      <c r="H216" s="28" t="s">
        <v>279</v>
      </c>
      <c r="I216" s="27" t="s">
        <v>280</v>
      </c>
      <c r="J216" s="31" t="s">
        <v>52</v>
      </c>
      <c r="K216" s="27" t="s">
        <v>224</v>
      </c>
      <c r="L216" s="27" t="s">
        <v>237</v>
      </c>
      <c r="M216" s="32" t="str">
        <f>HYPERLINK("http://slimages.macys.com/is/image/MCY/3820978 ")</f>
        <v xml:space="preserve">http://slimages.macys.com/is/image/MCY/3820978 </v>
      </c>
    </row>
    <row r="217" spans="1:13" ht="15.2" customHeight="1" x14ac:dyDescent="0.2">
      <c r="A217" s="26" t="s">
        <v>10875</v>
      </c>
      <c r="B217" s="27" t="s">
        <v>10876</v>
      </c>
      <c r="C217" s="28">
        <v>1</v>
      </c>
      <c r="D217" s="29">
        <v>9.5</v>
      </c>
      <c r="E217" s="29">
        <v>9.5</v>
      </c>
      <c r="F217" s="30">
        <v>22.99</v>
      </c>
      <c r="G217" s="29">
        <v>22.99</v>
      </c>
      <c r="H217" s="28" t="s">
        <v>5065</v>
      </c>
      <c r="I217" s="27" t="s">
        <v>144</v>
      </c>
      <c r="J217" s="31" t="s">
        <v>40</v>
      </c>
      <c r="K217" s="27" t="s">
        <v>208</v>
      </c>
      <c r="L217" s="27" t="s">
        <v>197</v>
      </c>
      <c r="M217" s="32" t="str">
        <f>HYPERLINK("http://slimages.macys.com/is/image/MCY/3738472 ")</f>
        <v xml:space="preserve">http://slimages.macys.com/is/image/MCY/3738472 </v>
      </c>
    </row>
    <row r="218" spans="1:13" ht="15.2" customHeight="1" x14ac:dyDescent="0.2">
      <c r="A218" s="26" t="s">
        <v>10877</v>
      </c>
      <c r="B218" s="27" t="s">
        <v>10878</v>
      </c>
      <c r="C218" s="28">
        <v>1</v>
      </c>
      <c r="D218" s="29">
        <v>9.5</v>
      </c>
      <c r="E218" s="29">
        <v>9.5</v>
      </c>
      <c r="F218" s="30">
        <v>19.989999999999998</v>
      </c>
      <c r="G218" s="29">
        <v>19.989999999999998</v>
      </c>
      <c r="H218" s="28" t="s">
        <v>8306</v>
      </c>
      <c r="I218" s="27" t="s">
        <v>274</v>
      </c>
      <c r="J218" s="31" t="s">
        <v>71</v>
      </c>
      <c r="K218" s="27" t="s">
        <v>196</v>
      </c>
      <c r="L218" s="27" t="s">
        <v>256</v>
      </c>
      <c r="M218" s="32" t="str">
        <f>HYPERLINK("http://slimages.macys.com/is/image/MCY/3879687 ")</f>
        <v xml:space="preserve">http://slimages.macys.com/is/image/MCY/3879687 </v>
      </c>
    </row>
    <row r="219" spans="1:13" ht="15.2" customHeight="1" x14ac:dyDescent="0.2">
      <c r="A219" s="26" t="s">
        <v>2930</v>
      </c>
      <c r="B219" s="27" t="s">
        <v>2931</v>
      </c>
      <c r="C219" s="28">
        <v>1</v>
      </c>
      <c r="D219" s="29">
        <v>9.5</v>
      </c>
      <c r="E219" s="29">
        <v>9.5</v>
      </c>
      <c r="F219" s="30">
        <v>24.99</v>
      </c>
      <c r="G219" s="29">
        <v>24.99</v>
      </c>
      <c r="H219" s="28" t="s">
        <v>288</v>
      </c>
      <c r="I219" s="27"/>
      <c r="J219" s="31" t="s">
        <v>21</v>
      </c>
      <c r="K219" s="27" t="s">
        <v>224</v>
      </c>
      <c r="L219" s="27" t="s">
        <v>239</v>
      </c>
      <c r="M219" s="32" t="str">
        <f>HYPERLINK("http://slimages.macys.com/is/image/MCY/3719840 ")</f>
        <v xml:space="preserve">http://slimages.macys.com/is/image/MCY/3719840 </v>
      </c>
    </row>
    <row r="220" spans="1:13" ht="15.2" customHeight="1" x14ac:dyDescent="0.2">
      <c r="A220" s="26" t="s">
        <v>10879</v>
      </c>
      <c r="B220" s="27" t="s">
        <v>10880</v>
      </c>
      <c r="C220" s="28">
        <v>1</v>
      </c>
      <c r="D220" s="29">
        <v>9.5</v>
      </c>
      <c r="E220" s="29">
        <v>9.5</v>
      </c>
      <c r="F220" s="30">
        <v>22.99</v>
      </c>
      <c r="G220" s="29">
        <v>22.99</v>
      </c>
      <c r="H220" s="28" t="s">
        <v>7550</v>
      </c>
      <c r="I220" s="27" t="s">
        <v>746</v>
      </c>
      <c r="J220" s="31" t="s">
        <v>21</v>
      </c>
      <c r="K220" s="27" t="s">
        <v>200</v>
      </c>
      <c r="L220" s="27" t="s">
        <v>133</v>
      </c>
      <c r="M220" s="32" t="str">
        <f>HYPERLINK("http://slimages.macys.com/is/image/MCY/3755512 ")</f>
        <v xml:space="preserve">http://slimages.macys.com/is/image/MCY/3755512 </v>
      </c>
    </row>
    <row r="221" spans="1:13" ht="15.2" customHeight="1" x14ac:dyDescent="0.2">
      <c r="A221" s="26" t="s">
        <v>7754</v>
      </c>
      <c r="B221" s="27" t="s">
        <v>7755</v>
      </c>
      <c r="C221" s="28">
        <v>1</v>
      </c>
      <c r="D221" s="29">
        <v>9.25</v>
      </c>
      <c r="E221" s="29">
        <v>9.25</v>
      </c>
      <c r="F221" s="30">
        <v>19.989999999999998</v>
      </c>
      <c r="G221" s="29">
        <v>19.989999999999998</v>
      </c>
      <c r="H221" s="28" t="s">
        <v>7555</v>
      </c>
      <c r="I221" s="27" t="s">
        <v>215</v>
      </c>
      <c r="J221" s="31" t="s">
        <v>21</v>
      </c>
      <c r="K221" s="27" t="s">
        <v>282</v>
      </c>
      <c r="L221" s="27" t="s">
        <v>283</v>
      </c>
      <c r="M221" s="32" t="str">
        <f>HYPERLINK("http://slimages.macys.com/is/image/MCY/3832893 ")</f>
        <v xml:space="preserve">http://slimages.macys.com/is/image/MCY/3832893 </v>
      </c>
    </row>
    <row r="222" spans="1:13" ht="15.2" customHeight="1" x14ac:dyDescent="0.2">
      <c r="A222" s="26" t="s">
        <v>4630</v>
      </c>
      <c r="B222" s="27" t="s">
        <v>4631</v>
      </c>
      <c r="C222" s="28">
        <v>1</v>
      </c>
      <c r="D222" s="29">
        <v>9.25</v>
      </c>
      <c r="E222" s="29">
        <v>9.25</v>
      </c>
      <c r="F222" s="30">
        <v>22.99</v>
      </c>
      <c r="G222" s="29">
        <v>22.99</v>
      </c>
      <c r="H222" s="28" t="s">
        <v>2939</v>
      </c>
      <c r="I222" s="27" t="s">
        <v>189</v>
      </c>
      <c r="J222" s="31" t="s">
        <v>40</v>
      </c>
      <c r="K222" s="27" t="s">
        <v>70</v>
      </c>
      <c r="L222" s="27" t="s">
        <v>260</v>
      </c>
      <c r="M222" s="32" t="str">
        <f>HYPERLINK("http://slimages.macys.com/is/image/MCY/3723523 ")</f>
        <v xml:space="preserve">http://slimages.macys.com/is/image/MCY/3723523 </v>
      </c>
    </row>
    <row r="223" spans="1:13" ht="15.2" customHeight="1" x14ac:dyDescent="0.2">
      <c r="A223" s="26" t="s">
        <v>2937</v>
      </c>
      <c r="B223" s="27" t="s">
        <v>2938</v>
      </c>
      <c r="C223" s="28">
        <v>1</v>
      </c>
      <c r="D223" s="29">
        <v>9.25</v>
      </c>
      <c r="E223" s="29">
        <v>9.25</v>
      </c>
      <c r="F223" s="30">
        <v>22.99</v>
      </c>
      <c r="G223" s="29">
        <v>22.99</v>
      </c>
      <c r="H223" s="28" t="s">
        <v>2939</v>
      </c>
      <c r="I223" s="27" t="s">
        <v>4</v>
      </c>
      <c r="J223" s="31" t="s">
        <v>52</v>
      </c>
      <c r="K223" s="27" t="s">
        <v>70</v>
      </c>
      <c r="L223" s="27" t="s">
        <v>260</v>
      </c>
      <c r="M223" s="32" t="str">
        <f>HYPERLINK("http://slimages.macys.com/is/image/MCY/3723523 ")</f>
        <v xml:space="preserve">http://slimages.macys.com/is/image/MCY/3723523 </v>
      </c>
    </row>
    <row r="224" spans="1:13" ht="15.2" customHeight="1" x14ac:dyDescent="0.2">
      <c r="A224" s="26" t="s">
        <v>8409</v>
      </c>
      <c r="B224" s="27" t="s">
        <v>8410</v>
      </c>
      <c r="C224" s="28">
        <v>2</v>
      </c>
      <c r="D224" s="29">
        <v>9.25</v>
      </c>
      <c r="E224" s="29">
        <v>18.5</v>
      </c>
      <c r="F224" s="30">
        <v>19.989999999999998</v>
      </c>
      <c r="G224" s="29">
        <v>39.979999999999997</v>
      </c>
      <c r="H224" s="28" t="s">
        <v>805</v>
      </c>
      <c r="I224" s="27" t="s">
        <v>4</v>
      </c>
      <c r="J224" s="31" t="s">
        <v>40</v>
      </c>
      <c r="K224" s="27" t="s">
        <v>282</v>
      </c>
      <c r="L224" s="27" t="s">
        <v>283</v>
      </c>
      <c r="M224" s="32" t="str">
        <f>HYPERLINK("http://slimages.macys.com/is/image/MCY/3875953 ")</f>
        <v xml:space="preserve">http://slimages.macys.com/is/image/MCY/3875953 </v>
      </c>
    </row>
    <row r="225" spans="1:13" ht="15.2" customHeight="1" x14ac:dyDescent="0.2">
      <c r="A225" s="26" t="s">
        <v>1337</v>
      </c>
      <c r="B225" s="27" t="s">
        <v>1338</v>
      </c>
      <c r="C225" s="28">
        <v>1</v>
      </c>
      <c r="D225" s="29">
        <v>9.25</v>
      </c>
      <c r="E225" s="29">
        <v>9.25</v>
      </c>
      <c r="F225" s="30">
        <v>19.989999999999998</v>
      </c>
      <c r="G225" s="29">
        <v>19.989999999999998</v>
      </c>
      <c r="H225" s="28" t="s">
        <v>805</v>
      </c>
      <c r="I225" s="27" t="s">
        <v>4</v>
      </c>
      <c r="J225" s="31" t="s">
        <v>5</v>
      </c>
      <c r="K225" s="27" t="s">
        <v>282</v>
      </c>
      <c r="L225" s="27" t="s">
        <v>283</v>
      </c>
      <c r="M225" s="32" t="str">
        <f>HYPERLINK("http://slimages.macys.com/is/image/MCY/3875953 ")</f>
        <v xml:space="preserve">http://slimages.macys.com/is/image/MCY/3875953 </v>
      </c>
    </row>
    <row r="226" spans="1:13" ht="15.2" customHeight="1" x14ac:dyDescent="0.2">
      <c r="A226" s="26" t="s">
        <v>1330</v>
      </c>
      <c r="B226" s="27" t="s">
        <v>1331</v>
      </c>
      <c r="C226" s="28">
        <v>1</v>
      </c>
      <c r="D226" s="29">
        <v>9.25</v>
      </c>
      <c r="E226" s="29">
        <v>9.25</v>
      </c>
      <c r="F226" s="30">
        <v>19.989999999999998</v>
      </c>
      <c r="G226" s="29">
        <v>19.989999999999998</v>
      </c>
      <c r="H226" s="28" t="s">
        <v>805</v>
      </c>
      <c r="I226" s="27" t="s">
        <v>4</v>
      </c>
      <c r="J226" s="31" t="s">
        <v>21</v>
      </c>
      <c r="K226" s="27" t="s">
        <v>282</v>
      </c>
      <c r="L226" s="27" t="s">
        <v>283</v>
      </c>
      <c r="M226" s="32" t="str">
        <f>HYPERLINK("http://slimages.macys.com/is/image/MCY/3875953 ")</f>
        <v xml:space="preserve">http://slimages.macys.com/is/image/MCY/3875953 </v>
      </c>
    </row>
    <row r="227" spans="1:13" ht="15.2" customHeight="1" x14ac:dyDescent="0.2">
      <c r="A227" s="26" t="s">
        <v>2940</v>
      </c>
      <c r="B227" s="27" t="s">
        <v>2941</v>
      </c>
      <c r="C227" s="28">
        <v>1</v>
      </c>
      <c r="D227" s="29">
        <v>9.25</v>
      </c>
      <c r="E227" s="29">
        <v>9.25</v>
      </c>
      <c r="F227" s="30">
        <v>22.99</v>
      </c>
      <c r="G227" s="29">
        <v>22.99</v>
      </c>
      <c r="H227" s="28" t="s">
        <v>2939</v>
      </c>
      <c r="I227" s="27" t="s">
        <v>189</v>
      </c>
      <c r="J227" s="31" t="s">
        <v>52</v>
      </c>
      <c r="K227" s="27" t="s">
        <v>70</v>
      </c>
      <c r="L227" s="27" t="s">
        <v>260</v>
      </c>
      <c r="M227" s="32" t="str">
        <f>HYPERLINK("http://slimages.macys.com/is/image/MCY/3723523 ")</f>
        <v xml:space="preserve">http://slimages.macys.com/is/image/MCY/3723523 </v>
      </c>
    </row>
    <row r="228" spans="1:13" ht="15.2" customHeight="1" x14ac:dyDescent="0.2">
      <c r="A228" s="26" t="s">
        <v>10881</v>
      </c>
      <c r="B228" s="27" t="s">
        <v>10882</v>
      </c>
      <c r="C228" s="28">
        <v>1</v>
      </c>
      <c r="D228" s="29">
        <v>9.25</v>
      </c>
      <c r="E228" s="29">
        <v>9.25</v>
      </c>
      <c r="F228" s="30">
        <v>22.99</v>
      </c>
      <c r="G228" s="29">
        <v>22.99</v>
      </c>
      <c r="H228" s="28" t="s">
        <v>2939</v>
      </c>
      <c r="I228" s="27" t="s">
        <v>4</v>
      </c>
      <c r="J228" s="31" t="s">
        <v>65</v>
      </c>
      <c r="K228" s="27" t="s">
        <v>70</v>
      </c>
      <c r="L228" s="27" t="s">
        <v>260</v>
      </c>
      <c r="M228" s="32" t="str">
        <f>HYPERLINK("http://slimages.macys.com/is/image/MCY/3723523 ")</f>
        <v xml:space="preserve">http://slimages.macys.com/is/image/MCY/3723523 </v>
      </c>
    </row>
    <row r="229" spans="1:13" ht="15.2" customHeight="1" x14ac:dyDescent="0.2">
      <c r="A229" s="26" t="s">
        <v>2229</v>
      </c>
      <c r="B229" s="27" t="s">
        <v>2230</v>
      </c>
      <c r="C229" s="28">
        <v>1</v>
      </c>
      <c r="D229" s="29">
        <v>9.25</v>
      </c>
      <c r="E229" s="29">
        <v>9.25</v>
      </c>
      <c r="F229" s="30">
        <v>19.989999999999998</v>
      </c>
      <c r="G229" s="29">
        <v>19.989999999999998</v>
      </c>
      <c r="H229" s="28" t="s">
        <v>2231</v>
      </c>
      <c r="I229" s="27" t="s">
        <v>271</v>
      </c>
      <c r="J229" s="31" t="s">
        <v>5</v>
      </c>
      <c r="K229" s="27" t="s">
        <v>282</v>
      </c>
      <c r="L229" s="27" t="s">
        <v>283</v>
      </c>
      <c r="M229" s="32" t="str">
        <f>HYPERLINK("http://slimages.macys.com/is/image/MCY/3832193 ")</f>
        <v xml:space="preserve">http://slimages.macys.com/is/image/MCY/3832193 </v>
      </c>
    </row>
    <row r="230" spans="1:13" ht="15.2" customHeight="1" x14ac:dyDescent="0.2">
      <c r="A230" s="26" t="s">
        <v>309</v>
      </c>
      <c r="B230" s="27" t="s">
        <v>310</v>
      </c>
      <c r="C230" s="28">
        <v>1</v>
      </c>
      <c r="D230" s="29">
        <v>9</v>
      </c>
      <c r="E230" s="29">
        <v>9</v>
      </c>
      <c r="F230" s="30">
        <v>19.989999999999998</v>
      </c>
      <c r="G230" s="29">
        <v>19.989999999999998</v>
      </c>
      <c r="H230" s="28" t="s">
        <v>311</v>
      </c>
      <c r="I230" s="27" t="s">
        <v>10</v>
      </c>
      <c r="J230" s="31" t="s">
        <v>5</v>
      </c>
      <c r="K230" s="27" t="s">
        <v>196</v>
      </c>
      <c r="L230" s="27" t="s">
        <v>239</v>
      </c>
      <c r="M230" s="32" t="str">
        <f>HYPERLINK("http://slimages.macys.com/is/image/MCY/3890895 ")</f>
        <v xml:space="preserve">http://slimages.macys.com/is/image/MCY/3890895 </v>
      </c>
    </row>
    <row r="231" spans="1:13" ht="15.2" customHeight="1" x14ac:dyDescent="0.2">
      <c r="A231" s="26" t="s">
        <v>10883</v>
      </c>
      <c r="B231" s="27" t="s">
        <v>10884</v>
      </c>
      <c r="C231" s="28">
        <v>2</v>
      </c>
      <c r="D231" s="29">
        <v>9</v>
      </c>
      <c r="E231" s="29">
        <v>18</v>
      </c>
      <c r="F231" s="30">
        <v>19.989999999999998</v>
      </c>
      <c r="G231" s="29">
        <v>39.979999999999997</v>
      </c>
      <c r="H231" s="28">
        <v>60433869</v>
      </c>
      <c r="I231" s="27" t="s">
        <v>215</v>
      </c>
      <c r="J231" s="31" t="s">
        <v>40</v>
      </c>
      <c r="K231" s="27" t="s">
        <v>224</v>
      </c>
      <c r="L231" s="27" t="s">
        <v>255</v>
      </c>
      <c r="M231" s="32" t="str">
        <f>HYPERLINK("http://slimages.macys.com/is/image/MCY/3797796 ")</f>
        <v xml:space="preserve">http://slimages.macys.com/is/image/MCY/3797796 </v>
      </c>
    </row>
    <row r="232" spans="1:13" ht="15.2" customHeight="1" x14ac:dyDescent="0.2">
      <c r="A232" s="26" t="s">
        <v>10885</v>
      </c>
      <c r="B232" s="27" t="s">
        <v>10886</v>
      </c>
      <c r="C232" s="28">
        <v>1</v>
      </c>
      <c r="D232" s="29">
        <v>8.5500000000000007</v>
      </c>
      <c r="E232" s="29">
        <v>8.5500000000000007</v>
      </c>
      <c r="F232" s="30">
        <v>19.989999999999998</v>
      </c>
      <c r="G232" s="29">
        <v>19.989999999999998</v>
      </c>
      <c r="H232" s="28" t="s">
        <v>315</v>
      </c>
      <c r="I232" s="27" t="s">
        <v>94</v>
      </c>
      <c r="J232" s="31" t="s">
        <v>52</v>
      </c>
      <c r="K232" s="27" t="s">
        <v>224</v>
      </c>
      <c r="L232" s="27" t="s">
        <v>254</v>
      </c>
      <c r="M232" s="32" t="str">
        <f>HYPERLINK("http://slimages.macys.com/is/image/MCY/3787632 ")</f>
        <v xml:space="preserve">http://slimages.macys.com/is/image/MCY/3787632 </v>
      </c>
    </row>
    <row r="233" spans="1:13" ht="15.2" customHeight="1" x14ac:dyDescent="0.2">
      <c r="A233" s="26" t="s">
        <v>8664</v>
      </c>
      <c r="B233" s="27" t="s">
        <v>8665</v>
      </c>
      <c r="C233" s="28">
        <v>2</v>
      </c>
      <c r="D233" s="29">
        <v>8.5</v>
      </c>
      <c r="E233" s="29">
        <v>17</v>
      </c>
      <c r="F233" s="30">
        <v>19.989999999999998</v>
      </c>
      <c r="G233" s="29">
        <v>39.979999999999997</v>
      </c>
      <c r="H233" s="28" t="s">
        <v>1374</v>
      </c>
      <c r="I233" s="27" t="s">
        <v>82</v>
      </c>
      <c r="J233" s="31" t="s">
        <v>5</v>
      </c>
      <c r="K233" s="27" t="s">
        <v>196</v>
      </c>
      <c r="L233" s="27" t="s">
        <v>322</v>
      </c>
      <c r="M233" s="32" t="str">
        <f>HYPERLINK("http://slimages.macys.com/is/image/MCY/3915487 ")</f>
        <v xml:space="preserve">http://slimages.macys.com/is/image/MCY/3915487 </v>
      </c>
    </row>
    <row r="234" spans="1:13" ht="15.2" customHeight="1" x14ac:dyDescent="0.2">
      <c r="A234" s="26" t="s">
        <v>2285</v>
      </c>
      <c r="B234" s="27" t="s">
        <v>2286</v>
      </c>
      <c r="C234" s="28">
        <v>1</v>
      </c>
      <c r="D234" s="29">
        <v>8.5</v>
      </c>
      <c r="E234" s="29">
        <v>8.5</v>
      </c>
      <c r="F234" s="30">
        <v>19.989999999999998</v>
      </c>
      <c r="G234" s="29">
        <v>19.989999999999998</v>
      </c>
      <c r="H234" s="28" t="s">
        <v>323</v>
      </c>
      <c r="I234" s="27" t="s">
        <v>33</v>
      </c>
      <c r="J234" s="31" t="s">
        <v>21</v>
      </c>
      <c r="K234" s="27" t="s">
        <v>196</v>
      </c>
      <c r="L234" s="27" t="s">
        <v>239</v>
      </c>
      <c r="M234" s="32" t="str">
        <f>HYPERLINK("http://slimages.macys.com/is/image/MCY/3890900 ")</f>
        <v xml:space="preserve">http://slimages.macys.com/is/image/MCY/3890900 </v>
      </c>
    </row>
    <row r="235" spans="1:13" ht="15.2" customHeight="1" x14ac:dyDescent="0.2">
      <c r="A235" s="26" t="s">
        <v>2968</v>
      </c>
      <c r="B235" s="27" t="s">
        <v>2969</v>
      </c>
      <c r="C235" s="28">
        <v>1</v>
      </c>
      <c r="D235" s="29">
        <v>8.5</v>
      </c>
      <c r="E235" s="29">
        <v>8.5</v>
      </c>
      <c r="F235" s="30">
        <v>19.989999999999998</v>
      </c>
      <c r="G235" s="29">
        <v>19.989999999999998</v>
      </c>
      <c r="H235" s="28" t="s">
        <v>2970</v>
      </c>
      <c r="I235" s="27" t="s">
        <v>333</v>
      </c>
      <c r="J235" s="31" t="s">
        <v>5</v>
      </c>
      <c r="K235" s="27" t="s">
        <v>196</v>
      </c>
      <c r="L235" s="27" t="s">
        <v>322</v>
      </c>
      <c r="M235" s="32" t="str">
        <f t="shared" ref="M235:M240" si="1">HYPERLINK("http://slimages.macys.com/is/image/MCY/3915487 ")</f>
        <v xml:space="preserve">http://slimages.macys.com/is/image/MCY/3915487 </v>
      </c>
    </row>
    <row r="236" spans="1:13" ht="15.2" customHeight="1" x14ac:dyDescent="0.2">
      <c r="A236" s="26" t="s">
        <v>1372</v>
      </c>
      <c r="B236" s="27" t="s">
        <v>1373</v>
      </c>
      <c r="C236" s="28">
        <v>1</v>
      </c>
      <c r="D236" s="29">
        <v>8.5</v>
      </c>
      <c r="E236" s="29">
        <v>8.5</v>
      </c>
      <c r="F236" s="30">
        <v>19.989999999999998</v>
      </c>
      <c r="G236" s="29">
        <v>19.989999999999998</v>
      </c>
      <c r="H236" s="28" t="s">
        <v>1374</v>
      </c>
      <c r="I236" s="27" t="s">
        <v>82</v>
      </c>
      <c r="J236" s="31" t="s">
        <v>52</v>
      </c>
      <c r="K236" s="27" t="s">
        <v>196</v>
      </c>
      <c r="L236" s="27" t="s">
        <v>322</v>
      </c>
      <c r="M236" s="32" t="str">
        <f t="shared" si="1"/>
        <v xml:space="preserve">http://slimages.macys.com/is/image/MCY/3915487 </v>
      </c>
    </row>
    <row r="237" spans="1:13" ht="15.2" customHeight="1" x14ac:dyDescent="0.2">
      <c r="A237" s="26" t="s">
        <v>8829</v>
      </c>
      <c r="B237" s="27" t="s">
        <v>8830</v>
      </c>
      <c r="C237" s="28">
        <v>1</v>
      </c>
      <c r="D237" s="29">
        <v>8.5</v>
      </c>
      <c r="E237" s="29">
        <v>8.5</v>
      </c>
      <c r="F237" s="30">
        <v>19.989999999999998</v>
      </c>
      <c r="G237" s="29">
        <v>19.989999999999998</v>
      </c>
      <c r="H237" s="28" t="s">
        <v>1374</v>
      </c>
      <c r="I237" s="27" t="s">
        <v>82</v>
      </c>
      <c r="J237" s="31" t="s">
        <v>71</v>
      </c>
      <c r="K237" s="27" t="s">
        <v>196</v>
      </c>
      <c r="L237" s="27" t="s">
        <v>322</v>
      </c>
      <c r="M237" s="32" t="str">
        <f t="shared" si="1"/>
        <v xml:space="preserve">http://slimages.macys.com/is/image/MCY/3915487 </v>
      </c>
    </row>
    <row r="238" spans="1:13" ht="15.2" customHeight="1" x14ac:dyDescent="0.2">
      <c r="A238" s="26" t="s">
        <v>8827</v>
      </c>
      <c r="B238" s="27" t="s">
        <v>8828</v>
      </c>
      <c r="C238" s="28">
        <v>2</v>
      </c>
      <c r="D238" s="29">
        <v>8.5</v>
      </c>
      <c r="E238" s="29">
        <v>17</v>
      </c>
      <c r="F238" s="30">
        <v>19.989999999999998</v>
      </c>
      <c r="G238" s="29">
        <v>39.979999999999997</v>
      </c>
      <c r="H238" s="28" t="s">
        <v>1374</v>
      </c>
      <c r="I238" s="27" t="s">
        <v>271</v>
      </c>
      <c r="J238" s="31" t="s">
        <v>40</v>
      </c>
      <c r="K238" s="27" t="s">
        <v>196</v>
      </c>
      <c r="L238" s="27" t="s">
        <v>322</v>
      </c>
      <c r="M238" s="32" t="str">
        <f t="shared" si="1"/>
        <v xml:space="preserve">http://slimages.macys.com/is/image/MCY/3915487 </v>
      </c>
    </row>
    <row r="239" spans="1:13" ht="15.2" customHeight="1" x14ac:dyDescent="0.2">
      <c r="A239" s="26" t="s">
        <v>8655</v>
      </c>
      <c r="B239" s="27" t="s">
        <v>8656</v>
      </c>
      <c r="C239" s="28">
        <v>2</v>
      </c>
      <c r="D239" s="29">
        <v>8.5</v>
      </c>
      <c r="E239" s="29">
        <v>17</v>
      </c>
      <c r="F239" s="30">
        <v>19.989999999999998</v>
      </c>
      <c r="G239" s="29">
        <v>39.979999999999997</v>
      </c>
      <c r="H239" s="28" t="s">
        <v>1374</v>
      </c>
      <c r="I239" s="27" t="s">
        <v>271</v>
      </c>
      <c r="J239" s="31" t="s">
        <v>21</v>
      </c>
      <c r="K239" s="27" t="s">
        <v>196</v>
      </c>
      <c r="L239" s="27" t="s">
        <v>322</v>
      </c>
      <c r="M239" s="32" t="str">
        <f t="shared" si="1"/>
        <v xml:space="preserve">http://slimages.macys.com/is/image/MCY/3915487 </v>
      </c>
    </row>
    <row r="240" spans="1:13" ht="15.2" customHeight="1" x14ac:dyDescent="0.2">
      <c r="A240" s="26" t="s">
        <v>7405</v>
      </c>
      <c r="B240" s="27" t="s">
        <v>7406</v>
      </c>
      <c r="C240" s="28">
        <v>3</v>
      </c>
      <c r="D240" s="29">
        <v>8.5</v>
      </c>
      <c r="E240" s="29">
        <v>25.5</v>
      </c>
      <c r="F240" s="30">
        <v>19.989999999999998</v>
      </c>
      <c r="G240" s="29">
        <v>59.97</v>
      </c>
      <c r="H240" s="28" t="s">
        <v>1374</v>
      </c>
      <c r="I240" s="27" t="s">
        <v>82</v>
      </c>
      <c r="J240" s="31" t="s">
        <v>40</v>
      </c>
      <c r="K240" s="27" t="s">
        <v>196</v>
      </c>
      <c r="L240" s="27" t="s">
        <v>322</v>
      </c>
      <c r="M240" s="32" t="str">
        <f t="shared" si="1"/>
        <v xml:space="preserve">http://slimages.macys.com/is/image/MCY/3915487 </v>
      </c>
    </row>
    <row r="241" spans="1:13" ht="15.2" customHeight="1" x14ac:dyDescent="0.2">
      <c r="A241" s="26" t="s">
        <v>2659</v>
      </c>
      <c r="B241" s="27" t="s">
        <v>2660</v>
      </c>
      <c r="C241" s="28">
        <v>3</v>
      </c>
      <c r="D241" s="29">
        <v>8.5</v>
      </c>
      <c r="E241" s="29">
        <v>25.5</v>
      </c>
      <c r="F241" s="30">
        <v>19.989999999999998</v>
      </c>
      <c r="G241" s="29">
        <v>59.97</v>
      </c>
      <c r="H241" s="28" t="s">
        <v>334</v>
      </c>
      <c r="I241" s="27" t="s">
        <v>33</v>
      </c>
      <c r="J241" s="31" t="s">
        <v>21</v>
      </c>
      <c r="K241" s="27" t="s">
        <v>196</v>
      </c>
      <c r="L241" s="27" t="s">
        <v>239</v>
      </c>
      <c r="M241" s="32" t="str">
        <f>HYPERLINK("http://slimages.macys.com/is/image/MCY/3890886 ")</f>
        <v xml:space="preserve">http://slimages.macys.com/is/image/MCY/3890886 </v>
      </c>
    </row>
    <row r="242" spans="1:13" ht="15.2" customHeight="1" x14ac:dyDescent="0.2">
      <c r="A242" s="26" t="s">
        <v>8670</v>
      </c>
      <c r="B242" s="27" t="s">
        <v>8671</v>
      </c>
      <c r="C242" s="28">
        <v>1</v>
      </c>
      <c r="D242" s="29">
        <v>8.5</v>
      </c>
      <c r="E242" s="29">
        <v>8.5</v>
      </c>
      <c r="F242" s="30">
        <v>19.989999999999998</v>
      </c>
      <c r="G242" s="29">
        <v>19.989999999999998</v>
      </c>
      <c r="H242" s="28" t="s">
        <v>1374</v>
      </c>
      <c r="I242" s="27" t="s">
        <v>271</v>
      </c>
      <c r="J242" s="31" t="s">
        <v>5</v>
      </c>
      <c r="K242" s="27" t="s">
        <v>196</v>
      </c>
      <c r="L242" s="27" t="s">
        <v>322</v>
      </c>
      <c r="M242" s="32" t="str">
        <f>HYPERLINK("http://slimages.macys.com/is/image/MCY/3915487 ")</f>
        <v xml:space="preserve">http://slimages.macys.com/is/image/MCY/3915487 </v>
      </c>
    </row>
    <row r="243" spans="1:13" ht="15.2" customHeight="1" x14ac:dyDescent="0.2">
      <c r="A243" s="26" t="s">
        <v>7761</v>
      </c>
      <c r="B243" s="27" t="s">
        <v>7762</v>
      </c>
      <c r="C243" s="28">
        <v>1</v>
      </c>
      <c r="D243" s="29">
        <v>8.5</v>
      </c>
      <c r="E243" s="29">
        <v>8.5</v>
      </c>
      <c r="F243" s="30">
        <v>19.989999999999998</v>
      </c>
      <c r="G243" s="29">
        <v>19.989999999999998</v>
      </c>
      <c r="H243" s="28" t="s">
        <v>826</v>
      </c>
      <c r="I243" s="27" t="s">
        <v>4</v>
      </c>
      <c r="J243" s="31" t="s">
        <v>5</v>
      </c>
      <c r="K243" s="27" t="s">
        <v>282</v>
      </c>
      <c r="L243" s="27" t="s">
        <v>312</v>
      </c>
      <c r="M243" s="32" t="str">
        <f>HYPERLINK("http://slimages.macys.com/is/image/MCY/3853697 ")</f>
        <v xml:space="preserve">http://slimages.macys.com/is/image/MCY/3853697 </v>
      </c>
    </row>
    <row r="244" spans="1:13" ht="15.2" customHeight="1" x14ac:dyDescent="0.2">
      <c r="A244" s="26" t="s">
        <v>9435</v>
      </c>
      <c r="B244" s="27" t="s">
        <v>9436</v>
      </c>
      <c r="C244" s="28">
        <v>1</v>
      </c>
      <c r="D244" s="29">
        <v>8.5</v>
      </c>
      <c r="E244" s="29">
        <v>8.5</v>
      </c>
      <c r="F244" s="30">
        <v>19.989999999999998</v>
      </c>
      <c r="G244" s="29">
        <v>19.989999999999998</v>
      </c>
      <c r="H244" s="28" t="s">
        <v>826</v>
      </c>
      <c r="I244" s="27" t="s">
        <v>4</v>
      </c>
      <c r="J244" s="31" t="s">
        <v>52</v>
      </c>
      <c r="K244" s="27" t="s">
        <v>282</v>
      </c>
      <c r="L244" s="27" t="s">
        <v>312</v>
      </c>
      <c r="M244" s="32" t="str">
        <f>HYPERLINK("http://slimages.macys.com/is/image/MCY/3853697 ")</f>
        <v xml:space="preserve">http://slimages.macys.com/is/image/MCY/3853697 </v>
      </c>
    </row>
    <row r="245" spans="1:13" ht="15.2" customHeight="1" x14ac:dyDescent="0.2">
      <c r="A245" s="26" t="s">
        <v>9437</v>
      </c>
      <c r="B245" s="27" t="s">
        <v>9438</v>
      </c>
      <c r="C245" s="28">
        <v>1</v>
      </c>
      <c r="D245" s="29">
        <v>8.5</v>
      </c>
      <c r="E245" s="29">
        <v>8.5</v>
      </c>
      <c r="F245" s="30">
        <v>19.989999999999998</v>
      </c>
      <c r="G245" s="29">
        <v>19.989999999999998</v>
      </c>
      <c r="H245" s="28" t="s">
        <v>826</v>
      </c>
      <c r="I245" s="27" t="s">
        <v>4</v>
      </c>
      <c r="J245" s="31" t="s">
        <v>40</v>
      </c>
      <c r="K245" s="27" t="s">
        <v>282</v>
      </c>
      <c r="L245" s="27" t="s">
        <v>312</v>
      </c>
      <c r="M245" s="32" t="str">
        <f>HYPERLINK("http://slimages.macys.com/is/image/MCY/3853697 ")</f>
        <v xml:space="preserve">http://slimages.macys.com/is/image/MCY/3853697 </v>
      </c>
    </row>
    <row r="246" spans="1:13" ht="15.2" customHeight="1" x14ac:dyDescent="0.2">
      <c r="A246" s="26" t="s">
        <v>1863</v>
      </c>
      <c r="B246" s="27" t="s">
        <v>1864</v>
      </c>
      <c r="C246" s="28">
        <v>1</v>
      </c>
      <c r="D246" s="29">
        <v>8.5</v>
      </c>
      <c r="E246" s="29">
        <v>8.5</v>
      </c>
      <c r="F246" s="30">
        <v>19.989999999999998</v>
      </c>
      <c r="G246" s="29">
        <v>19.989999999999998</v>
      </c>
      <c r="H246" s="28" t="s">
        <v>830</v>
      </c>
      <c r="I246" s="27" t="s">
        <v>4</v>
      </c>
      <c r="J246" s="31" t="s">
        <v>40</v>
      </c>
      <c r="K246" s="27" t="s">
        <v>282</v>
      </c>
      <c r="L246" s="27" t="s">
        <v>312</v>
      </c>
      <c r="M246" s="32" t="str">
        <f>HYPERLINK("http://slimages.macys.com/is/image/MCY/3853693 ")</f>
        <v xml:space="preserve">http://slimages.macys.com/is/image/MCY/3853693 </v>
      </c>
    </row>
    <row r="247" spans="1:13" ht="15.2" customHeight="1" x14ac:dyDescent="0.2">
      <c r="A247" s="26" t="s">
        <v>7758</v>
      </c>
      <c r="B247" s="27" t="s">
        <v>7759</v>
      </c>
      <c r="C247" s="28">
        <v>1</v>
      </c>
      <c r="D247" s="29">
        <v>8.5</v>
      </c>
      <c r="E247" s="29">
        <v>8.5</v>
      </c>
      <c r="F247" s="30">
        <v>19.989999999999998</v>
      </c>
      <c r="G247" s="29">
        <v>19.989999999999998</v>
      </c>
      <c r="H247" s="28" t="s">
        <v>7760</v>
      </c>
      <c r="I247" s="27" t="s">
        <v>189</v>
      </c>
      <c r="J247" s="31" t="s">
        <v>5</v>
      </c>
      <c r="K247" s="27" t="s">
        <v>282</v>
      </c>
      <c r="L247" s="27" t="s">
        <v>327</v>
      </c>
      <c r="M247" s="32" t="str">
        <f>HYPERLINK("http://slimages.macys.com/is/image/MCY/3961906 ")</f>
        <v xml:space="preserve">http://slimages.macys.com/is/image/MCY/3961906 </v>
      </c>
    </row>
    <row r="248" spans="1:13" ht="15.2" customHeight="1" x14ac:dyDescent="0.2">
      <c r="A248" s="26" t="s">
        <v>8451</v>
      </c>
      <c r="B248" s="27" t="s">
        <v>8452</v>
      </c>
      <c r="C248" s="28">
        <v>1</v>
      </c>
      <c r="D248" s="29">
        <v>8.5</v>
      </c>
      <c r="E248" s="29">
        <v>8.5</v>
      </c>
      <c r="F248" s="30">
        <v>19.989999999999998</v>
      </c>
      <c r="G248" s="29">
        <v>19.989999999999998</v>
      </c>
      <c r="H248" s="28" t="s">
        <v>7760</v>
      </c>
      <c r="I248" s="27" t="s">
        <v>189</v>
      </c>
      <c r="J248" s="31" t="s">
        <v>71</v>
      </c>
      <c r="K248" s="27" t="s">
        <v>282</v>
      </c>
      <c r="L248" s="27" t="s">
        <v>327</v>
      </c>
      <c r="M248" s="32" t="str">
        <f>HYPERLINK("http://slimages.macys.com/is/image/MCY/3961906 ")</f>
        <v xml:space="preserve">http://slimages.macys.com/is/image/MCY/3961906 </v>
      </c>
    </row>
    <row r="249" spans="1:13" ht="15.2" customHeight="1" x14ac:dyDescent="0.2">
      <c r="A249" s="26" t="s">
        <v>8001</v>
      </c>
      <c r="B249" s="27" t="s">
        <v>8002</v>
      </c>
      <c r="C249" s="28">
        <v>1</v>
      </c>
      <c r="D249" s="29">
        <v>8.5</v>
      </c>
      <c r="E249" s="29">
        <v>8.5</v>
      </c>
      <c r="F249" s="30">
        <v>19.989999999999998</v>
      </c>
      <c r="G249" s="29">
        <v>19.989999999999998</v>
      </c>
      <c r="H249" s="28" t="s">
        <v>7760</v>
      </c>
      <c r="I249" s="27" t="s">
        <v>189</v>
      </c>
      <c r="J249" s="31" t="s">
        <v>21</v>
      </c>
      <c r="K249" s="27" t="s">
        <v>282</v>
      </c>
      <c r="L249" s="27" t="s">
        <v>327</v>
      </c>
      <c r="M249" s="32" t="str">
        <f>HYPERLINK("http://slimages.macys.com/is/image/MCY/3961906 ")</f>
        <v xml:space="preserve">http://slimages.macys.com/is/image/MCY/3961906 </v>
      </c>
    </row>
    <row r="250" spans="1:13" ht="15.2" customHeight="1" x14ac:dyDescent="0.2">
      <c r="A250" s="26" t="s">
        <v>10887</v>
      </c>
      <c r="B250" s="27" t="s">
        <v>10888</v>
      </c>
      <c r="C250" s="28">
        <v>2</v>
      </c>
      <c r="D250" s="29">
        <v>8.5</v>
      </c>
      <c r="E250" s="29">
        <v>17</v>
      </c>
      <c r="F250" s="30">
        <v>19.989999999999998</v>
      </c>
      <c r="G250" s="29">
        <v>39.979999999999997</v>
      </c>
      <c r="H250" s="28" t="s">
        <v>318</v>
      </c>
      <c r="I250" s="27" t="s">
        <v>59</v>
      </c>
      <c r="J250" s="31" t="s">
        <v>71</v>
      </c>
      <c r="K250" s="27" t="s">
        <v>282</v>
      </c>
      <c r="L250" s="27" t="s">
        <v>312</v>
      </c>
      <c r="M250" s="32" t="str">
        <f>HYPERLINK("http://slimages.macys.com/is/image/MCY/3905653 ")</f>
        <v xml:space="preserve">http://slimages.macys.com/is/image/MCY/3905653 </v>
      </c>
    </row>
    <row r="251" spans="1:13" ht="15.2" customHeight="1" x14ac:dyDescent="0.2">
      <c r="A251" s="26" t="s">
        <v>1868</v>
      </c>
      <c r="B251" s="27" t="s">
        <v>1869</v>
      </c>
      <c r="C251" s="28">
        <v>1</v>
      </c>
      <c r="D251" s="29">
        <v>8.5</v>
      </c>
      <c r="E251" s="29">
        <v>8.5</v>
      </c>
      <c r="F251" s="30">
        <v>19.989999999999998</v>
      </c>
      <c r="G251" s="29">
        <v>19.989999999999998</v>
      </c>
      <c r="H251" s="28" t="s">
        <v>1867</v>
      </c>
      <c r="I251" s="27" t="s">
        <v>343</v>
      </c>
      <c r="J251" s="31" t="s">
        <v>40</v>
      </c>
      <c r="K251" s="27" t="s">
        <v>282</v>
      </c>
      <c r="L251" s="27" t="s">
        <v>312</v>
      </c>
      <c r="M251" s="32" t="str">
        <f>HYPERLINK("http://slimages.macys.com/is/image/MCY/3905651 ")</f>
        <v xml:space="preserve">http://slimages.macys.com/is/image/MCY/3905651 </v>
      </c>
    </row>
    <row r="252" spans="1:13" ht="15.2" customHeight="1" x14ac:dyDescent="0.2">
      <c r="A252" s="26" t="s">
        <v>10889</v>
      </c>
      <c r="B252" s="27" t="s">
        <v>10890</v>
      </c>
      <c r="C252" s="28">
        <v>1</v>
      </c>
      <c r="D252" s="29">
        <v>8.5</v>
      </c>
      <c r="E252" s="29">
        <v>8.5</v>
      </c>
      <c r="F252" s="30">
        <v>19.989999999999998</v>
      </c>
      <c r="G252" s="29">
        <v>19.989999999999998</v>
      </c>
      <c r="H252" s="28">
        <v>60444549</v>
      </c>
      <c r="I252" s="27" t="s">
        <v>33</v>
      </c>
      <c r="J252" s="31" t="s">
        <v>40</v>
      </c>
      <c r="K252" s="27" t="s">
        <v>208</v>
      </c>
      <c r="L252" s="27" t="s">
        <v>255</v>
      </c>
      <c r="M252" s="32" t="str">
        <f>HYPERLINK("http://slimages.macys.com/is/image/MCY/3857783 ")</f>
        <v xml:space="preserve">http://slimages.macys.com/is/image/MCY/3857783 </v>
      </c>
    </row>
    <row r="253" spans="1:13" ht="15.2" customHeight="1" x14ac:dyDescent="0.2">
      <c r="A253" s="26" t="s">
        <v>7072</v>
      </c>
      <c r="B253" s="27" t="s">
        <v>7073</v>
      </c>
      <c r="C253" s="28">
        <v>1</v>
      </c>
      <c r="D253" s="29">
        <v>8.4</v>
      </c>
      <c r="E253" s="29">
        <v>8.4</v>
      </c>
      <c r="F253" s="30">
        <v>19.989999999999998</v>
      </c>
      <c r="G253" s="29">
        <v>19.989999999999998</v>
      </c>
      <c r="H253" s="28" t="s">
        <v>4637</v>
      </c>
      <c r="I253" s="27" t="s">
        <v>4</v>
      </c>
      <c r="J253" s="31" t="s">
        <v>21</v>
      </c>
      <c r="K253" s="27" t="s">
        <v>159</v>
      </c>
      <c r="L253" s="27" t="s">
        <v>160</v>
      </c>
      <c r="M253" s="32" t="str">
        <f>HYPERLINK("http://slimages.macys.com/is/image/MCY/3450470 ")</f>
        <v xml:space="preserve">http://slimages.macys.com/is/image/MCY/3450470 </v>
      </c>
    </row>
    <row r="254" spans="1:13" ht="15.2" customHeight="1" x14ac:dyDescent="0.2">
      <c r="A254" s="26" t="s">
        <v>10891</v>
      </c>
      <c r="B254" s="27" t="s">
        <v>10892</v>
      </c>
      <c r="C254" s="28">
        <v>1</v>
      </c>
      <c r="D254" s="29">
        <v>8.4</v>
      </c>
      <c r="E254" s="29">
        <v>8.4</v>
      </c>
      <c r="F254" s="30">
        <v>19.989999999999998</v>
      </c>
      <c r="G254" s="29">
        <v>19.989999999999998</v>
      </c>
      <c r="H254" s="28" t="s">
        <v>837</v>
      </c>
      <c r="I254" s="27" t="s">
        <v>4</v>
      </c>
      <c r="J254" s="31" t="s">
        <v>21</v>
      </c>
      <c r="K254" s="27" t="s">
        <v>196</v>
      </c>
      <c r="L254" s="27" t="s">
        <v>239</v>
      </c>
      <c r="M254" s="32" t="str">
        <f>HYPERLINK("http://slimages.macys.com/is/image/MCY/3815212 ")</f>
        <v xml:space="preserve">http://slimages.macys.com/is/image/MCY/3815212 </v>
      </c>
    </row>
    <row r="255" spans="1:13" ht="15.2" customHeight="1" x14ac:dyDescent="0.2">
      <c r="A255" s="26" t="s">
        <v>338</v>
      </c>
      <c r="B255" s="27" t="s">
        <v>339</v>
      </c>
      <c r="C255" s="28">
        <v>1</v>
      </c>
      <c r="D255" s="29">
        <v>8.25</v>
      </c>
      <c r="E255" s="29">
        <v>8.25</v>
      </c>
      <c r="F255" s="30">
        <v>19.989999999999998</v>
      </c>
      <c r="G255" s="29">
        <v>19.989999999999998</v>
      </c>
      <c r="H255" s="28" t="s">
        <v>340</v>
      </c>
      <c r="I255" s="27" t="s">
        <v>4</v>
      </c>
      <c r="J255" s="31" t="s">
        <v>52</v>
      </c>
      <c r="K255" s="27" t="s">
        <v>196</v>
      </c>
      <c r="L255" s="27" t="s">
        <v>225</v>
      </c>
      <c r="M255" s="32" t="str">
        <f>HYPERLINK("http://slimages.macys.com/is/image/MCY/3875563 ")</f>
        <v xml:space="preserve">http://slimages.macys.com/is/image/MCY/3875563 </v>
      </c>
    </row>
    <row r="256" spans="1:13" ht="15.2" customHeight="1" x14ac:dyDescent="0.2">
      <c r="A256" s="26" t="s">
        <v>10893</v>
      </c>
      <c r="B256" s="27" t="s">
        <v>10894</v>
      </c>
      <c r="C256" s="28">
        <v>1</v>
      </c>
      <c r="D256" s="29">
        <v>8.1</v>
      </c>
      <c r="E256" s="29">
        <v>8.1</v>
      </c>
      <c r="F256" s="30">
        <v>22.5</v>
      </c>
      <c r="G256" s="29">
        <v>22.5</v>
      </c>
      <c r="H256" s="28" t="s">
        <v>2294</v>
      </c>
      <c r="I256" s="27" t="s">
        <v>4</v>
      </c>
      <c r="J256" s="31" t="s">
        <v>172</v>
      </c>
      <c r="K256" s="27" t="s">
        <v>53</v>
      </c>
      <c r="L256" s="27" t="s">
        <v>372</v>
      </c>
      <c r="M256" s="32" t="str">
        <f>HYPERLINK("http://slimages.macys.com/is/image/MCY/3708566 ")</f>
        <v xml:space="preserve">http://slimages.macys.com/is/image/MCY/3708566 </v>
      </c>
    </row>
    <row r="257" spans="1:13" ht="15.2" customHeight="1" x14ac:dyDescent="0.2">
      <c r="A257" s="26" t="s">
        <v>9815</v>
      </c>
      <c r="B257" s="27" t="s">
        <v>9816</v>
      </c>
      <c r="C257" s="28">
        <v>1</v>
      </c>
      <c r="D257" s="29">
        <v>8.1</v>
      </c>
      <c r="E257" s="29">
        <v>8.1</v>
      </c>
      <c r="F257" s="30">
        <v>19.989999999999998</v>
      </c>
      <c r="G257" s="29">
        <v>19.989999999999998</v>
      </c>
      <c r="H257" s="28" t="s">
        <v>5095</v>
      </c>
      <c r="I257" s="27" t="s">
        <v>302</v>
      </c>
      <c r="J257" s="31" t="s">
        <v>71</v>
      </c>
      <c r="K257" s="27" t="s">
        <v>196</v>
      </c>
      <c r="L257" s="27" t="s">
        <v>322</v>
      </c>
      <c r="M257" s="32" t="str">
        <f>HYPERLINK("http://slimages.macys.com/is/image/MCY/3947130 ")</f>
        <v xml:space="preserve">http://slimages.macys.com/is/image/MCY/3947130 </v>
      </c>
    </row>
    <row r="258" spans="1:13" ht="15.2" customHeight="1" x14ac:dyDescent="0.2">
      <c r="A258" s="26" t="s">
        <v>2292</v>
      </c>
      <c r="B258" s="27" t="s">
        <v>2293</v>
      </c>
      <c r="C258" s="28">
        <v>1</v>
      </c>
      <c r="D258" s="29">
        <v>8.1</v>
      </c>
      <c r="E258" s="29">
        <v>8.1</v>
      </c>
      <c r="F258" s="30">
        <v>22.5</v>
      </c>
      <c r="G258" s="29">
        <v>22.5</v>
      </c>
      <c r="H258" s="28" t="s">
        <v>2294</v>
      </c>
      <c r="I258" s="27" t="s">
        <v>4</v>
      </c>
      <c r="J258" s="31" t="s">
        <v>5</v>
      </c>
      <c r="K258" s="27" t="s">
        <v>53</v>
      </c>
      <c r="L258" s="27" t="s">
        <v>372</v>
      </c>
      <c r="M258" s="32" t="str">
        <f>HYPERLINK("http://slimages.macys.com/is/image/MCY/3708566 ")</f>
        <v xml:space="preserve">http://slimages.macys.com/is/image/MCY/3708566 </v>
      </c>
    </row>
    <row r="259" spans="1:13" ht="15.2" customHeight="1" x14ac:dyDescent="0.2">
      <c r="A259" s="26" t="s">
        <v>2297</v>
      </c>
      <c r="B259" s="27" t="s">
        <v>2298</v>
      </c>
      <c r="C259" s="28">
        <v>1</v>
      </c>
      <c r="D259" s="29">
        <v>8.1</v>
      </c>
      <c r="E259" s="29">
        <v>8.1</v>
      </c>
      <c r="F259" s="30">
        <v>22.5</v>
      </c>
      <c r="G259" s="29">
        <v>22.5</v>
      </c>
      <c r="H259" s="28" t="s">
        <v>2294</v>
      </c>
      <c r="I259" s="27" t="s">
        <v>4</v>
      </c>
      <c r="J259" s="31" t="s">
        <v>52</v>
      </c>
      <c r="K259" s="27" t="s">
        <v>53</v>
      </c>
      <c r="L259" s="27" t="s">
        <v>372</v>
      </c>
      <c r="M259" s="32" t="str">
        <f>HYPERLINK("http://slimages.macys.com/is/image/MCY/3708566 ")</f>
        <v xml:space="preserve">http://slimages.macys.com/is/image/MCY/3708566 </v>
      </c>
    </row>
    <row r="260" spans="1:13" ht="15.2" customHeight="1" x14ac:dyDescent="0.2">
      <c r="A260" s="26" t="s">
        <v>1413</v>
      </c>
      <c r="B260" s="27" t="s">
        <v>1414</v>
      </c>
      <c r="C260" s="28">
        <v>1</v>
      </c>
      <c r="D260" s="29">
        <v>8</v>
      </c>
      <c r="E260" s="29">
        <v>8</v>
      </c>
      <c r="F260" s="30">
        <v>19.989999999999998</v>
      </c>
      <c r="G260" s="29">
        <v>19.989999999999998</v>
      </c>
      <c r="H260" s="28" t="s">
        <v>840</v>
      </c>
      <c r="I260" s="27" t="s">
        <v>189</v>
      </c>
      <c r="J260" s="31" t="s">
        <v>40</v>
      </c>
      <c r="K260" s="27" t="s">
        <v>282</v>
      </c>
      <c r="L260" s="27" t="s">
        <v>349</v>
      </c>
      <c r="M260" s="32" t="str">
        <f>HYPERLINK("http://slimages.macys.com/is/image/MCY/3799630 ")</f>
        <v xml:space="preserve">http://slimages.macys.com/is/image/MCY/3799630 </v>
      </c>
    </row>
    <row r="261" spans="1:13" ht="15.2" customHeight="1" x14ac:dyDescent="0.2">
      <c r="A261" s="26" t="s">
        <v>851</v>
      </c>
      <c r="B261" s="27" t="s">
        <v>852</v>
      </c>
      <c r="C261" s="28">
        <v>1</v>
      </c>
      <c r="D261" s="29">
        <v>8</v>
      </c>
      <c r="E261" s="29">
        <v>8</v>
      </c>
      <c r="F261" s="30">
        <v>19.989999999999998</v>
      </c>
      <c r="G261" s="29">
        <v>19.989999999999998</v>
      </c>
      <c r="H261" s="28" t="s">
        <v>848</v>
      </c>
      <c r="I261" s="27" t="s">
        <v>265</v>
      </c>
      <c r="J261" s="31" t="s">
        <v>40</v>
      </c>
      <c r="K261" s="27" t="s">
        <v>282</v>
      </c>
      <c r="L261" s="27" t="s">
        <v>358</v>
      </c>
      <c r="M261" s="32" t="str">
        <f>HYPERLINK("http://slimages.macys.com/is/image/MCY/3931076 ")</f>
        <v xml:space="preserve">http://slimages.macys.com/is/image/MCY/3931076 </v>
      </c>
    </row>
    <row r="262" spans="1:13" ht="15.2" customHeight="1" x14ac:dyDescent="0.2">
      <c r="A262" s="26" t="s">
        <v>838</v>
      </c>
      <c r="B262" s="27" t="s">
        <v>839</v>
      </c>
      <c r="C262" s="28">
        <v>1</v>
      </c>
      <c r="D262" s="29">
        <v>8</v>
      </c>
      <c r="E262" s="29">
        <v>8</v>
      </c>
      <c r="F262" s="30">
        <v>19.989999999999998</v>
      </c>
      <c r="G262" s="29">
        <v>19.989999999999998</v>
      </c>
      <c r="H262" s="28" t="s">
        <v>840</v>
      </c>
      <c r="I262" s="27" t="s">
        <v>189</v>
      </c>
      <c r="J262" s="31" t="s">
        <v>5</v>
      </c>
      <c r="K262" s="27" t="s">
        <v>282</v>
      </c>
      <c r="L262" s="27" t="s">
        <v>349</v>
      </c>
      <c r="M262" s="32" t="str">
        <f>HYPERLINK("http://slimages.macys.com/is/image/MCY/3799630 ")</f>
        <v xml:space="preserve">http://slimages.macys.com/is/image/MCY/3799630 </v>
      </c>
    </row>
    <row r="263" spans="1:13" ht="15.2" customHeight="1" x14ac:dyDescent="0.2">
      <c r="A263" s="26" t="s">
        <v>10895</v>
      </c>
      <c r="B263" s="27" t="s">
        <v>10896</v>
      </c>
      <c r="C263" s="28">
        <v>1</v>
      </c>
      <c r="D263" s="29">
        <v>8</v>
      </c>
      <c r="E263" s="29">
        <v>8</v>
      </c>
      <c r="F263" s="30">
        <v>19.989999999999998</v>
      </c>
      <c r="G263" s="29">
        <v>19.989999999999998</v>
      </c>
      <c r="H263" s="28" t="s">
        <v>7565</v>
      </c>
      <c r="I263" s="27" t="s">
        <v>248</v>
      </c>
      <c r="J263" s="31" t="s">
        <v>71</v>
      </c>
      <c r="K263" s="27" t="s">
        <v>224</v>
      </c>
      <c r="L263" s="27" t="s">
        <v>254</v>
      </c>
      <c r="M263" s="32" t="str">
        <f>HYPERLINK("http://slimages.macys.com/is/image/MCY/3719811 ")</f>
        <v xml:space="preserve">http://slimages.macys.com/is/image/MCY/3719811 </v>
      </c>
    </row>
    <row r="264" spans="1:13" ht="15.2" customHeight="1" x14ac:dyDescent="0.2">
      <c r="A264" s="26" t="s">
        <v>9441</v>
      </c>
      <c r="B264" s="27" t="s">
        <v>9442</v>
      </c>
      <c r="C264" s="28">
        <v>1</v>
      </c>
      <c r="D264" s="29">
        <v>8</v>
      </c>
      <c r="E264" s="29">
        <v>8</v>
      </c>
      <c r="F264" s="30">
        <v>21.5</v>
      </c>
      <c r="G264" s="29">
        <v>21.5</v>
      </c>
      <c r="H264" s="28" t="s">
        <v>352</v>
      </c>
      <c r="I264" s="27" t="s">
        <v>4</v>
      </c>
      <c r="J264" s="31" t="s">
        <v>40</v>
      </c>
      <c r="K264" s="27" t="s">
        <v>70</v>
      </c>
      <c r="L264" s="27" t="s">
        <v>353</v>
      </c>
      <c r="M264" s="32" t="str">
        <f>HYPERLINK("http://slimages.macys.com/is/image/MCY/3799214 ")</f>
        <v xml:space="preserve">http://slimages.macys.com/is/image/MCY/3799214 </v>
      </c>
    </row>
    <row r="265" spans="1:13" ht="15.2" customHeight="1" x14ac:dyDescent="0.2">
      <c r="A265" s="26" t="s">
        <v>10331</v>
      </c>
      <c r="B265" s="27" t="s">
        <v>10332</v>
      </c>
      <c r="C265" s="28">
        <v>1</v>
      </c>
      <c r="D265" s="29">
        <v>8</v>
      </c>
      <c r="E265" s="29">
        <v>8</v>
      </c>
      <c r="F265" s="30">
        <v>19.989999999999998</v>
      </c>
      <c r="G265" s="29">
        <v>19.989999999999998</v>
      </c>
      <c r="H265" s="28">
        <v>60450162</v>
      </c>
      <c r="I265" s="27" t="s">
        <v>238</v>
      </c>
      <c r="J265" s="31" t="s">
        <v>21</v>
      </c>
      <c r="K265" s="27" t="s">
        <v>208</v>
      </c>
      <c r="L265" s="27" t="s">
        <v>255</v>
      </c>
      <c r="M265" s="32" t="str">
        <f>HYPERLINK("http://slimages.macys.com/is/image/MCY/3913047 ")</f>
        <v xml:space="preserve">http://slimages.macys.com/is/image/MCY/3913047 </v>
      </c>
    </row>
    <row r="266" spans="1:13" ht="15.2" customHeight="1" x14ac:dyDescent="0.2">
      <c r="A266" s="26" t="s">
        <v>10897</v>
      </c>
      <c r="B266" s="27" t="s">
        <v>10898</v>
      </c>
      <c r="C266" s="28">
        <v>1</v>
      </c>
      <c r="D266" s="29">
        <v>8</v>
      </c>
      <c r="E266" s="29">
        <v>8</v>
      </c>
      <c r="F266" s="30">
        <v>19.989999999999998</v>
      </c>
      <c r="G266" s="29">
        <v>19.989999999999998</v>
      </c>
      <c r="H266" s="28" t="s">
        <v>8680</v>
      </c>
      <c r="I266" s="27" t="s">
        <v>82</v>
      </c>
      <c r="J266" s="31" t="s">
        <v>40</v>
      </c>
      <c r="K266" s="27" t="s">
        <v>196</v>
      </c>
      <c r="L266" s="27" t="s">
        <v>225</v>
      </c>
      <c r="M266" s="32" t="str">
        <f>HYPERLINK("http://slimages.macys.com/is/image/MCY/3541701 ")</f>
        <v xml:space="preserve">http://slimages.macys.com/is/image/MCY/3541701 </v>
      </c>
    </row>
    <row r="267" spans="1:13" ht="15.2" customHeight="1" x14ac:dyDescent="0.2">
      <c r="A267" s="26" t="s">
        <v>10899</v>
      </c>
      <c r="B267" s="27" t="s">
        <v>10900</v>
      </c>
      <c r="C267" s="28">
        <v>1</v>
      </c>
      <c r="D267" s="29">
        <v>8</v>
      </c>
      <c r="E267" s="29">
        <v>8</v>
      </c>
      <c r="F267" s="30">
        <v>19.989999999999998</v>
      </c>
      <c r="G267" s="29">
        <v>19.989999999999998</v>
      </c>
      <c r="H267" s="28" t="s">
        <v>10901</v>
      </c>
      <c r="I267" s="27" t="s">
        <v>4</v>
      </c>
      <c r="J267" s="31" t="s">
        <v>52</v>
      </c>
      <c r="K267" s="27" t="s">
        <v>196</v>
      </c>
      <c r="L267" s="27" t="s">
        <v>1329</v>
      </c>
      <c r="M267" s="32" t="str">
        <f>HYPERLINK("http://slimages.macys.com/is/image/MCY/3593659 ")</f>
        <v xml:space="preserve">http://slimages.macys.com/is/image/MCY/3593659 </v>
      </c>
    </row>
    <row r="268" spans="1:13" ht="15.2" customHeight="1" x14ac:dyDescent="0.2">
      <c r="A268" s="26" t="s">
        <v>1886</v>
      </c>
      <c r="B268" s="27" t="s">
        <v>1887</v>
      </c>
      <c r="C268" s="28">
        <v>1</v>
      </c>
      <c r="D268" s="29">
        <v>8</v>
      </c>
      <c r="E268" s="29">
        <v>8</v>
      </c>
      <c r="F268" s="30">
        <v>19.989999999999998</v>
      </c>
      <c r="G268" s="29">
        <v>19.989999999999998</v>
      </c>
      <c r="H268" s="28" t="s">
        <v>1888</v>
      </c>
      <c r="I268" s="27" t="s">
        <v>690</v>
      </c>
      <c r="J268" s="31" t="s">
        <v>40</v>
      </c>
      <c r="K268" s="27" t="s">
        <v>196</v>
      </c>
      <c r="L268" s="27" t="s">
        <v>239</v>
      </c>
      <c r="M268" s="32" t="str">
        <f>HYPERLINK("http://slimages.macys.com/is/image/MCY/3853021 ")</f>
        <v xml:space="preserve">http://slimages.macys.com/is/image/MCY/3853021 </v>
      </c>
    </row>
    <row r="269" spans="1:13" ht="15.2" customHeight="1" x14ac:dyDescent="0.2">
      <c r="A269" s="26" t="s">
        <v>10902</v>
      </c>
      <c r="B269" s="27" t="s">
        <v>10903</v>
      </c>
      <c r="C269" s="28">
        <v>1</v>
      </c>
      <c r="D269" s="29">
        <v>8</v>
      </c>
      <c r="E269" s="29">
        <v>8</v>
      </c>
      <c r="F269" s="30">
        <v>19.989999999999998</v>
      </c>
      <c r="G269" s="29">
        <v>19.989999999999998</v>
      </c>
      <c r="H269" s="28" t="s">
        <v>3895</v>
      </c>
      <c r="I269" s="27" t="s">
        <v>4</v>
      </c>
      <c r="J269" s="31" t="s">
        <v>5</v>
      </c>
      <c r="K269" s="27" t="s">
        <v>196</v>
      </c>
      <c r="L269" s="27" t="s">
        <v>322</v>
      </c>
      <c r="M269" s="32" t="str">
        <f>HYPERLINK("http://slimages.macys.com/is/image/MCY/3820941 ")</f>
        <v xml:space="preserve">http://slimages.macys.com/is/image/MCY/3820941 </v>
      </c>
    </row>
    <row r="270" spans="1:13" ht="15.2" customHeight="1" x14ac:dyDescent="0.2">
      <c r="A270" s="26" t="s">
        <v>10904</v>
      </c>
      <c r="B270" s="27" t="s">
        <v>10905</v>
      </c>
      <c r="C270" s="28">
        <v>1</v>
      </c>
      <c r="D270" s="29">
        <v>8</v>
      </c>
      <c r="E270" s="29">
        <v>8</v>
      </c>
      <c r="F270" s="30">
        <v>19.989999999999998</v>
      </c>
      <c r="G270" s="29">
        <v>19.989999999999998</v>
      </c>
      <c r="H270" s="28" t="s">
        <v>4350</v>
      </c>
      <c r="I270" s="27" t="s">
        <v>75</v>
      </c>
      <c r="J270" s="31" t="s">
        <v>71</v>
      </c>
      <c r="K270" s="27" t="s">
        <v>196</v>
      </c>
      <c r="L270" s="27" t="s">
        <v>322</v>
      </c>
      <c r="M270" s="32" t="str">
        <f>HYPERLINK("http://slimages.macys.com/is/image/MCY/3820938 ")</f>
        <v xml:space="preserve">http://slimages.macys.com/is/image/MCY/3820938 </v>
      </c>
    </row>
    <row r="271" spans="1:13" ht="15.2" customHeight="1" x14ac:dyDescent="0.2">
      <c r="A271" s="26" t="s">
        <v>10906</v>
      </c>
      <c r="B271" s="27" t="s">
        <v>10907</v>
      </c>
      <c r="C271" s="28">
        <v>1</v>
      </c>
      <c r="D271" s="29">
        <v>8</v>
      </c>
      <c r="E271" s="29">
        <v>8</v>
      </c>
      <c r="F271" s="30">
        <v>19.989999999999998</v>
      </c>
      <c r="G271" s="29">
        <v>19.989999999999998</v>
      </c>
      <c r="H271" s="28" t="s">
        <v>1888</v>
      </c>
      <c r="I271" s="27" t="s">
        <v>271</v>
      </c>
      <c r="J271" s="31" t="s">
        <v>5</v>
      </c>
      <c r="K271" s="27" t="s">
        <v>196</v>
      </c>
      <c r="L271" s="27" t="s">
        <v>239</v>
      </c>
      <c r="M271" s="32" t="str">
        <f>HYPERLINK("http://slimages.macys.com/is/image/MCY/3853021 ")</f>
        <v xml:space="preserve">http://slimages.macys.com/is/image/MCY/3853021 </v>
      </c>
    </row>
    <row r="272" spans="1:13" ht="15.2" customHeight="1" x14ac:dyDescent="0.2">
      <c r="A272" s="26" t="s">
        <v>7417</v>
      </c>
      <c r="B272" s="27" t="s">
        <v>7418</v>
      </c>
      <c r="C272" s="28">
        <v>1</v>
      </c>
      <c r="D272" s="29">
        <v>8</v>
      </c>
      <c r="E272" s="29">
        <v>8</v>
      </c>
      <c r="F272" s="30">
        <v>19.989999999999998</v>
      </c>
      <c r="G272" s="29">
        <v>19.989999999999998</v>
      </c>
      <c r="H272" s="28" t="s">
        <v>356</v>
      </c>
      <c r="I272" s="27" t="s">
        <v>357</v>
      </c>
      <c r="J272" s="31" t="s">
        <v>21</v>
      </c>
      <c r="K272" s="27" t="s">
        <v>282</v>
      </c>
      <c r="L272" s="27" t="s">
        <v>358</v>
      </c>
      <c r="M272" s="32" t="str">
        <f>HYPERLINK("http://slimages.macys.com/is/image/MCY/3931073 ")</f>
        <v xml:space="preserve">http://slimages.macys.com/is/image/MCY/3931073 </v>
      </c>
    </row>
    <row r="273" spans="1:13" ht="15.2" customHeight="1" x14ac:dyDescent="0.2">
      <c r="A273" s="26" t="s">
        <v>9885</v>
      </c>
      <c r="B273" s="27" t="s">
        <v>9886</v>
      </c>
      <c r="C273" s="28">
        <v>1</v>
      </c>
      <c r="D273" s="29">
        <v>7.8</v>
      </c>
      <c r="E273" s="29">
        <v>7.8</v>
      </c>
      <c r="F273" s="30">
        <v>19.989999999999998</v>
      </c>
      <c r="G273" s="29">
        <v>19.989999999999998</v>
      </c>
      <c r="H273" s="28" t="s">
        <v>1895</v>
      </c>
      <c r="I273" s="27" t="s">
        <v>4</v>
      </c>
      <c r="J273" s="31" t="s">
        <v>21</v>
      </c>
      <c r="K273" s="27" t="s">
        <v>196</v>
      </c>
      <c r="L273" s="27" t="s">
        <v>260</v>
      </c>
      <c r="M273" s="32" t="str">
        <f>HYPERLINK("http://slimages.macys.com/is/image/MCY/3798060 ")</f>
        <v xml:space="preserve">http://slimages.macys.com/is/image/MCY/3798060 </v>
      </c>
    </row>
    <row r="274" spans="1:13" ht="15.2" customHeight="1" x14ac:dyDescent="0.2">
      <c r="A274" s="26" t="s">
        <v>10293</v>
      </c>
      <c r="B274" s="27" t="s">
        <v>10294</v>
      </c>
      <c r="C274" s="28">
        <v>1</v>
      </c>
      <c r="D274" s="29">
        <v>7.75</v>
      </c>
      <c r="E274" s="29">
        <v>7.75</v>
      </c>
      <c r="F274" s="30">
        <v>19.989999999999998</v>
      </c>
      <c r="G274" s="29">
        <v>19.989999999999998</v>
      </c>
      <c r="H274" s="28" t="s">
        <v>8683</v>
      </c>
      <c r="I274" s="27" t="s">
        <v>82</v>
      </c>
      <c r="J274" s="31" t="s">
        <v>5</v>
      </c>
      <c r="K274" s="27" t="s">
        <v>196</v>
      </c>
      <c r="L274" s="27" t="s">
        <v>239</v>
      </c>
      <c r="M274" s="32" t="str">
        <f>HYPERLINK("http://slimages.macys.com/is/image/MCY/3777666 ")</f>
        <v xml:space="preserve">http://slimages.macys.com/is/image/MCY/3777666 </v>
      </c>
    </row>
    <row r="275" spans="1:13" ht="15.2" customHeight="1" x14ac:dyDescent="0.2">
      <c r="A275" s="26" t="s">
        <v>2329</v>
      </c>
      <c r="B275" s="27" t="s">
        <v>2330</v>
      </c>
      <c r="C275" s="28">
        <v>3</v>
      </c>
      <c r="D275" s="29">
        <v>7.63</v>
      </c>
      <c r="E275" s="29">
        <v>22.89</v>
      </c>
      <c r="F275" s="30">
        <v>22.5</v>
      </c>
      <c r="G275" s="29">
        <v>67.5</v>
      </c>
      <c r="H275" s="28" t="s">
        <v>2331</v>
      </c>
      <c r="I275" s="27" t="s">
        <v>4</v>
      </c>
      <c r="J275" s="31" t="s">
        <v>5</v>
      </c>
      <c r="K275" s="27" t="s">
        <v>53</v>
      </c>
      <c r="L275" s="27" t="s">
        <v>372</v>
      </c>
      <c r="M275" s="32" t="str">
        <f>HYPERLINK("http://slimages.macys.com/is/image/MCY/2217104 ")</f>
        <v xml:space="preserve">http://slimages.macys.com/is/image/MCY/2217104 </v>
      </c>
    </row>
    <row r="276" spans="1:13" ht="15.2" customHeight="1" x14ac:dyDescent="0.2">
      <c r="A276" s="26" t="s">
        <v>2339</v>
      </c>
      <c r="B276" s="27" t="s">
        <v>2340</v>
      </c>
      <c r="C276" s="28">
        <v>1</v>
      </c>
      <c r="D276" s="29">
        <v>7.63</v>
      </c>
      <c r="E276" s="29">
        <v>7.63</v>
      </c>
      <c r="F276" s="30">
        <v>22.5</v>
      </c>
      <c r="G276" s="29">
        <v>22.5</v>
      </c>
      <c r="H276" s="28" t="s">
        <v>2331</v>
      </c>
      <c r="I276" s="27" t="s">
        <v>4</v>
      </c>
      <c r="J276" s="31" t="s">
        <v>21</v>
      </c>
      <c r="K276" s="27" t="s">
        <v>53</v>
      </c>
      <c r="L276" s="27" t="s">
        <v>372</v>
      </c>
      <c r="M276" s="32" t="str">
        <f>HYPERLINK("http://slimages.macys.com/is/image/MCY/2217104 ")</f>
        <v xml:space="preserve">http://slimages.macys.com/is/image/MCY/2217104 </v>
      </c>
    </row>
    <row r="277" spans="1:13" ht="15.2" customHeight="1" x14ac:dyDescent="0.2">
      <c r="A277" s="26" t="s">
        <v>10908</v>
      </c>
      <c r="B277" s="27" t="s">
        <v>10909</v>
      </c>
      <c r="C277" s="28">
        <v>1</v>
      </c>
      <c r="D277" s="29">
        <v>7.6</v>
      </c>
      <c r="E277" s="29">
        <v>7.6</v>
      </c>
      <c r="F277" s="30">
        <v>16.989999999999998</v>
      </c>
      <c r="G277" s="29">
        <v>16.989999999999998</v>
      </c>
      <c r="H277" s="28">
        <v>60433925</v>
      </c>
      <c r="I277" s="27" t="s">
        <v>280</v>
      </c>
      <c r="J277" s="31" t="s">
        <v>71</v>
      </c>
      <c r="K277" s="27" t="s">
        <v>208</v>
      </c>
      <c r="L277" s="27" t="s">
        <v>255</v>
      </c>
      <c r="M277" s="32" t="str">
        <f>HYPERLINK("http://slimages.macys.com/is/image/MCY/3641068 ")</f>
        <v xml:space="preserve">http://slimages.macys.com/is/image/MCY/3641068 </v>
      </c>
    </row>
    <row r="278" spans="1:13" ht="15.2" customHeight="1" x14ac:dyDescent="0.2">
      <c r="A278" s="26" t="s">
        <v>3448</v>
      </c>
      <c r="B278" s="27" t="s">
        <v>3449</v>
      </c>
      <c r="C278" s="28">
        <v>1</v>
      </c>
      <c r="D278" s="29">
        <v>7.5</v>
      </c>
      <c r="E278" s="29">
        <v>7.5</v>
      </c>
      <c r="F278" s="30">
        <v>19.989999999999998</v>
      </c>
      <c r="G278" s="29">
        <v>19.989999999999998</v>
      </c>
      <c r="H278" s="28" t="s">
        <v>3438</v>
      </c>
      <c r="I278" s="27" t="s">
        <v>248</v>
      </c>
      <c r="J278" s="31" t="s">
        <v>21</v>
      </c>
      <c r="K278" s="27" t="s">
        <v>196</v>
      </c>
      <c r="L278" s="27" t="s">
        <v>336</v>
      </c>
      <c r="M278" s="32" t="str">
        <f>HYPERLINK("http://slimages.macys.com/is/image/MCY/3660171 ")</f>
        <v xml:space="preserve">http://slimages.macys.com/is/image/MCY/3660171 </v>
      </c>
    </row>
    <row r="279" spans="1:13" ht="15.2" customHeight="1" x14ac:dyDescent="0.2">
      <c r="A279" s="26" t="s">
        <v>9831</v>
      </c>
      <c r="B279" s="27" t="s">
        <v>9832</v>
      </c>
      <c r="C279" s="28">
        <v>1</v>
      </c>
      <c r="D279" s="29">
        <v>7.5</v>
      </c>
      <c r="E279" s="29">
        <v>7.5</v>
      </c>
      <c r="F279" s="30">
        <v>19.989999999999998</v>
      </c>
      <c r="G279" s="29">
        <v>19.989999999999998</v>
      </c>
      <c r="H279" s="28" t="s">
        <v>1433</v>
      </c>
      <c r="I279" s="27" t="s">
        <v>285</v>
      </c>
      <c r="J279" s="31" t="s">
        <v>21</v>
      </c>
      <c r="K279" s="27" t="s">
        <v>196</v>
      </c>
      <c r="L279" s="27" t="s">
        <v>336</v>
      </c>
      <c r="M279" s="32" t="str">
        <f>HYPERLINK("http://slimages.macys.com/is/image/MCY/3821001 ")</f>
        <v xml:space="preserve">http://slimages.macys.com/is/image/MCY/3821001 </v>
      </c>
    </row>
    <row r="280" spans="1:13" ht="15.2" customHeight="1" x14ac:dyDescent="0.2">
      <c r="A280" s="26" t="s">
        <v>5461</v>
      </c>
      <c r="B280" s="27" t="s">
        <v>5462</v>
      </c>
      <c r="C280" s="28">
        <v>1</v>
      </c>
      <c r="D280" s="29">
        <v>7.5</v>
      </c>
      <c r="E280" s="29">
        <v>7.5</v>
      </c>
      <c r="F280" s="30">
        <v>24.98</v>
      </c>
      <c r="G280" s="29">
        <v>24.98</v>
      </c>
      <c r="H280" s="28">
        <v>4068866</v>
      </c>
      <c r="I280" s="27" t="s">
        <v>59</v>
      </c>
      <c r="J280" s="31" t="s">
        <v>205</v>
      </c>
      <c r="K280" s="27" t="s">
        <v>154</v>
      </c>
      <c r="L280" s="27" t="s">
        <v>155</v>
      </c>
      <c r="M280" s="32" t="str">
        <f>HYPERLINK("http://slimages.macys.com/is/image/MCY/1942084 ")</f>
        <v xml:space="preserve">http://slimages.macys.com/is/image/MCY/1942084 </v>
      </c>
    </row>
    <row r="281" spans="1:13" ht="15.2" customHeight="1" x14ac:dyDescent="0.2">
      <c r="A281" s="26" t="s">
        <v>10910</v>
      </c>
      <c r="B281" s="27" t="s">
        <v>10911</v>
      </c>
      <c r="C281" s="28">
        <v>1</v>
      </c>
      <c r="D281" s="29">
        <v>7.5</v>
      </c>
      <c r="E281" s="29">
        <v>7.5</v>
      </c>
      <c r="F281" s="30">
        <v>21.5</v>
      </c>
      <c r="G281" s="29">
        <v>21.5</v>
      </c>
      <c r="H281" s="28" t="s">
        <v>371</v>
      </c>
      <c r="I281" s="27" t="s">
        <v>4</v>
      </c>
      <c r="J281" s="31" t="s">
        <v>65</v>
      </c>
      <c r="K281" s="27" t="s">
        <v>70</v>
      </c>
      <c r="L281" s="27" t="s">
        <v>353</v>
      </c>
      <c r="M281" s="32" t="str">
        <f>HYPERLINK("http://slimages.macys.com/is/image/MCY/3845992 ")</f>
        <v xml:space="preserve">http://slimages.macys.com/is/image/MCY/3845992 </v>
      </c>
    </row>
    <row r="282" spans="1:13" ht="15.2" customHeight="1" x14ac:dyDescent="0.2">
      <c r="A282" s="26" t="s">
        <v>10912</v>
      </c>
      <c r="B282" s="27" t="s">
        <v>10913</v>
      </c>
      <c r="C282" s="28">
        <v>1</v>
      </c>
      <c r="D282" s="29">
        <v>7.5</v>
      </c>
      <c r="E282" s="29">
        <v>7.5</v>
      </c>
      <c r="F282" s="30">
        <v>16.989999999999998</v>
      </c>
      <c r="G282" s="29">
        <v>16.989999999999998</v>
      </c>
      <c r="H282" s="28">
        <v>60444415</v>
      </c>
      <c r="I282" s="27" t="s">
        <v>280</v>
      </c>
      <c r="J282" s="31" t="s">
        <v>5</v>
      </c>
      <c r="K282" s="27" t="s">
        <v>208</v>
      </c>
      <c r="L282" s="27" t="s">
        <v>255</v>
      </c>
      <c r="M282" s="32" t="str">
        <f>HYPERLINK("http://slimages.macys.com/is/image/MCY/3832168 ")</f>
        <v xml:space="preserve">http://slimages.macys.com/is/image/MCY/3832168 </v>
      </c>
    </row>
    <row r="283" spans="1:13" ht="15.2" customHeight="1" x14ac:dyDescent="0.2">
      <c r="A283" s="26" t="s">
        <v>10144</v>
      </c>
      <c r="B283" s="27" t="s">
        <v>10145</v>
      </c>
      <c r="C283" s="28">
        <v>1</v>
      </c>
      <c r="D283" s="29">
        <v>7.5</v>
      </c>
      <c r="E283" s="29">
        <v>7.5</v>
      </c>
      <c r="F283" s="30">
        <v>19.989999999999998</v>
      </c>
      <c r="G283" s="29">
        <v>19.989999999999998</v>
      </c>
      <c r="H283" s="28" t="s">
        <v>5121</v>
      </c>
      <c r="I283" s="27" t="s">
        <v>36</v>
      </c>
      <c r="J283" s="31" t="s">
        <v>71</v>
      </c>
      <c r="K283" s="27" t="s">
        <v>196</v>
      </c>
      <c r="L283" s="27" t="s">
        <v>336</v>
      </c>
      <c r="M283" s="32" t="str">
        <f>HYPERLINK("http://slimages.macys.com/is/image/MCY/3705540 ")</f>
        <v xml:space="preserve">http://slimages.macys.com/is/image/MCY/3705540 </v>
      </c>
    </row>
    <row r="284" spans="1:13" ht="15.2" customHeight="1" x14ac:dyDescent="0.2">
      <c r="A284" s="26" t="s">
        <v>10914</v>
      </c>
      <c r="B284" s="27" t="s">
        <v>10915</v>
      </c>
      <c r="C284" s="28">
        <v>1</v>
      </c>
      <c r="D284" s="29">
        <v>7.25</v>
      </c>
      <c r="E284" s="29">
        <v>7.25</v>
      </c>
      <c r="F284" s="30">
        <v>19.989999999999998</v>
      </c>
      <c r="G284" s="29">
        <v>19.989999999999998</v>
      </c>
      <c r="H284" s="28" t="s">
        <v>373</v>
      </c>
      <c r="I284" s="27" t="s">
        <v>2496</v>
      </c>
      <c r="J284" s="31" t="s">
        <v>21</v>
      </c>
      <c r="K284" s="27" t="s">
        <v>196</v>
      </c>
      <c r="L284" s="27" t="s">
        <v>225</v>
      </c>
      <c r="M284" s="32" t="str">
        <f>HYPERLINK("http://slimages.macys.com/is/image/MCY/3685402 ")</f>
        <v xml:space="preserve">http://slimages.macys.com/is/image/MCY/3685402 </v>
      </c>
    </row>
    <row r="285" spans="1:13" ht="15.2" customHeight="1" x14ac:dyDescent="0.2">
      <c r="A285" s="26" t="s">
        <v>10916</v>
      </c>
      <c r="B285" s="27" t="s">
        <v>10917</v>
      </c>
      <c r="C285" s="28">
        <v>1</v>
      </c>
      <c r="D285" s="29">
        <v>7.25</v>
      </c>
      <c r="E285" s="29">
        <v>7.25</v>
      </c>
      <c r="F285" s="30">
        <v>16.989999999999998</v>
      </c>
      <c r="G285" s="29">
        <v>16.989999999999998</v>
      </c>
      <c r="H285" s="28" t="s">
        <v>8837</v>
      </c>
      <c r="I285" s="27" t="s">
        <v>302</v>
      </c>
      <c r="J285" s="31" t="s">
        <v>21</v>
      </c>
      <c r="K285" s="27" t="s">
        <v>196</v>
      </c>
      <c r="L285" s="27" t="s">
        <v>336</v>
      </c>
      <c r="M285" s="32" t="str">
        <f>HYPERLINK("http://slimages.macys.com/is/image/MCY/3609891 ")</f>
        <v xml:space="preserve">http://slimages.macys.com/is/image/MCY/3609891 </v>
      </c>
    </row>
    <row r="286" spans="1:13" ht="15.2" customHeight="1" x14ac:dyDescent="0.2">
      <c r="A286" s="26" t="s">
        <v>867</v>
      </c>
      <c r="B286" s="27" t="s">
        <v>868</v>
      </c>
      <c r="C286" s="28">
        <v>1</v>
      </c>
      <c r="D286" s="29">
        <v>7</v>
      </c>
      <c r="E286" s="29">
        <v>7</v>
      </c>
      <c r="F286" s="30">
        <v>19.989999999999998</v>
      </c>
      <c r="G286" s="29">
        <v>19.989999999999998</v>
      </c>
      <c r="H286" s="28" t="s">
        <v>380</v>
      </c>
      <c r="I286" s="27" t="s">
        <v>4</v>
      </c>
      <c r="J286" s="31" t="s">
        <v>40</v>
      </c>
      <c r="K286" s="27" t="s">
        <v>196</v>
      </c>
      <c r="L286" s="27" t="s">
        <v>260</v>
      </c>
      <c r="M286" s="32" t="str">
        <f>HYPERLINK("http://slimages.macys.com/is/image/MCY/3910801 ")</f>
        <v xml:space="preserve">http://slimages.macys.com/is/image/MCY/3910801 </v>
      </c>
    </row>
    <row r="287" spans="1:13" ht="15.2" customHeight="1" x14ac:dyDescent="0.2">
      <c r="A287" s="26" t="s">
        <v>8324</v>
      </c>
      <c r="B287" s="27" t="s">
        <v>8325</v>
      </c>
      <c r="C287" s="28">
        <v>2</v>
      </c>
      <c r="D287" s="29">
        <v>7</v>
      </c>
      <c r="E287" s="29">
        <v>14</v>
      </c>
      <c r="F287" s="30">
        <v>19.989999999999998</v>
      </c>
      <c r="G287" s="29">
        <v>39.979999999999997</v>
      </c>
      <c r="H287" s="28" t="s">
        <v>2984</v>
      </c>
      <c r="I287" s="27" t="s">
        <v>82</v>
      </c>
      <c r="J287" s="31" t="s">
        <v>5</v>
      </c>
      <c r="K287" s="27" t="s">
        <v>196</v>
      </c>
      <c r="L287" s="27" t="s">
        <v>239</v>
      </c>
      <c r="M287" s="32" t="str">
        <f>HYPERLINK("http://slimages.macys.com/is/image/MCY/3685480 ")</f>
        <v xml:space="preserve">http://slimages.macys.com/is/image/MCY/3685480 </v>
      </c>
    </row>
    <row r="288" spans="1:13" ht="15.2" customHeight="1" x14ac:dyDescent="0.2">
      <c r="A288" s="26" t="s">
        <v>7567</v>
      </c>
      <c r="B288" s="27" t="s">
        <v>7568</v>
      </c>
      <c r="C288" s="28">
        <v>1</v>
      </c>
      <c r="D288" s="29">
        <v>7</v>
      </c>
      <c r="E288" s="29">
        <v>7</v>
      </c>
      <c r="F288" s="30">
        <v>19.989999999999998</v>
      </c>
      <c r="G288" s="29">
        <v>19.989999999999998</v>
      </c>
      <c r="H288" s="28" t="s">
        <v>2987</v>
      </c>
      <c r="I288" s="27" t="s">
        <v>94</v>
      </c>
      <c r="J288" s="31" t="s">
        <v>21</v>
      </c>
      <c r="K288" s="27" t="s">
        <v>282</v>
      </c>
      <c r="L288" s="27" t="s">
        <v>358</v>
      </c>
      <c r="M288" s="32" t="str">
        <f>HYPERLINK("http://slimages.macys.com/is/image/MCY/3832156 ")</f>
        <v xml:space="preserve">http://slimages.macys.com/is/image/MCY/3832156 </v>
      </c>
    </row>
    <row r="289" spans="1:13" ht="15.2" customHeight="1" x14ac:dyDescent="0.2">
      <c r="A289" s="26" t="s">
        <v>7569</v>
      </c>
      <c r="B289" s="27" t="s">
        <v>7570</v>
      </c>
      <c r="C289" s="28">
        <v>1</v>
      </c>
      <c r="D289" s="29">
        <v>7</v>
      </c>
      <c r="E289" s="29">
        <v>7</v>
      </c>
      <c r="F289" s="30">
        <v>19.989999999999998</v>
      </c>
      <c r="G289" s="29">
        <v>19.989999999999998</v>
      </c>
      <c r="H289" s="28" t="s">
        <v>2987</v>
      </c>
      <c r="I289" s="27" t="s">
        <v>94</v>
      </c>
      <c r="J289" s="31" t="s">
        <v>5</v>
      </c>
      <c r="K289" s="27" t="s">
        <v>282</v>
      </c>
      <c r="L289" s="27" t="s">
        <v>358</v>
      </c>
      <c r="M289" s="32" t="str">
        <f>HYPERLINK("http://slimages.macys.com/is/image/MCY/3832156 ")</f>
        <v xml:space="preserve">http://slimages.macys.com/is/image/MCY/3832156 </v>
      </c>
    </row>
    <row r="290" spans="1:13" ht="15.2" customHeight="1" x14ac:dyDescent="0.2">
      <c r="A290" s="26" t="s">
        <v>7787</v>
      </c>
      <c r="B290" s="27" t="s">
        <v>7788</v>
      </c>
      <c r="C290" s="28">
        <v>1</v>
      </c>
      <c r="D290" s="29">
        <v>7</v>
      </c>
      <c r="E290" s="29">
        <v>7</v>
      </c>
      <c r="F290" s="30">
        <v>19.989999999999998</v>
      </c>
      <c r="G290" s="29">
        <v>19.989999999999998</v>
      </c>
      <c r="H290" s="28" t="s">
        <v>1906</v>
      </c>
      <c r="I290" s="27" t="s">
        <v>280</v>
      </c>
      <c r="J290" s="31" t="s">
        <v>21</v>
      </c>
      <c r="K290" s="27" t="s">
        <v>282</v>
      </c>
      <c r="L290" s="27" t="s">
        <v>358</v>
      </c>
      <c r="M290" s="32" t="str">
        <f>HYPERLINK("http://slimages.macys.com/is/image/MCY/3773685 ")</f>
        <v xml:space="preserve">http://slimages.macys.com/is/image/MCY/3773685 </v>
      </c>
    </row>
    <row r="291" spans="1:13" ht="15.2" customHeight="1" x14ac:dyDescent="0.2">
      <c r="A291" s="26" t="s">
        <v>1910</v>
      </c>
      <c r="B291" s="27" t="s">
        <v>1911</v>
      </c>
      <c r="C291" s="28">
        <v>1</v>
      </c>
      <c r="D291" s="29">
        <v>7</v>
      </c>
      <c r="E291" s="29">
        <v>7</v>
      </c>
      <c r="F291" s="30">
        <v>19.989999999999998</v>
      </c>
      <c r="G291" s="29">
        <v>19.989999999999998</v>
      </c>
      <c r="H291" s="28" t="s">
        <v>1906</v>
      </c>
      <c r="I291" s="27" t="s">
        <v>280</v>
      </c>
      <c r="J291" s="31" t="s">
        <v>5</v>
      </c>
      <c r="K291" s="27" t="s">
        <v>282</v>
      </c>
      <c r="L291" s="27" t="s">
        <v>358</v>
      </c>
      <c r="M291" s="32" t="str">
        <f>HYPERLINK("http://slimages.macys.com/is/image/MCY/3773685 ")</f>
        <v xml:space="preserve">http://slimages.macys.com/is/image/MCY/3773685 </v>
      </c>
    </row>
    <row r="292" spans="1:13" ht="15.2" customHeight="1" x14ac:dyDescent="0.2">
      <c r="A292" s="26" t="s">
        <v>10918</v>
      </c>
      <c r="B292" s="27" t="s">
        <v>10919</v>
      </c>
      <c r="C292" s="28">
        <v>1</v>
      </c>
      <c r="D292" s="29">
        <v>7</v>
      </c>
      <c r="E292" s="29">
        <v>7</v>
      </c>
      <c r="F292" s="30">
        <v>19.989999999999998</v>
      </c>
      <c r="G292" s="29">
        <v>19.989999999999998</v>
      </c>
      <c r="H292" s="28" t="s">
        <v>7431</v>
      </c>
      <c r="I292" s="27" t="s">
        <v>26</v>
      </c>
      <c r="J292" s="31" t="s">
        <v>40</v>
      </c>
      <c r="K292" s="27" t="s">
        <v>196</v>
      </c>
      <c r="L292" s="27" t="s">
        <v>336</v>
      </c>
      <c r="M292" s="32" t="str">
        <f>HYPERLINK("http://slimages.macys.com/is/image/MCY/3814617 ")</f>
        <v xml:space="preserve">http://slimages.macys.com/is/image/MCY/3814617 </v>
      </c>
    </row>
    <row r="293" spans="1:13" ht="15.2" customHeight="1" x14ac:dyDescent="0.2">
      <c r="A293" s="26" t="s">
        <v>10920</v>
      </c>
      <c r="B293" s="27" t="s">
        <v>10921</v>
      </c>
      <c r="C293" s="28">
        <v>1</v>
      </c>
      <c r="D293" s="29">
        <v>7</v>
      </c>
      <c r="E293" s="29">
        <v>7</v>
      </c>
      <c r="F293" s="30">
        <v>19.989999999999998</v>
      </c>
      <c r="G293" s="29">
        <v>19.989999999999998</v>
      </c>
      <c r="H293" s="28" t="s">
        <v>2984</v>
      </c>
      <c r="I293" s="27" t="s">
        <v>66</v>
      </c>
      <c r="J293" s="31" t="s">
        <v>71</v>
      </c>
      <c r="K293" s="27" t="s">
        <v>196</v>
      </c>
      <c r="L293" s="27" t="s">
        <v>239</v>
      </c>
      <c r="M293" s="32" t="str">
        <f>HYPERLINK("http://slimages.macys.com/is/image/MCY/3685480 ")</f>
        <v xml:space="preserve">http://slimages.macys.com/is/image/MCY/3685480 </v>
      </c>
    </row>
    <row r="294" spans="1:13" ht="15.2" customHeight="1" x14ac:dyDescent="0.2">
      <c r="A294" s="26" t="s">
        <v>10922</v>
      </c>
      <c r="B294" s="27" t="s">
        <v>10923</v>
      </c>
      <c r="C294" s="28">
        <v>1</v>
      </c>
      <c r="D294" s="29">
        <v>7</v>
      </c>
      <c r="E294" s="29">
        <v>7</v>
      </c>
      <c r="F294" s="30">
        <v>16.989999999999998</v>
      </c>
      <c r="G294" s="29">
        <v>16.989999999999998</v>
      </c>
      <c r="H294" s="28" t="s">
        <v>8326</v>
      </c>
      <c r="I294" s="27" t="s">
        <v>22</v>
      </c>
      <c r="J294" s="31" t="s">
        <v>5</v>
      </c>
      <c r="K294" s="27" t="s">
        <v>196</v>
      </c>
      <c r="L294" s="27" t="s">
        <v>239</v>
      </c>
      <c r="M294" s="32" t="str">
        <f>HYPERLINK("http://slimages.macys.com/is/image/MCY/3563231 ")</f>
        <v xml:space="preserve">http://slimages.macys.com/is/image/MCY/3563231 </v>
      </c>
    </row>
    <row r="295" spans="1:13" ht="15.2" customHeight="1" x14ac:dyDescent="0.2">
      <c r="A295" s="26" t="s">
        <v>4358</v>
      </c>
      <c r="B295" s="27" t="s">
        <v>4359</v>
      </c>
      <c r="C295" s="28">
        <v>1</v>
      </c>
      <c r="D295" s="29">
        <v>7</v>
      </c>
      <c r="E295" s="29">
        <v>7</v>
      </c>
      <c r="F295" s="30">
        <v>19.989999999999998</v>
      </c>
      <c r="G295" s="29">
        <v>19.989999999999998</v>
      </c>
      <c r="H295" s="28" t="s">
        <v>1909</v>
      </c>
      <c r="I295" s="27" t="s">
        <v>82</v>
      </c>
      <c r="J295" s="31" t="s">
        <v>21</v>
      </c>
      <c r="K295" s="27" t="s">
        <v>282</v>
      </c>
      <c r="L295" s="27" t="s">
        <v>358</v>
      </c>
      <c r="M295" s="32" t="str">
        <f>HYPERLINK("http://slimages.macys.com/is/image/MCY/3773262 ")</f>
        <v xml:space="preserve">http://slimages.macys.com/is/image/MCY/3773262 </v>
      </c>
    </row>
    <row r="296" spans="1:13" ht="15.2" customHeight="1" x14ac:dyDescent="0.2">
      <c r="A296" s="26" t="s">
        <v>4356</v>
      </c>
      <c r="B296" s="27" t="s">
        <v>4357</v>
      </c>
      <c r="C296" s="28">
        <v>1</v>
      </c>
      <c r="D296" s="29">
        <v>7</v>
      </c>
      <c r="E296" s="29">
        <v>7</v>
      </c>
      <c r="F296" s="30">
        <v>19.989999999999998</v>
      </c>
      <c r="G296" s="29">
        <v>19.989999999999998</v>
      </c>
      <c r="H296" s="28" t="s">
        <v>1909</v>
      </c>
      <c r="I296" s="27" t="s">
        <v>82</v>
      </c>
      <c r="J296" s="31" t="s">
        <v>5</v>
      </c>
      <c r="K296" s="27" t="s">
        <v>282</v>
      </c>
      <c r="L296" s="27" t="s">
        <v>358</v>
      </c>
      <c r="M296" s="32" t="str">
        <f>HYPERLINK("http://slimages.macys.com/is/image/MCY/3773262 ")</f>
        <v xml:space="preserve">http://slimages.macys.com/is/image/MCY/3773262 </v>
      </c>
    </row>
    <row r="297" spans="1:13" ht="15.2" customHeight="1" x14ac:dyDescent="0.2">
      <c r="A297" s="26" t="s">
        <v>10924</v>
      </c>
      <c r="B297" s="27" t="s">
        <v>10925</v>
      </c>
      <c r="C297" s="28">
        <v>1</v>
      </c>
      <c r="D297" s="29">
        <v>6.8</v>
      </c>
      <c r="E297" s="29">
        <v>6.8</v>
      </c>
      <c r="F297" s="30">
        <v>16.989999999999998</v>
      </c>
      <c r="G297" s="29">
        <v>16.989999999999998</v>
      </c>
      <c r="H297" s="28">
        <v>60444923</v>
      </c>
      <c r="I297" s="27" t="s">
        <v>82</v>
      </c>
      <c r="J297" s="31" t="s">
        <v>5</v>
      </c>
      <c r="K297" s="27" t="s">
        <v>208</v>
      </c>
      <c r="L297" s="27" t="s">
        <v>255</v>
      </c>
      <c r="M297" s="32" t="str">
        <f>HYPERLINK("http://slimages.macys.com/is/image/MCY/3877708 ")</f>
        <v xml:space="preserve">http://slimages.macys.com/is/image/MCY/3877708 </v>
      </c>
    </row>
    <row r="298" spans="1:13" ht="15.2" customHeight="1" x14ac:dyDescent="0.2">
      <c r="A298" s="26" t="s">
        <v>10926</v>
      </c>
      <c r="B298" s="27" t="s">
        <v>10927</v>
      </c>
      <c r="C298" s="28">
        <v>1</v>
      </c>
      <c r="D298" s="29">
        <v>6.75</v>
      </c>
      <c r="E298" s="29">
        <v>6.75</v>
      </c>
      <c r="F298" s="30">
        <v>16.989999999999998</v>
      </c>
      <c r="G298" s="29">
        <v>16.989999999999998</v>
      </c>
      <c r="H298" s="28" t="s">
        <v>10928</v>
      </c>
      <c r="I298" s="27" t="s">
        <v>94</v>
      </c>
      <c r="J298" s="31" t="s">
        <v>21</v>
      </c>
      <c r="K298" s="27" t="s">
        <v>196</v>
      </c>
      <c r="L298" s="27" t="s">
        <v>239</v>
      </c>
      <c r="M298" s="32" t="str">
        <f>HYPERLINK("http://slimages.macys.com/is/image/MCY/3593653 ")</f>
        <v xml:space="preserve">http://slimages.macys.com/is/image/MCY/3593653 </v>
      </c>
    </row>
    <row r="299" spans="1:13" ht="15.2" customHeight="1" x14ac:dyDescent="0.2">
      <c r="A299" s="26" t="s">
        <v>10929</v>
      </c>
      <c r="B299" s="27" t="s">
        <v>10930</v>
      </c>
      <c r="C299" s="28">
        <v>1</v>
      </c>
      <c r="D299" s="29">
        <v>6.75</v>
      </c>
      <c r="E299" s="29">
        <v>6.75</v>
      </c>
      <c r="F299" s="30">
        <v>19.989999999999998</v>
      </c>
      <c r="G299" s="29">
        <v>19.989999999999998</v>
      </c>
      <c r="H299" s="28" t="s">
        <v>9270</v>
      </c>
      <c r="I299" s="27" t="s">
        <v>248</v>
      </c>
      <c r="J299" s="31" t="s">
        <v>21</v>
      </c>
      <c r="K299" s="27" t="s">
        <v>196</v>
      </c>
      <c r="L299" s="27" t="s">
        <v>336</v>
      </c>
      <c r="M299" s="32" t="str">
        <f>HYPERLINK("http://slimages.macys.com/is/image/MCY/3755523 ")</f>
        <v xml:space="preserve">http://slimages.macys.com/is/image/MCY/3755523 </v>
      </c>
    </row>
    <row r="300" spans="1:13" ht="15.2" customHeight="1" x14ac:dyDescent="0.2">
      <c r="A300" s="26" t="s">
        <v>1442</v>
      </c>
      <c r="B300" s="27" t="s">
        <v>1443</v>
      </c>
      <c r="C300" s="28">
        <v>1</v>
      </c>
      <c r="D300" s="29">
        <v>6.75</v>
      </c>
      <c r="E300" s="29">
        <v>6.75</v>
      </c>
      <c r="F300" s="30">
        <v>12.99</v>
      </c>
      <c r="G300" s="29">
        <v>12.99</v>
      </c>
      <c r="H300" s="28" t="s">
        <v>874</v>
      </c>
      <c r="I300" s="27" t="s">
        <v>59</v>
      </c>
      <c r="J300" s="31" t="s">
        <v>5</v>
      </c>
      <c r="K300" s="27" t="s">
        <v>282</v>
      </c>
      <c r="L300" s="27" t="s">
        <v>225</v>
      </c>
      <c r="M300" s="32" t="str">
        <f>HYPERLINK("http://slimages.macys.com/is/image/MCY/3905659 ")</f>
        <v xml:space="preserve">http://slimages.macys.com/is/image/MCY/3905659 </v>
      </c>
    </row>
    <row r="301" spans="1:13" ht="15.2" customHeight="1" x14ac:dyDescent="0.2">
      <c r="A301" s="26" t="s">
        <v>1918</v>
      </c>
      <c r="B301" s="27" t="s">
        <v>1919</v>
      </c>
      <c r="C301" s="28">
        <v>1</v>
      </c>
      <c r="D301" s="29">
        <v>6.72</v>
      </c>
      <c r="E301" s="29">
        <v>6.72</v>
      </c>
      <c r="F301" s="30">
        <v>15.99</v>
      </c>
      <c r="G301" s="29">
        <v>15.99</v>
      </c>
      <c r="H301" s="28" t="s">
        <v>1920</v>
      </c>
      <c r="I301" s="27" t="s">
        <v>8</v>
      </c>
      <c r="J301" s="31" t="s">
        <v>40</v>
      </c>
      <c r="K301" s="27" t="s">
        <v>159</v>
      </c>
      <c r="L301" s="27" t="s">
        <v>160</v>
      </c>
      <c r="M301" s="32" t="str">
        <f>HYPERLINK("http://slimages.macys.com/is/image/MCY/3677454 ")</f>
        <v xml:space="preserve">http://slimages.macys.com/is/image/MCY/3677454 </v>
      </c>
    </row>
    <row r="302" spans="1:13" ht="15.2" customHeight="1" x14ac:dyDescent="0.2">
      <c r="A302" s="26" t="s">
        <v>10931</v>
      </c>
      <c r="B302" s="27" t="s">
        <v>10932</v>
      </c>
      <c r="C302" s="28">
        <v>1</v>
      </c>
      <c r="D302" s="29">
        <v>6.65</v>
      </c>
      <c r="E302" s="29">
        <v>6.65</v>
      </c>
      <c r="F302" s="30">
        <v>12.99</v>
      </c>
      <c r="G302" s="29">
        <v>12.99</v>
      </c>
      <c r="H302" s="28" t="s">
        <v>5471</v>
      </c>
      <c r="I302" s="27" t="s">
        <v>82</v>
      </c>
      <c r="J302" s="31" t="s">
        <v>5147</v>
      </c>
      <c r="K302" s="27" t="s">
        <v>282</v>
      </c>
      <c r="L302" s="27" t="s">
        <v>386</v>
      </c>
      <c r="M302" s="32" t="str">
        <f>HYPERLINK("http://slimages.macys.com/is/image/MCY/3687729 ")</f>
        <v xml:space="preserve">http://slimages.macys.com/is/image/MCY/3687729 </v>
      </c>
    </row>
    <row r="303" spans="1:13" ht="15.2" customHeight="1" x14ac:dyDescent="0.2">
      <c r="A303" s="26" t="s">
        <v>7792</v>
      </c>
      <c r="B303" s="27" t="s">
        <v>7793</v>
      </c>
      <c r="C303" s="28">
        <v>2</v>
      </c>
      <c r="D303" s="29">
        <v>6.5</v>
      </c>
      <c r="E303" s="29">
        <v>13</v>
      </c>
      <c r="F303" s="30">
        <v>12.99</v>
      </c>
      <c r="G303" s="29">
        <v>25.98</v>
      </c>
      <c r="H303" s="28" t="s">
        <v>5474</v>
      </c>
      <c r="I303" s="27" t="s">
        <v>189</v>
      </c>
      <c r="J303" s="31" t="s">
        <v>5</v>
      </c>
      <c r="K303" s="27" t="s">
        <v>282</v>
      </c>
      <c r="L303" s="27" t="s">
        <v>327</v>
      </c>
      <c r="M303" s="32" t="str">
        <f>HYPERLINK("http://slimages.macys.com/is/image/MCY/3773733 ")</f>
        <v xml:space="preserve">http://slimages.macys.com/is/image/MCY/3773733 </v>
      </c>
    </row>
    <row r="304" spans="1:13" ht="15.2" customHeight="1" x14ac:dyDescent="0.2">
      <c r="A304" s="26" t="s">
        <v>2990</v>
      </c>
      <c r="B304" s="27" t="s">
        <v>2991</v>
      </c>
      <c r="C304" s="28">
        <v>1</v>
      </c>
      <c r="D304" s="29">
        <v>6.5</v>
      </c>
      <c r="E304" s="29">
        <v>6.5</v>
      </c>
      <c r="F304" s="30">
        <v>12.99</v>
      </c>
      <c r="G304" s="29">
        <v>12.99</v>
      </c>
      <c r="H304" s="28" t="s">
        <v>2992</v>
      </c>
      <c r="I304" s="27"/>
      <c r="J304" s="31" t="s">
        <v>40</v>
      </c>
      <c r="K304" s="27" t="s">
        <v>282</v>
      </c>
      <c r="L304" s="27" t="s">
        <v>327</v>
      </c>
      <c r="M304" s="32" t="str">
        <f>HYPERLINK("http://slimages.macys.com/is/image/MCY/3797931 ")</f>
        <v xml:space="preserve">http://slimages.macys.com/is/image/MCY/3797931 </v>
      </c>
    </row>
    <row r="305" spans="1:13" ht="15.2" customHeight="1" x14ac:dyDescent="0.2">
      <c r="A305" s="26" t="s">
        <v>10933</v>
      </c>
      <c r="B305" s="27" t="s">
        <v>10934</v>
      </c>
      <c r="C305" s="28">
        <v>1</v>
      </c>
      <c r="D305" s="29">
        <v>6.5</v>
      </c>
      <c r="E305" s="29">
        <v>6.5</v>
      </c>
      <c r="F305" s="30">
        <v>13.99</v>
      </c>
      <c r="G305" s="29">
        <v>13.99</v>
      </c>
      <c r="H305" s="28" t="s">
        <v>9453</v>
      </c>
      <c r="I305" s="27" t="s">
        <v>26</v>
      </c>
      <c r="J305" s="31" t="s">
        <v>71</v>
      </c>
      <c r="K305" s="27" t="s">
        <v>282</v>
      </c>
      <c r="L305" s="27" t="s">
        <v>260</v>
      </c>
      <c r="M305" s="32" t="str">
        <f>HYPERLINK("http://slimages.macys.com/is/image/MCY/3910832 ")</f>
        <v xml:space="preserve">http://slimages.macys.com/is/image/MCY/3910832 </v>
      </c>
    </row>
    <row r="306" spans="1:13" ht="15.2" customHeight="1" x14ac:dyDescent="0.2">
      <c r="A306" s="26" t="s">
        <v>9698</v>
      </c>
      <c r="B306" s="27" t="s">
        <v>9699</v>
      </c>
      <c r="C306" s="28">
        <v>1</v>
      </c>
      <c r="D306" s="29">
        <v>6.5</v>
      </c>
      <c r="E306" s="29">
        <v>6.5</v>
      </c>
      <c r="F306" s="30">
        <v>12.99</v>
      </c>
      <c r="G306" s="29">
        <v>12.99</v>
      </c>
      <c r="H306" s="28" t="s">
        <v>1449</v>
      </c>
      <c r="I306" s="27" t="s">
        <v>82</v>
      </c>
      <c r="J306" s="31" t="s">
        <v>71</v>
      </c>
      <c r="K306" s="27" t="s">
        <v>282</v>
      </c>
      <c r="L306" s="27" t="s">
        <v>327</v>
      </c>
      <c r="M306" s="32" t="str">
        <f>HYPERLINK("http://slimages.macys.com/is/image/MCY/3773730 ")</f>
        <v xml:space="preserve">http://slimages.macys.com/is/image/MCY/3773730 </v>
      </c>
    </row>
    <row r="307" spans="1:13" ht="15.2" customHeight="1" x14ac:dyDescent="0.2">
      <c r="A307" s="26" t="s">
        <v>10935</v>
      </c>
      <c r="B307" s="27" t="s">
        <v>10936</v>
      </c>
      <c r="C307" s="28">
        <v>1</v>
      </c>
      <c r="D307" s="29">
        <v>6.4</v>
      </c>
      <c r="E307" s="29">
        <v>6.4</v>
      </c>
      <c r="F307" s="30">
        <v>13.99</v>
      </c>
      <c r="G307" s="29">
        <v>13.99</v>
      </c>
      <c r="H307" s="28" t="s">
        <v>394</v>
      </c>
      <c r="I307" s="27" t="s">
        <v>59</v>
      </c>
      <c r="J307" s="31" t="s">
        <v>71</v>
      </c>
      <c r="K307" s="27" t="s">
        <v>282</v>
      </c>
      <c r="L307" s="27" t="s">
        <v>312</v>
      </c>
      <c r="M307" s="32" t="str">
        <f>HYPERLINK("http://slimages.macys.com/is/image/MCY/3623277 ")</f>
        <v xml:space="preserve">http://slimages.macys.com/is/image/MCY/3623277 </v>
      </c>
    </row>
    <row r="308" spans="1:13" ht="15.2" customHeight="1" x14ac:dyDescent="0.2">
      <c r="A308" s="26" t="s">
        <v>10937</v>
      </c>
      <c r="B308" s="27" t="s">
        <v>10938</v>
      </c>
      <c r="C308" s="28">
        <v>1</v>
      </c>
      <c r="D308" s="29">
        <v>6.35</v>
      </c>
      <c r="E308" s="29">
        <v>6.35</v>
      </c>
      <c r="F308" s="30">
        <v>12.99</v>
      </c>
      <c r="G308" s="29">
        <v>12.99</v>
      </c>
      <c r="H308" s="28" t="s">
        <v>6583</v>
      </c>
      <c r="I308" s="27" t="s">
        <v>285</v>
      </c>
      <c r="J308" s="31" t="s">
        <v>52</v>
      </c>
      <c r="K308" s="27" t="s">
        <v>282</v>
      </c>
      <c r="L308" s="27" t="s">
        <v>349</v>
      </c>
      <c r="M308" s="32" t="str">
        <f>HYPERLINK("http://slimages.macys.com/is/image/MCY/3660127 ")</f>
        <v xml:space="preserve">http://slimages.macys.com/is/image/MCY/3660127 </v>
      </c>
    </row>
    <row r="309" spans="1:13" ht="15.2" customHeight="1" x14ac:dyDescent="0.2">
      <c r="A309" s="26" t="s">
        <v>1450</v>
      </c>
      <c r="B309" s="27" t="s">
        <v>1451</v>
      </c>
      <c r="C309" s="28">
        <v>1</v>
      </c>
      <c r="D309" s="29">
        <v>6.35</v>
      </c>
      <c r="E309" s="29">
        <v>6.35</v>
      </c>
      <c r="F309" s="30">
        <v>12.99</v>
      </c>
      <c r="G309" s="29">
        <v>12.99</v>
      </c>
      <c r="H309" s="28" t="s">
        <v>1452</v>
      </c>
      <c r="I309" s="27" t="s">
        <v>8</v>
      </c>
      <c r="J309" s="31" t="s">
        <v>52</v>
      </c>
      <c r="K309" s="27" t="s">
        <v>282</v>
      </c>
      <c r="L309" s="27" t="s">
        <v>349</v>
      </c>
      <c r="M309" s="32" t="str">
        <f>HYPERLINK("http://slimages.macys.com/is/image/MCY/3704433 ")</f>
        <v xml:space="preserve">http://slimages.macys.com/is/image/MCY/3704433 </v>
      </c>
    </row>
    <row r="310" spans="1:13" ht="15.2" customHeight="1" x14ac:dyDescent="0.2">
      <c r="A310" s="26" t="s">
        <v>1457</v>
      </c>
      <c r="B310" s="27" t="s">
        <v>1458</v>
      </c>
      <c r="C310" s="28">
        <v>1</v>
      </c>
      <c r="D310" s="29">
        <v>6.3</v>
      </c>
      <c r="E310" s="29">
        <v>6.3</v>
      </c>
      <c r="F310" s="30">
        <v>14.99</v>
      </c>
      <c r="G310" s="29">
        <v>14.99</v>
      </c>
      <c r="H310" s="28" t="s">
        <v>1455</v>
      </c>
      <c r="I310" s="27" t="s">
        <v>103</v>
      </c>
      <c r="J310" s="31" t="s">
        <v>40</v>
      </c>
      <c r="K310" s="27" t="s">
        <v>159</v>
      </c>
      <c r="L310" s="27" t="s">
        <v>160</v>
      </c>
      <c r="M310" s="32" t="str">
        <f>HYPERLINK("http://slimages.macys.com/is/image/MCY/3597272 ")</f>
        <v xml:space="preserve">http://slimages.macys.com/is/image/MCY/3597272 </v>
      </c>
    </row>
    <row r="311" spans="1:13" ht="15.2" customHeight="1" x14ac:dyDescent="0.2">
      <c r="A311" s="26" t="s">
        <v>1459</v>
      </c>
      <c r="B311" s="27" t="s">
        <v>1460</v>
      </c>
      <c r="C311" s="28">
        <v>1</v>
      </c>
      <c r="D311" s="29">
        <v>6.3</v>
      </c>
      <c r="E311" s="29">
        <v>6.3</v>
      </c>
      <c r="F311" s="30">
        <v>14.99</v>
      </c>
      <c r="G311" s="29">
        <v>14.99</v>
      </c>
      <c r="H311" s="28" t="s">
        <v>1455</v>
      </c>
      <c r="I311" s="27" t="s">
        <v>103</v>
      </c>
      <c r="J311" s="31" t="s">
        <v>21</v>
      </c>
      <c r="K311" s="27" t="s">
        <v>159</v>
      </c>
      <c r="L311" s="27" t="s">
        <v>160</v>
      </c>
      <c r="M311" s="32" t="str">
        <f>HYPERLINK("http://slimages.macys.com/is/image/MCY/3597272 ")</f>
        <v xml:space="preserve">http://slimages.macys.com/is/image/MCY/3597272 </v>
      </c>
    </row>
    <row r="312" spans="1:13" ht="15.2" customHeight="1" x14ac:dyDescent="0.2">
      <c r="A312" s="26" t="s">
        <v>8844</v>
      </c>
      <c r="B312" s="27" t="s">
        <v>8845</v>
      </c>
      <c r="C312" s="28">
        <v>1</v>
      </c>
      <c r="D312" s="29">
        <v>6.3</v>
      </c>
      <c r="E312" s="29">
        <v>6.3</v>
      </c>
      <c r="F312" s="30">
        <v>16.989999999999998</v>
      </c>
      <c r="G312" s="29">
        <v>16.989999999999998</v>
      </c>
      <c r="H312" s="28" t="s">
        <v>7579</v>
      </c>
      <c r="I312" s="27" t="s">
        <v>4</v>
      </c>
      <c r="J312" s="31" t="s">
        <v>71</v>
      </c>
      <c r="K312" s="27" t="s">
        <v>159</v>
      </c>
      <c r="L312" s="27" t="s">
        <v>160</v>
      </c>
      <c r="M312" s="32" t="str">
        <f>HYPERLINK("http://slimages.macys.com/is/image/MCY/3623500 ")</f>
        <v xml:space="preserve">http://slimages.macys.com/is/image/MCY/3623500 </v>
      </c>
    </row>
    <row r="313" spans="1:13" ht="15.2" customHeight="1" x14ac:dyDescent="0.2">
      <c r="A313" s="26" t="s">
        <v>1462</v>
      </c>
      <c r="B313" s="27" t="s">
        <v>1463</v>
      </c>
      <c r="C313" s="28">
        <v>1</v>
      </c>
      <c r="D313" s="29">
        <v>6.3</v>
      </c>
      <c r="E313" s="29">
        <v>6.3</v>
      </c>
      <c r="F313" s="30">
        <v>14.99</v>
      </c>
      <c r="G313" s="29">
        <v>14.99</v>
      </c>
      <c r="H313" s="28" t="s">
        <v>1455</v>
      </c>
      <c r="I313" s="27" t="s">
        <v>103</v>
      </c>
      <c r="J313" s="31" t="s">
        <v>5</v>
      </c>
      <c r="K313" s="27" t="s">
        <v>159</v>
      </c>
      <c r="L313" s="27" t="s">
        <v>160</v>
      </c>
      <c r="M313" s="32" t="str">
        <f>HYPERLINK("http://slimages.macys.com/is/image/MCY/3597272 ")</f>
        <v xml:space="preserve">http://slimages.macys.com/is/image/MCY/3597272 </v>
      </c>
    </row>
    <row r="314" spans="1:13" ht="15.2" customHeight="1" x14ac:dyDescent="0.2">
      <c r="A314" s="26" t="s">
        <v>5780</v>
      </c>
      <c r="B314" s="27" t="s">
        <v>5781</v>
      </c>
      <c r="C314" s="28">
        <v>1</v>
      </c>
      <c r="D314" s="29">
        <v>6.3</v>
      </c>
      <c r="E314" s="29">
        <v>6.3</v>
      </c>
      <c r="F314" s="30">
        <v>14.99</v>
      </c>
      <c r="G314" s="29">
        <v>14.99</v>
      </c>
      <c r="H314" s="28" t="s">
        <v>1925</v>
      </c>
      <c r="I314" s="27" t="s">
        <v>82</v>
      </c>
      <c r="J314" s="31" t="s">
        <v>71</v>
      </c>
      <c r="K314" s="27" t="s">
        <v>159</v>
      </c>
      <c r="L314" s="27" t="s">
        <v>160</v>
      </c>
      <c r="M314" s="32" t="str">
        <f>HYPERLINK("http://slimages.macys.com/is/image/MCY/3953479 ")</f>
        <v xml:space="preserve">http://slimages.macys.com/is/image/MCY/3953479 </v>
      </c>
    </row>
    <row r="315" spans="1:13" ht="15.2" customHeight="1" x14ac:dyDescent="0.2">
      <c r="A315" s="26" t="s">
        <v>10939</v>
      </c>
      <c r="B315" s="27" t="s">
        <v>10940</v>
      </c>
      <c r="C315" s="28">
        <v>1</v>
      </c>
      <c r="D315" s="29">
        <v>6.25</v>
      </c>
      <c r="E315" s="29">
        <v>6.25</v>
      </c>
      <c r="F315" s="30">
        <v>14.99</v>
      </c>
      <c r="G315" s="29">
        <v>14.99</v>
      </c>
      <c r="H315" s="28">
        <v>60433941</v>
      </c>
      <c r="I315" s="27" t="s">
        <v>343</v>
      </c>
      <c r="J315" s="31" t="s">
        <v>52</v>
      </c>
      <c r="K315" s="27" t="s">
        <v>208</v>
      </c>
      <c r="L315" s="27" t="s">
        <v>255</v>
      </c>
      <c r="M315" s="32" t="str">
        <f>HYPERLINK("http://slimages.macys.com/is/image/MCY/3623249 ")</f>
        <v xml:space="preserve">http://slimages.macys.com/is/image/MCY/3623249 </v>
      </c>
    </row>
    <row r="316" spans="1:13" ht="15.2" customHeight="1" x14ac:dyDescent="0.2">
      <c r="A316" s="26" t="s">
        <v>10941</v>
      </c>
      <c r="B316" s="27" t="s">
        <v>10942</v>
      </c>
      <c r="C316" s="28">
        <v>1</v>
      </c>
      <c r="D316" s="29">
        <v>6.25</v>
      </c>
      <c r="E316" s="29">
        <v>6.25</v>
      </c>
      <c r="F316" s="30">
        <v>14.99</v>
      </c>
      <c r="G316" s="29">
        <v>14.99</v>
      </c>
      <c r="H316" s="28">
        <v>60433941</v>
      </c>
      <c r="I316" s="27" t="s">
        <v>343</v>
      </c>
      <c r="J316" s="31" t="s">
        <v>71</v>
      </c>
      <c r="K316" s="27" t="s">
        <v>208</v>
      </c>
      <c r="L316" s="27" t="s">
        <v>255</v>
      </c>
      <c r="M316" s="32" t="str">
        <f>HYPERLINK("http://slimages.macys.com/is/image/MCY/3623249 ")</f>
        <v xml:space="preserve">http://slimages.macys.com/is/image/MCY/3623249 </v>
      </c>
    </row>
    <row r="317" spans="1:13" ht="15.2" customHeight="1" x14ac:dyDescent="0.2">
      <c r="A317" s="26" t="s">
        <v>10943</v>
      </c>
      <c r="B317" s="27" t="s">
        <v>10944</v>
      </c>
      <c r="C317" s="28">
        <v>1</v>
      </c>
      <c r="D317" s="29">
        <v>6.25</v>
      </c>
      <c r="E317" s="29">
        <v>6.25</v>
      </c>
      <c r="F317" s="30">
        <v>12.99</v>
      </c>
      <c r="G317" s="29">
        <v>12.99</v>
      </c>
      <c r="H317" s="28" t="s">
        <v>2685</v>
      </c>
      <c r="I317" s="27" t="s">
        <v>215</v>
      </c>
      <c r="J317" s="31" t="s">
        <v>52</v>
      </c>
      <c r="K317" s="27" t="s">
        <v>282</v>
      </c>
      <c r="L317" s="27" t="s">
        <v>283</v>
      </c>
      <c r="M317" s="32" t="str">
        <f>HYPERLINK("http://slimages.macys.com/is/image/MCY/3924254 ")</f>
        <v xml:space="preserve">http://slimages.macys.com/is/image/MCY/3924254 </v>
      </c>
    </row>
    <row r="318" spans="1:13" ht="15.2" customHeight="1" x14ac:dyDescent="0.2">
      <c r="A318" s="26" t="s">
        <v>5475</v>
      </c>
      <c r="B318" s="27" t="s">
        <v>5476</v>
      </c>
      <c r="C318" s="28">
        <v>2</v>
      </c>
      <c r="D318" s="29">
        <v>6.25</v>
      </c>
      <c r="E318" s="29">
        <v>12.5</v>
      </c>
      <c r="F318" s="30">
        <v>12.99</v>
      </c>
      <c r="G318" s="29">
        <v>25.98</v>
      </c>
      <c r="H318" s="28" t="s">
        <v>5477</v>
      </c>
      <c r="I318" s="27" t="s">
        <v>82</v>
      </c>
      <c r="J318" s="31" t="s">
        <v>5</v>
      </c>
      <c r="K318" s="27" t="s">
        <v>282</v>
      </c>
      <c r="L318" s="27" t="s">
        <v>283</v>
      </c>
      <c r="M318" s="32" t="str">
        <f>HYPERLINK("http://slimages.macys.com/is/image/MCY/3894712 ")</f>
        <v xml:space="preserve">http://slimages.macys.com/is/image/MCY/3894712 </v>
      </c>
    </row>
    <row r="319" spans="1:13" ht="15.2" customHeight="1" x14ac:dyDescent="0.2">
      <c r="A319" s="26" t="s">
        <v>7796</v>
      </c>
      <c r="B319" s="27" t="s">
        <v>7797</v>
      </c>
      <c r="C319" s="28">
        <v>1</v>
      </c>
      <c r="D319" s="29">
        <v>6.25</v>
      </c>
      <c r="E319" s="29">
        <v>6.25</v>
      </c>
      <c r="F319" s="30">
        <v>12.99</v>
      </c>
      <c r="G319" s="29">
        <v>12.99</v>
      </c>
      <c r="H319" s="28" t="s">
        <v>5477</v>
      </c>
      <c r="I319" s="27" t="s">
        <v>82</v>
      </c>
      <c r="J319" s="31" t="s">
        <v>71</v>
      </c>
      <c r="K319" s="27" t="s">
        <v>282</v>
      </c>
      <c r="L319" s="27" t="s">
        <v>283</v>
      </c>
      <c r="M319" s="32" t="str">
        <f>HYPERLINK("http://slimages.macys.com/is/image/MCY/3894712 ")</f>
        <v xml:space="preserve">http://slimages.macys.com/is/image/MCY/3894712 </v>
      </c>
    </row>
    <row r="320" spans="1:13" ht="15.2" customHeight="1" x14ac:dyDescent="0.2">
      <c r="A320" s="26" t="s">
        <v>10945</v>
      </c>
      <c r="B320" s="27" t="s">
        <v>10946</v>
      </c>
      <c r="C320" s="28">
        <v>1</v>
      </c>
      <c r="D320" s="29">
        <v>6.25</v>
      </c>
      <c r="E320" s="29">
        <v>6.25</v>
      </c>
      <c r="F320" s="30">
        <v>16.989999999999998</v>
      </c>
      <c r="G320" s="29">
        <v>16.989999999999998</v>
      </c>
      <c r="H320" s="28" t="s">
        <v>4767</v>
      </c>
      <c r="I320" s="27" t="s">
        <v>94</v>
      </c>
      <c r="J320" s="31" t="s">
        <v>40</v>
      </c>
      <c r="K320" s="27" t="s">
        <v>196</v>
      </c>
      <c r="L320" s="27" t="s">
        <v>225</v>
      </c>
      <c r="M320" s="32" t="str">
        <f>HYPERLINK("http://slimages.macys.com/is/image/MCY/3721365 ")</f>
        <v xml:space="preserve">http://slimages.macys.com/is/image/MCY/3721365 </v>
      </c>
    </row>
    <row r="321" spans="1:13" ht="15.2" customHeight="1" x14ac:dyDescent="0.2">
      <c r="A321" s="26" t="s">
        <v>10947</v>
      </c>
      <c r="B321" s="27" t="s">
        <v>10948</v>
      </c>
      <c r="C321" s="28">
        <v>1</v>
      </c>
      <c r="D321" s="29">
        <v>6.2</v>
      </c>
      <c r="E321" s="29">
        <v>6.2</v>
      </c>
      <c r="F321" s="30">
        <v>14.99</v>
      </c>
      <c r="G321" s="29">
        <v>14.99</v>
      </c>
      <c r="H321" s="28" t="s">
        <v>6048</v>
      </c>
      <c r="I321" s="27" t="s">
        <v>82</v>
      </c>
      <c r="J321" s="31" t="s">
        <v>172</v>
      </c>
      <c r="K321" s="27" t="s">
        <v>159</v>
      </c>
      <c r="L321" s="27" t="s">
        <v>160</v>
      </c>
      <c r="M321" s="32" t="str">
        <f>HYPERLINK("http://slimages.macys.com/is/image/MCY/3633013 ")</f>
        <v xml:space="preserve">http://slimages.macys.com/is/image/MCY/3633013 </v>
      </c>
    </row>
    <row r="322" spans="1:13" ht="15.2" customHeight="1" x14ac:dyDescent="0.2">
      <c r="A322" s="26" t="s">
        <v>6049</v>
      </c>
      <c r="B322" s="27" t="s">
        <v>6050</v>
      </c>
      <c r="C322" s="28">
        <v>1</v>
      </c>
      <c r="D322" s="29">
        <v>6.2</v>
      </c>
      <c r="E322" s="29">
        <v>6.2</v>
      </c>
      <c r="F322" s="30">
        <v>14.99</v>
      </c>
      <c r="G322" s="29">
        <v>14.99</v>
      </c>
      <c r="H322" s="28" t="s">
        <v>6048</v>
      </c>
      <c r="I322" s="27" t="s">
        <v>82</v>
      </c>
      <c r="J322" s="31" t="s">
        <v>40</v>
      </c>
      <c r="K322" s="27" t="s">
        <v>159</v>
      </c>
      <c r="L322" s="27" t="s">
        <v>160</v>
      </c>
      <c r="M322" s="32" t="str">
        <f>HYPERLINK("http://slimages.macys.com/is/image/MCY/3633013 ")</f>
        <v xml:space="preserve">http://slimages.macys.com/is/image/MCY/3633013 </v>
      </c>
    </row>
    <row r="323" spans="1:13" ht="15.2" customHeight="1" x14ac:dyDescent="0.2">
      <c r="A323" s="26" t="s">
        <v>10299</v>
      </c>
      <c r="B323" s="27" t="s">
        <v>10300</v>
      </c>
      <c r="C323" s="28">
        <v>1</v>
      </c>
      <c r="D323" s="29">
        <v>6.1</v>
      </c>
      <c r="E323" s="29">
        <v>6.1</v>
      </c>
      <c r="F323" s="30">
        <v>15.99</v>
      </c>
      <c r="G323" s="29">
        <v>15.99</v>
      </c>
      <c r="H323" s="28" t="s">
        <v>1484</v>
      </c>
      <c r="I323" s="27" t="s">
        <v>26</v>
      </c>
      <c r="J323" s="31" t="s">
        <v>21</v>
      </c>
      <c r="K323" s="27" t="s">
        <v>70</v>
      </c>
      <c r="L323" s="27" t="s">
        <v>260</v>
      </c>
      <c r="M323" s="32" t="str">
        <f>HYPERLINK("http://slimages.macys.com/is/image/MCY/3947255 ")</f>
        <v xml:space="preserve">http://slimages.macys.com/is/image/MCY/3947255 </v>
      </c>
    </row>
    <row r="324" spans="1:13" ht="15.2" customHeight="1" x14ac:dyDescent="0.2">
      <c r="A324" s="26" t="s">
        <v>10949</v>
      </c>
      <c r="B324" s="27" t="s">
        <v>10950</v>
      </c>
      <c r="C324" s="28">
        <v>1</v>
      </c>
      <c r="D324" s="29">
        <v>6.05</v>
      </c>
      <c r="E324" s="29">
        <v>6.05</v>
      </c>
      <c r="F324" s="30">
        <v>13.99</v>
      </c>
      <c r="G324" s="29">
        <v>13.99</v>
      </c>
      <c r="H324" s="28" t="s">
        <v>6051</v>
      </c>
      <c r="I324" s="27" t="s">
        <v>280</v>
      </c>
      <c r="J324" s="31" t="s">
        <v>71</v>
      </c>
      <c r="K324" s="27" t="s">
        <v>282</v>
      </c>
      <c r="L324" s="27" t="s">
        <v>256</v>
      </c>
      <c r="M324" s="32" t="str">
        <f>HYPERLINK("http://slimages.macys.com/is/image/MCY/3634511 ")</f>
        <v xml:space="preserve">http://slimages.macys.com/is/image/MCY/3634511 </v>
      </c>
    </row>
    <row r="325" spans="1:13" ht="15.2" customHeight="1" x14ac:dyDescent="0.2">
      <c r="A325" s="26" t="s">
        <v>8712</v>
      </c>
      <c r="B325" s="27" t="s">
        <v>8713</v>
      </c>
      <c r="C325" s="28">
        <v>1</v>
      </c>
      <c r="D325" s="29">
        <v>6</v>
      </c>
      <c r="E325" s="29">
        <v>6</v>
      </c>
      <c r="F325" s="30">
        <v>12.99</v>
      </c>
      <c r="G325" s="29">
        <v>12.99</v>
      </c>
      <c r="H325" s="28" t="s">
        <v>1932</v>
      </c>
      <c r="I325" s="27" t="s">
        <v>144</v>
      </c>
      <c r="J325" s="31" t="s">
        <v>21</v>
      </c>
      <c r="K325" s="27" t="s">
        <v>282</v>
      </c>
      <c r="L325" s="27" t="s">
        <v>283</v>
      </c>
      <c r="M325" s="32" t="str">
        <f>HYPERLINK("http://slimages.macys.com/is/image/MCY/3924259 ")</f>
        <v xml:space="preserve">http://slimages.macys.com/is/image/MCY/3924259 </v>
      </c>
    </row>
    <row r="326" spans="1:13" ht="15.2" customHeight="1" x14ac:dyDescent="0.2">
      <c r="A326" s="26" t="s">
        <v>10951</v>
      </c>
      <c r="B326" s="27" t="s">
        <v>10952</v>
      </c>
      <c r="C326" s="28">
        <v>1</v>
      </c>
      <c r="D326" s="29">
        <v>6</v>
      </c>
      <c r="E326" s="29">
        <v>6</v>
      </c>
      <c r="F326" s="30">
        <v>13.99</v>
      </c>
      <c r="G326" s="29">
        <v>13.99</v>
      </c>
      <c r="H326" s="28" t="s">
        <v>8225</v>
      </c>
      <c r="I326" s="27" t="s">
        <v>29</v>
      </c>
      <c r="J326" s="31" t="s">
        <v>21</v>
      </c>
      <c r="K326" s="27" t="s">
        <v>282</v>
      </c>
      <c r="L326" s="27" t="s">
        <v>312</v>
      </c>
      <c r="M326" s="32" t="str">
        <f>HYPERLINK("http://slimages.macys.com/is/image/MCY/3796842 ")</f>
        <v xml:space="preserve">http://slimages.macys.com/is/image/MCY/3796842 </v>
      </c>
    </row>
    <row r="327" spans="1:13" ht="15.2" customHeight="1" x14ac:dyDescent="0.2">
      <c r="A327" s="26" t="s">
        <v>896</v>
      </c>
      <c r="B327" s="27" t="s">
        <v>897</v>
      </c>
      <c r="C327" s="28">
        <v>1</v>
      </c>
      <c r="D327" s="29">
        <v>6</v>
      </c>
      <c r="E327" s="29">
        <v>6</v>
      </c>
      <c r="F327" s="30">
        <v>12.99</v>
      </c>
      <c r="G327" s="29">
        <v>12.99</v>
      </c>
      <c r="H327" s="28" t="s">
        <v>898</v>
      </c>
      <c r="I327" s="27" t="s">
        <v>215</v>
      </c>
      <c r="J327" s="31" t="s">
        <v>40</v>
      </c>
      <c r="K327" s="27" t="s">
        <v>282</v>
      </c>
      <c r="L327" s="27" t="s">
        <v>283</v>
      </c>
      <c r="M327" s="32" t="str">
        <f>HYPERLINK("http://slimages.macys.com/is/image/MCY/3875957 ")</f>
        <v xml:space="preserve">http://slimages.macys.com/is/image/MCY/3875957 </v>
      </c>
    </row>
    <row r="328" spans="1:13" ht="15.2" customHeight="1" x14ac:dyDescent="0.2">
      <c r="A328" s="26" t="s">
        <v>2389</v>
      </c>
      <c r="B328" s="27" t="s">
        <v>2390</v>
      </c>
      <c r="C328" s="28">
        <v>1</v>
      </c>
      <c r="D328" s="29">
        <v>6</v>
      </c>
      <c r="E328" s="29">
        <v>6</v>
      </c>
      <c r="F328" s="30">
        <v>12.99</v>
      </c>
      <c r="G328" s="29">
        <v>12.99</v>
      </c>
      <c r="H328" s="28" t="s">
        <v>1502</v>
      </c>
      <c r="I328" s="27" t="s">
        <v>82</v>
      </c>
      <c r="J328" s="31" t="s">
        <v>40</v>
      </c>
      <c r="K328" s="27" t="s">
        <v>282</v>
      </c>
      <c r="L328" s="27" t="s">
        <v>283</v>
      </c>
      <c r="M328" s="32" t="str">
        <f>HYPERLINK("http://slimages.macys.com/is/image/MCY/3910978 ")</f>
        <v xml:space="preserve">http://slimages.macys.com/is/image/MCY/3910978 </v>
      </c>
    </row>
    <row r="329" spans="1:13" ht="15.2" customHeight="1" x14ac:dyDescent="0.2">
      <c r="A329" s="26" t="s">
        <v>10953</v>
      </c>
      <c r="B329" s="27" t="s">
        <v>10954</v>
      </c>
      <c r="C329" s="28">
        <v>1</v>
      </c>
      <c r="D329" s="29">
        <v>6</v>
      </c>
      <c r="E329" s="29">
        <v>6</v>
      </c>
      <c r="F329" s="30">
        <v>16.989999999999998</v>
      </c>
      <c r="G329" s="29">
        <v>16.989999999999998</v>
      </c>
      <c r="H329" s="28" t="s">
        <v>3005</v>
      </c>
      <c r="I329" s="27" t="s">
        <v>274</v>
      </c>
      <c r="J329" s="31" t="s">
        <v>71</v>
      </c>
      <c r="K329" s="27" t="s">
        <v>196</v>
      </c>
      <c r="L329" s="27" t="s">
        <v>256</v>
      </c>
      <c r="M329" s="32" t="str">
        <f>HYPERLINK("http://slimages.macys.com/is/image/MCY/3834531 ")</f>
        <v xml:space="preserve">http://slimages.macys.com/is/image/MCY/3834531 </v>
      </c>
    </row>
    <row r="330" spans="1:13" ht="15.2" customHeight="1" x14ac:dyDescent="0.2">
      <c r="A330" s="26" t="s">
        <v>8486</v>
      </c>
      <c r="B330" s="27" t="s">
        <v>8487</v>
      </c>
      <c r="C330" s="28">
        <v>1</v>
      </c>
      <c r="D330" s="29">
        <v>6</v>
      </c>
      <c r="E330" s="29">
        <v>6</v>
      </c>
      <c r="F330" s="30">
        <v>12.99</v>
      </c>
      <c r="G330" s="29">
        <v>12.99</v>
      </c>
      <c r="H330" s="28" t="s">
        <v>1932</v>
      </c>
      <c r="I330" s="27" t="s">
        <v>144</v>
      </c>
      <c r="J330" s="31" t="s">
        <v>5</v>
      </c>
      <c r="K330" s="27" t="s">
        <v>282</v>
      </c>
      <c r="L330" s="27" t="s">
        <v>283</v>
      </c>
      <c r="M330" s="32" t="str">
        <f>HYPERLINK("http://slimages.macys.com/is/image/MCY/3924259 ")</f>
        <v xml:space="preserve">http://slimages.macys.com/is/image/MCY/3924259 </v>
      </c>
    </row>
    <row r="331" spans="1:13" ht="15.2" customHeight="1" x14ac:dyDescent="0.2">
      <c r="A331" s="26" t="s">
        <v>8226</v>
      </c>
      <c r="B331" s="27" t="s">
        <v>8227</v>
      </c>
      <c r="C331" s="28">
        <v>1</v>
      </c>
      <c r="D331" s="29">
        <v>6</v>
      </c>
      <c r="E331" s="29">
        <v>6</v>
      </c>
      <c r="F331" s="30">
        <v>12.99</v>
      </c>
      <c r="G331" s="29">
        <v>12.99</v>
      </c>
      <c r="H331" s="28" t="s">
        <v>8228</v>
      </c>
      <c r="I331" s="27" t="s">
        <v>94</v>
      </c>
      <c r="J331" s="31" t="s">
        <v>5</v>
      </c>
      <c r="K331" s="27" t="s">
        <v>282</v>
      </c>
      <c r="L331" s="27" t="s">
        <v>358</v>
      </c>
      <c r="M331" s="32" t="str">
        <f>HYPERLINK("http://slimages.macys.com/is/image/MCY/3832180 ")</f>
        <v xml:space="preserve">http://slimages.macys.com/is/image/MCY/3832180 </v>
      </c>
    </row>
    <row r="332" spans="1:13" ht="15.2" customHeight="1" x14ac:dyDescent="0.2">
      <c r="A332" s="26" t="s">
        <v>10955</v>
      </c>
      <c r="B332" s="27" t="s">
        <v>10956</v>
      </c>
      <c r="C332" s="28">
        <v>1</v>
      </c>
      <c r="D332" s="29">
        <v>6</v>
      </c>
      <c r="E332" s="29">
        <v>6</v>
      </c>
      <c r="F332" s="30">
        <v>12.99</v>
      </c>
      <c r="G332" s="29">
        <v>12.99</v>
      </c>
      <c r="H332" s="28" t="s">
        <v>3008</v>
      </c>
      <c r="I332" s="27"/>
      <c r="J332" s="31" t="s">
        <v>71</v>
      </c>
      <c r="K332" s="27" t="s">
        <v>282</v>
      </c>
      <c r="L332" s="27" t="s">
        <v>327</v>
      </c>
      <c r="M332" s="32" t="str">
        <f>HYPERLINK("http://slimages.macys.com/is/image/MCY/3773727 ")</f>
        <v xml:space="preserve">http://slimages.macys.com/is/image/MCY/3773727 </v>
      </c>
    </row>
    <row r="333" spans="1:13" ht="15.2" customHeight="1" x14ac:dyDescent="0.2">
      <c r="A333" s="26" t="s">
        <v>7582</v>
      </c>
      <c r="B333" s="27" t="s">
        <v>7583</v>
      </c>
      <c r="C333" s="28">
        <v>1</v>
      </c>
      <c r="D333" s="29">
        <v>5.95</v>
      </c>
      <c r="E333" s="29">
        <v>5.95</v>
      </c>
      <c r="F333" s="30">
        <v>12.99</v>
      </c>
      <c r="G333" s="29">
        <v>12.99</v>
      </c>
      <c r="H333" s="28" t="s">
        <v>899</v>
      </c>
      <c r="I333" s="27" t="s">
        <v>265</v>
      </c>
      <c r="J333" s="31" t="s">
        <v>5</v>
      </c>
      <c r="K333" s="27" t="s">
        <v>282</v>
      </c>
      <c r="L333" s="27" t="s">
        <v>358</v>
      </c>
      <c r="M333" s="32" t="str">
        <f>HYPERLINK("http://slimages.macys.com/is/image/MCY/3820327 ")</f>
        <v xml:space="preserve">http://slimages.macys.com/is/image/MCY/3820327 </v>
      </c>
    </row>
    <row r="334" spans="1:13" ht="15.2" customHeight="1" x14ac:dyDescent="0.2">
      <c r="A334" s="26" t="s">
        <v>9458</v>
      </c>
      <c r="B334" s="27" t="s">
        <v>9459</v>
      </c>
      <c r="C334" s="28">
        <v>1</v>
      </c>
      <c r="D334" s="29">
        <v>5.95</v>
      </c>
      <c r="E334" s="29">
        <v>5.95</v>
      </c>
      <c r="F334" s="30">
        <v>12.99</v>
      </c>
      <c r="G334" s="29">
        <v>12.99</v>
      </c>
      <c r="H334" s="28" t="s">
        <v>1519</v>
      </c>
      <c r="I334" s="27" t="s">
        <v>82</v>
      </c>
      <c r="J334" s="31" t="s">
        <v>21</v>
      </c>
      <c r="K334" s="27" t="s">
        <v>282</v>
      </c>
      <c r="L334" s="27" t="s">
        <v>358</v>
      </c>
      <c r="M334" s="32" t="str">
        <f>HYPERLINK("http://slimages.macys.com/is/image/MCY/3773921 ")</f>
        <v xml:space="preserve">http://slimages.macys.com/is/image/MCY/3773921 </v>
      </c>
    </row>
    <row r="335" spans="1:13" ht="15.2" customHeight="1" x14ac:dyDescent="0.2">
      <c r="A335" s="26" t="s">
        <v>9456</v>
      </c>
      <c r="B335" s="27" t="s">
        <v>9457</v>
      </c>
      <c r="C335" s="28">
        <v>2</v>
      </c>
      <c r="D335" s="29">
        <v>5.95</v>
      </c>
      <c r="E335" s="29">
        <v>11.9</v>
      </c>
      <c r="F335" s="30">
        <v>12.99</v>
      </c>
      <c r="G335" s="29">
        <v>25.98</v>
      </c>
      <c r="H335" s="28" t="s">
        <v>6054</v>
      </c>
      <c r="I335" s="27" t="s">
        <v>82</v>
      </c>
      <c r="J335" s="31" t="s">
        <v>40</v>
      </c>
      <c r="K335" s="27" t="s">
        <v>282</v>
      </c>
      <c r="L335" s="27" t="s">
        <v>358</v>
      </c>
      <c r="M335" s="32" t="str">
        <f>HYPERLINK("http://slimages.macys.com/is/image/MCY/3773694 ")</f>
        <v xml:space="preserve">http://slimages.macys.com/is/image/MCY/3773694 </v>
      </c>
    </row>
    <row r="336" spans="1:13" ht="15.2" customHeight="1" x14ac:dyDescent="0.2">
      <c r="A336" s="26" t="s">
        <v>10258</v>
      </c>
      <c r="B336" s="27" t="s">
        <v>10259</v>
      </c>
      <c r="C336" s="28">
        <v>1</v>
      </c>
      <c r="D336" s="29">
        <v>5.95</v>
      </c>
      <c r="E336" s="29">
        <v>5.95</v>
      </c>
      <c r="F336" s="30">
        <v>12.99</v>
      </c>
      <c r="G336" s="29">
        <v>12.99</v>
      </c>
      <c r="H336" s="28" t="s">
        <v>8083</v>
      </c>
      <c r="I336" s="27" t="s">
        <v>82</v>
      </c>
      <c r="J336" s="31" t="s">
        <v>5</v>
      </c>
      <c r="K336" s="27" t="s">
        <v>282</v>
      </c>
      <c r="L336" s="27" t="s">
        <v>358</v>
      </c>
      <c r="M336" s="32" t="str">
        <f>HYPERLINK("http://slimages.macys.com/is/image/MCY/3755128 ")</f>
        <v xml:space="preserve">http://slimages.macys.com/is/image/MCY/3755128 </v>
      </c>
    </row>
    <row r="337" spans="1:13" ht="15.2" customHeight="1" x14ac:dyDescent="0.2">
      <c r="A337" s="26" t="s">
        <v>5481</v>
      </c>
      <c r="B337" s="27" t="s">
        <v>5482</v>
      </c>
      <c r="C337" s="28">
        <v>1</v>
      </c>
      <c r="D337" s="29">
        <v>5.95</v>
      </c>
      <c r="E337" s="29">
        <v>5.95</v>
      </c>
      <c r="F337" s="30">
        <v>12.99</v>
      </c>
      <c r="G337" s="29">
        <v>12.99</v>
      </c>
      <c r="H337" s="28" t="s">
        <v>1512</v>
      </c>
      <c r="I337" s="27" t="s">
        <v>4</v>
      </c>
      <c r="J337" s="31" t="s">
        <v>5</v>
      </c>
      <c r="K337" s="27" t="s">
        <v>282</v>
      </c>
      <c r="L337" s="27" t="s">
        <v>358</v>
      </c>
      <c r="M337" s="32" t="str">
        <f>HYPERLINK("http://slimages.macys.com/is/image/MCY/3773696 ")</f>
        <v xml:space="preserve">http://slimages.macys.com/is/image/MCY/3773696 </v>
      </c>
    </row>
    <row r="338" spans="1:13" ht="15.2" customHeight="1" x14ac:dyDescent="0.2">
      <c r="A338" s="26" t="s">
        <v>10957</v>
      </c>
      <c r="B338" s="27" t="s">
        <v>10958</v>
      </c>
      <c r="C338" s="28">
        <v>1</v>
      </c>
      <c r="D338" s="29">
        <v>5.95</v>
      </c>
      <c r="E338" s="29">
        <v>5.95</v>
      </c>
      <c r="F338" s="30">
        <v>12.99</v>
      </c>
      <c r="G338" s="29">
        <v>12.99</v>
      </c>
      <c r="H338" s="28" t="s">
        <v>6055</v>
      </c>
      <c r="I338" s="27" t="s">
        <v>94</v>
      </c>
      <c r="J338" s="31" t="s">
        <v>71</v>
      </c>
      <c r="K338" s="27" t="s">
        <v>282</v>
      </c>
      <c r="L338" s="27" t="s">
        <v>358</v>
      </c>
      <c r="M338" s="32" t="str">
        <f>HYPERLINK("http://slimages.macys.com/is/image/MCY/3773690 ")</f>
        <v xml:space="preserve">http://slimages.macys.com/is/image/MCY/3773690 </v>
      </c>
    </row>
    <row r="339" spans="1:13" ht="15.2" customHeight="1" x14ac:dyDescent="0.2">
      <c r="A339" s="26" t="s">
        <v>1531</v>
      </c>
      <c r="B339" s="27" t="s">
        <v>1532</v>
      </c>
      <c r="C339" s="28">
        <v>2</v>
      </c>
      <c r="D339" s="29">
        <v>5.75</v>
      </c>
      <c r="E339" s="29">
        <v>11.5</v>
      </c>
      <c r="F339" s="30">
        <v>12.99</v>
      </c>
      <c r="G339" s="29">
        <v>25.98</v>
      </c>
      <c r="H339" s="28" t="s">
        <v>1533</v>
      </c>
      <c r="I339" s="27" t="s">
        <v>189</v>
      </c>
      <c r="J339" s="31" t="s">
        <v>5</v>
      </c>
      <c r="K339" s="27" t="s">
        <v>282</v>
      </c>
      <c r="L339" s="27" t="s">
        <v>349</v>
      </c>
      <c r="M339" s="32" t="str">
        <f>HYPERLINK("http://slimages.macys.com/is/image/MCY/3773881 ")</f>
        <v xml:space="preserve">http://slimages.macys.com/is/image/MCY/3773881 </v>
      </c>
    </row>
    <row r="340" spans="1:13" ht="15.2" customHeight="1" x14ac:dyDescent="0.2">
      <c r="A340" s="26" t="s">
        <v>2402</v>
      </c>
      <c r="B340" s="27" t="s">
        <v>2403</v>
      </c>
      <c r="C340" s="28">
        <v>1</v>
      </c>
      <c r="D340" s="29">
        <v>5.75</v>
      </c>
      <c r="E340" s="29">
        <v>5.75</v>
      </c>
      <c r="F340" s="30">
        <v>12.99</v>
      </c>
      <c r="G340" s="29">
        <v>12.99</v>
      </c>
      <c r="H340" s="28" t="s">
        <v>906</v>
      </c>
      <c r="I340" s="27" t="s">
        <v>189</v>
      </c>
      <c r="J340" s="31" t="s">
        <v>40</v>
      </c>
      <c r="K340" s="27" t="s">
        <v>282</v>
      </c>
      <c r="L340" s="27" t="s">
        <v>283</v>
      </c>
      <c r="M340" s="32" t="str">
        <f>HYPERLINK("http://slimages.macys.com/is/image/MCY/3832194 ")</f>
        <v xml:space="preserve">http://slimages.macys.com/is/image/MCY/3832194 </v>
      </c>
    </row>
    <row r="341" spans="1:13" ht="15.2" customHeight="1" x14ac:dyDescent="0.2">
      <c r="A341" s="26" t="s">
        <v>7448</v>
      </c>
      <c r="B341" s="27" t="s">
        <v>7449</v>
      </c>
      <c r="C341" s="28">
        <v>1</v>
      </c>
      <c r="D341" s="29">
        <v>5.75</v>
      </c>
      <c r="E341" s="29">
        <v>5.75</v>
      </c>
      <c r="F341" s="30">
        <v>12.99</v>
      </c>
      <c r="G341" s="29">
        <v>12.99</v>
      </c>
      <c r="H341" s="28" t="s">
        <v>1530</v>
      </c>
      <c r="I341" s="27" t="s">
        <v>82</v>
      </c>
      <c r="J341" s="31" t="s">
        <v>40</v>
      </c>
      <c r="K341" s="27" t="s">
        <v>282</v>
      </c>
      <c r="L341" s="27" t="s">
        <v>283</v>
      </c>
      <c r="M341" s="32" t="str">
        <f>HYPERLINK("http://slimages.macys.com/is/image/MCY/3773466 ")</f>
        <v xml:space="preserve">http://slimages.macys.com/is/image/MCY/3773466 </v>
      </c>
    </row>
    <row r="342" spans="1:13" ht="15.2" customHeight="1" x14ac:dyDescent="0.2">
      <c r="A342" s="26" t="s">
        <v>909</v>
      </c>
      <c r="B342" s="27" t="s">
        <v>910</v>
      </c>
      <c r="C342" s="28">
        <v>1</v>
      </c>
      <c r="D342" s="29">
        <v>5.75</v>
      </c>
      <c r="E342" s="29">
        <v>5.75</v>
      </c>
      <c r="F342" s="30">
        <v>12.99</v>
      </c>
      <c r="G342" s="29">
        <v>12.99</v>
      </c>
      <c r="H342" s="28" t="s">
        <v>906</v>
      </c>
      <c r="I342" s="27" t="s">
        <v>189</v>
      </c>
      <c r="J342" s="31" t="s">
        <v>21</v>
      </c>
      <c r="K342" s="27" t="s">
        <v>282</v>
      </c>
      <c r="L342" s="27" t="s">
        <v>283</v>
      </c>
      <c r="M342" s="32" t="str">
        <f>HYPERLINK("http://slimages.macys.com/is/image/MCY/3832194 ")</f>
        <v xml:space="preserve">http://slimages.macys.com/is/image/MCY/3832194 </v>
      </c>
    </row>
    <row r="343" spans="1:13" ht="15.2" customHeight="1" x14ac:dyDescent="0.2">
      <c r="A343" s="26" t="s">
        <v>1937</v>
      </c>
      <c r="B343" s="27" t="s">
        <v>1938</v>
      </c>
      <c r="C343" s="28">
        <v>1</v>
      </c>
      <c r="D343" s="29">
        <v>5.75</v>
      </c>
      <c r="E343" s="29">
        <v>5.75</v>
      </c>
      <c r="F343" s="30">
        <v>12.99</v>
      </c>
      <c r="G343" s="29">
        <v>12.99</v>
      </c>
      <c r="H343" s="28" t="s">
        <v>1533</v>
      </c>
      <c r="I343" s="27" t="s">
        <v>189</v>
      </c>
      <c r="J343" s="31" t="s">
        <v>52</v>
      </c>
      <c r="K343" s="27" t="s">
        <v>282</v>
      </c>
      <c r="L343" s="27" t="s">
        <v>349</v>
      </c>
      <c r="M343" s="32" t="str">
        <f>HYPERLINK("http://slimages.macys.com/is/image/MCY/3773881 ")</f>
        <v xml:space="preserve">http://slimages.macys.com/is/image/MCY/3773881 </v>
      </c>
    </row>
    <row r="344" spans="1:13" ht="15.2" customHeight="1" x14ac:dyDescent="0.2">
      <c r="A344" s="26" t="s">
        <v>7584</v>
      </c>
      <c r="B344" s="27" t="s">
        <v>7585</v>
      </c>
      <c r="C344" s="28">
        <v>1</v>
      </c>
      <c r="D344" s="29">
        <v>5.75</v>
      </c>
      <c r="E344" s="29">
        <v>5.75</v>
      </c>
      <c r="F344" s="30">
        <v>12.99</v>
      </c>
      <c r="G344" s="29">
        <v>12.99</v>
      </c>
      <c r="H344" s="28" t="s">
        <v>1533</v>
      </c>
      <c r="I344" s="27" t="s">
        <v>189</v>
      </c>
      <c r="J344" s="31" t="s">
        <v>40</v>
      </c>
      <c r="K344" s="27" t="s">
        <v>282</v>
      </c>
      <c r="L344" s="27" t="s">
        <v>349</v>
      </c>
      <c r="M344" s="32" t="str">
        <f>HYPERLINK("http://slimages.macys.com/is/image/MCY/3773881 ")</f>
        <v xml:space="preserve">http://slimages.macys.com/is/image/MCY/3773881 </v>
      </c>
    </row>
    <row r="345" spans="1:13" ht="15.2" customHeight="1" x14ac:dyDescent="0.2">
      <c r="A345" s="26" t="s">
        <v>9460</v>
      </c>
      <c r="B345" s="27" t="s">
        <v>9461</v>
      </c>
      <c r="C345" s="28">
        <v>1</v>
      </c>
      <c r="D345" s="29">
        <v>5.75</v>
      </c>
      <c r="E345" s="29">
        <v>5.75</v>
      </c>
      <c r="F345" s="30">
        <v>12.99</v>
      </c>
      <c r="G345" s="29">
        <v>12.99</v>
      </c>
      <c r="H345" s="28" t="s">
        <v>913</v>
      </c>
      <c r="I345" s="27" t="s">
        <v>82</v>
      </c>
      <c r="J345" s="31" t="s">
        <v>5</v>
      </c>
      <c r="K345" s="27" t="s">
        <v>282</v>
      </c>
      <c r="L345" s="27" t="s">
        <v>349</v>
      </c>
      <c r="M345" s="32" t="str">
        <f>HYPERLINK("http://slimages.macys.com/is/image/MCY/3820333 ")</f>
        <v xml:space="preserve">http://slimages.macys.com/is/image/MCY/3820333 </v>
      </c>
    </row>
    <row r="346" spans="1:13" ht="15.2" customHeight="1" x14ac:dyDescent="0.2">
      <c r="A346" s="26" t="s">
        <v>9336</v>
      </c>
      <c r="B346" s="27" t="s">
        <v>9337</v>
      </c>
      <c r="C346" s="28">
        <v>1</v>
      </c>
      <c r="D346" s="29">
        <v>5.65</v>
      </c>
      <c r="E346" s="29">
        <v>5.65</v>
      </c>
      <c r="F346" s="30">
        <v>12.99</v>
      </c>
      <c r="G346" s="29">
        <v>12.99</v>
      </c>
      <c r="H346" s="28" t="s">
        <v>1541</v>
      </c>
      <c r="I346" s="27" t="s">
        <v>280</v>
      </c>
      <c r="J346" s="31" t="s">
        <v>52</v>
      </c>
      <c r="K346" s="27" t="s">
        <v>282</v>
      </c>
      <c r="L346" s="27" t="s">
        <v>393</v>
      </c>
      <c r="M346" s="32" t="str">
        <f>HYPERLINK("http://slimages.macys.com/is/image/MCY/3797971 ")</f>
        <v xml:space="preserve">http://slimages.macys.com/is/image/MCY/3797971 </v>
      </c>
    </row>
    <row r="347" spans="1:13" ht="15.2" customHeight="1" x14ac:dyDescent="0.2">
      <c r="A347" s="26" t="s">
        <v>9733</v>
      </c>
      <c r="B347" s="27" t="s">
        <v>9734</v>
      </c>
      <c r="C347" s="28">
        <v>3</v>
      </c>
      <c r="D347" s="29">
        <v>5.65</v>
      </c>
      <c r="E347" s="29">
        <v>16.95</v>
      </c>
      <c r="F347" s="30">
        <v>12.99</v>
      </c>
      <c r="G347" s="29">
        <v>38.97</v>
      </c>
      <c r="H347" s="28" t="s">
        <v>7452</v>
      </c>
      <c r="I347" s="27" t="s">
        <v>33</v>
      </c>
      <c r="J347" s="31" t="s">
        <v>40</v>
      </c>
      <c r="K347" s="27" t="s">
        <v>282</v>
      </c>
      <c r="L347" s="27" t="s">
        <v>393</v>
      </c>
      <c r="M347" s="32" t="str">
        <f>HYPERLINK("http://slimages.macys.com/is/image/MCY/3754951 ")</f>
        <v xml:space="preserve">http://slimages.macys.com/is/image/MCY/3754951 </v>
      </c>
    </row>
    <row r="348" spans="1:13" ht="15.2" customHeight="1" x14ac:dyDescent="0.2">
      <c r="A348" s="26" t="s">
        <v>1555</v>
      </c>
      <c r="B348" s="27" t="s">
        <v>1556</v>
      </c>
      <c r="C348" s="28">
        <v>1</v>
      </c>
      <c r="D348" s="29">
        <v>5.5</v>
      </c>
      <c r="E348" s="29">
        <v>5.5</v>
      </c>
      <c r="F348" s="30">
        <v>12.99</v>
      </c>
      <c r="G348" s="29">
        <v>12.99</v>
      </c>
      <c r="H348" s="28" t="s">
        <v>1550</v>
      </c>
      <c r="I348" s="27" t="s">
        <v>215</v>
      </c>
      <c r="J348" s="31" t="s">
        <v>5</v>
      </c>
      <c r="K348" s="27" t="s">
        <v>282</v>
      </c>
      <c r="L348" s="27" t="s">
        <v>283</v>
      </c>
      <c r="M348" s="32" t="str">
        <f>HYPERLINK("http://slimages.macys.com/is/image/MCY/3820329 ")</f>
        <v xml:space="preserve">http://slimages.macys.com/is/image/MCY/3820329 </v>
      </c>
    </row>
    <row r="349" spans="1:13" ht="15.2" customHeight="1" x14ac:dyDescent="0.2">
      <c r="A349" s="26" t="s">
        <v>9743</v>
      </c>
      <c r="B349" s="27" t="s">
        <v>9744</v>
      </c>
      <c r="C349" s="28">
        <v>1</v>
      </c>
      <c r="D349" s="29">
        <v>5.5</v>
      </c>
      <c r="E349" s="29">
        <v>5.5</v>
      </c>
      <c r="F349" s="30">
        <v>12.99</v>
      </c>
      <c r="G349" s="29">
        <v>12.99</v>
      </c>
      <c r="H349" s="28" t="s">
        <v>7812</v>
      </c>
      <c r="I349" s="27" t="s">
        <v>4</v>
      </c>
      <c r="J349" s="31" t="s">
        <v>40</v>
      </c>
      <c r="K349" s="27" t="s">
        <v>282</v>
      </c>
      <c r="L349" s="27" t="s">
        <v>349</v>
      </c>
      <c r="M349" s="32" t="str">
        <f>HYPERLINK("http://slimages.macys.com/is/image/MCY/3755097 ")</f>
        <v xml:space="preserve">http://slimages.macys.com/is/image/MCY/3755097 </v>
      </c>
    </row>
    <row r="350" spans="1:13" ht="15.2" customHeight="1" x14ac:dyDescent="0.2">
      <c r="A350" s="26" t="s">
        <v>10959</v>
      </c>
      <c r="B350" s="27" t="s">
        <v>10960</v>
      </c>
      <c r="C350" s="28">
        <v>1</v>
      </c>
      <c r="D350" s="29">
        <v>5.5</v>
      </c>
      <c r="E350" s="29">
        <v>5.5</v>
      </c>
      <c r="F350" s="30">
        <v>13.99</v>
      </c>
      <c r="G350" s="29">
        <v>13.99</v>
      </c>
      <c r="H350" s="28" t="s">
        <v>10263</v>
      </c>
      <c r="I350" s="27" t="s">
        <v>82</v>
      </c>
      <c r="J350" s="31" t="s">
        <v>52</v>
      </c>
      <c r="K350" s="27" t="s">
        <v>282</v>
      </c>
      <c r="L350" s="27" t="s">
        <v>312</v>
      </c>
      <c r="M350" s="32" t="str">
        <f>HYPERLINK("http://slimages.macys.com/is/image/MCY/3409409 ")</f>
        <v xml:space="preserve">http://slimages.macys.com/is/image/MCY/3409409 </v>
      </c>
    </row>
    <row r="351" spans="1:13" ht="15.2" customHeight="1" x14ac:dyDescent="0.2">
      <c r="A351" s="26" t="s">
        <v>10961</v>
      </c>
      <c r="B351" s="27" t="s">
        <v>10962</v>
      </c>
      <c r="C351" s="28">
        <v>1</v>
      </c>
      <c r="D351" s="29">
        <v>5.5</v>
      </c>
      <c r="E351" s="29">
        <v>5.5</v>
      </c>
      <c r="F351" s="30">
        <v>12.99</v>
      </c>
      <c r="G351" s="29">
        <v>12.99</v>
      </c>
      <c r="H351" s="28" t="s">
        <v>9737</v>
      </c>
      <c r="I351" s="27" t="s">
        <v>4</v>
      </c>
      <c r="J351" s="31" t="s">
        <v>5</v>
      </c>
      <c r="K351" s="27" t="s">
        <v>282</v>
      </c>
      <c r="L351" s="27" t="s">
        <v>349</v>
      </c>
      <c r="M351" s="32" t="str">
        <f>HYPERLINK("http://slimages.macys.com/is/image/MCY/3755118 ")</f>
        <v xml:space="preserve">http://slimages.macys.com/is/image/MCY/3755118 </v>
      </c>
    </row>
    <row r="352" spans="1:13" ht="15.2" customHeight="1" x14ac:dyDescent="0.2">
      <c r="A352" s="26" t="s">
        <v>10963</v>
      </c>
      <c r="B352" s="27" t="s">
        <v>10964</v>
      </c>
      <c r="C352" s="28">
        <v>1</v>
      </c>
      <c r="D352" s="29">
        <v>5.5</v>
      </c>
      <c r="E352" s="29">
        <v>5.5</v>
      </c>
      <c r="F352" s="30">
        <v>12.99</v>
      </c>
      <c r="G352" s="29">
        <v>12.99</v>
      </c>
      <c r="H352" s="28" t="s">
        <v>9737</v>
      </c>
      <c r="I352" s="27" t="s">
        <v>4</v>
      </c>
      <c r="J352" s="31" t="s">
        <v>52</v>
      </c>
      <c r="K352" s="27" t="s">
        <v>282</v>
      </c>
      <c r="L352" s="27" t="s">
        <v>349</v>
      </c>
      <c r="M352" s="32" t="str">
        <f>HYPERLINK("http://slimages.macys.com/is/image/MCY/3755118 ")</f>
        <v xml:space="preserve">http://slimages.macys.com/is/image/MCY/3755118 </v>
      </c>
    </row>
    <row r="353" spans="1:13" ht="15.2" customHeight="1" x14ac:dyDescent="0.2">
      <c r="A353" s="26" t="s">
        <v>1947</v>
      </c>
      <c r="B353" s="27" t="s">
        <v>1948</v>
      </c>
      <c r="C353" s="28">
        <v>1</v>
      </c>
      <c r="D353" s="29">
        <v>5.5</v>
      </c>
      <c r="E353" s="29">
        <v>5.5</v>
      </c>
      <c r="F353" s="30">
        <v>12.99</v>
      </c>
      <c r="G353" s="29">
        <v>12.99</v>
      </c>
      <c r="H353" s="28" t="s">
        <v>1949</v>
      </c>
      <c r="I353" s="27" t="s">
        <v>82</v>
      </c>
      <c r="J353" s="31" t="s">
        <v>5</v>
      </c>
      <c r="K353" s="27" t="s">
        <v>282</v>
      </c>
      <c r="L353" s="27" t="s">
        <v>312</v>
      </c>
      <c r="M353" s="32" t="str">
        <f>HYPERLINK("http://slimages.macys.com/is/image/MCY/3875986 ")</f>
        <v xml:space="preserve">http://slimages.macys.com/is/image/MCY/3875986 </v>
      </c>
    </row>
    <row r="354" spans="1:13" ht="15.2" customHeight="1" x14ac:dyDescent="0.2">
      <c r="A354" s="26" t="s">
        <v>8569</v>
      </c>
      <c r="B354" s="27" t="s">
        <v>8570</v>
      </c>
      <c r="C354" s="28">
        <v>1</v>
      </c>
      <c r="D354" s="29">
        <v>5.5</v>
      </c>
      <c r="E354" s="29">
        <v>5.5</v>
      </c>
      <c r="F354" s="30">
        <v>12.99</v>
      </c>
      <c r="G354" s="29">
        <v>12.99</v>
      </c>
      <c r="H354" s="28" t="s">
        <v>8568</v>
      </c>
      <c r="I354" s="27" t="s">
        <v>82</v>
      </c>
      <c r="J354" s="31" t="s">
        <v>21</v>
      </c>
      <c r="K354" s="27" t="s">
        <v>282</v>
      </c>
      <c r="L354" s="27" t="s">
        <v>283</v>
      </c>
      <c r="M354" s="32" t="str">
        <f>HYPERLINK("http://slimages.macys.com/is/image/MCY/3755041 ")</f>
        <v xml:space="preserve">http://slimages.macys.com/is/image/MCY/3755041 </v>
      </c>
    </row>
    <row r="355" spans="1:13" ht="15.2" customHeight="1" x14ac:dyDescent="0.2">
      <c r="A355" s="26" t="s">
        <v>451</v>
      </c>
      <c r="B355" s="27" t="s">
        <v>452</v>
      </c>
      <c r="C355" s="28">
        <v>1</v>
      </c>
      <c r="D355" s="29">
        <v>5.25</v>
      </c>
      <c r="E355" s="29">
        <v>5.25</v>
      </c>
      <c r="F355" s="30">
        <v>12.99</v>
      </c>
      <c r="G355" s="29">
        <v>12.99</v>
      </c>
      <c r="H355" s="28" t="s">
        <v>448</v>
      </c>
      <c r="I355" s="27" t="s">
        <v>82</v>
      </c>
      <c r="J355" s="31" t="s">
        <v>5</v>
      </c>
      <c r="K355" s="27" t="s">
        <v>282</v>
      </c>
      <c r="L355" s="27" t="s">
        <v>358</v>
      </c>
      <c r="M355" s="32" t="str">
        <f>HYPERLINK("http://slimages.macys.com/is/image/MCY/3875975 ")</f>
        <v xml:space="preserve">http://slimages.macys.com/is/image/MCY/3875975 </v>
      </c>
    </row>
    <row r="356" spans="1:13" ht="15.2" customHeight="1" x14ac:dyDescent="0.2">
      <c r="A356" s="26" t="s">
        <v>5176</v>
      </c>
      <c r="B356" s="27" t="s">
        <v>5177</v>
      </c>
      <c r="C356" s="28">
        <v>1</v>
      </c>
      <c r="D356" s="29">
        <v>5.25</v>
      </c>
      <c r="E356" s="29">
        <v>5.25</v>
      </c>
      <c r="F356" s="30">
        <v>12.99</v>
      </c>
      <c r="G356" s="29">
        <v>12.99</v>
      </c>
      <c r="H356" s="28" t="s">
        <v>1581</v>
      </c>
      <c r="I356" s="27" t="s">
        <v>82</v>
      </c>
      <c r="J356" s="31" t="s">
        <v>40</v>
      </c>
      <c r="K356" s="27" t="s">
        <v>282</v>
      </c>
      <c r="L356" s="27" t="s">
        <v>358</v>
      </c>
      <c r="M356" s="32" t="str">
        <f>HYPERLINK("http://slimages.macys.com/is/image/MCY/3875976 ")</f>
        <v xml:space="preserve">http://slimages.macys.com/is/image/MCY/3875976 </v>
      </c>
    </row>
    <row r="357" spans="1:13" ht="15.2" customHeight="1" x14ac:dyDescent="0.2">
      <c r="A357" s="26" t="s">
        <v>6063</v>
      </c>
      <c r="B357" s="27" t="s">
        <v>6064</v>
      </c>
      <c r="C357" s="28">
        <v>1</v>
      </c>
      <c r="D357" s="29">
        <v>5.25</v>
      </c>
      <c r="E357" s="29">
        <v>5.25</v>
      </c>
      <c r="F357" s="30">
        <v>12.99</v>
      </c>
      <c r="G357" s="29">
        <v>12.99</v>
      </c>
      <c r="H357" s="28" t="s">
        <v>1575</v>
      </c>
      <c r="I357" s="27" t="s">
        <v>4</v>
      </c>
      <c r="J357" s="31" t="s">
        <v>52</v>
      </c>
      <c r="K357" s="27" t="s">
        <v>282</v>
      </c>
      <c r="L357" s="27" t="s">
        <v>358</v>
      </c>
      <c r="M357" s="32" t="str">
        <f>HYPERLINK("http://slimages.macys.com/is/image/MCY/3875978 ")</f>
        <v xml:space="preserve">http://slimages.macys.com/is/image/MCY/3875978 </v>
      </c>
    </row>
    <row r="358" spans="1:13" ht="15.2" customHeight="1" x14ac:dyDescent="0.2">
      <c r="A358" s="26" t="s">
        <v>1576</v>
      </c>
      <c r="B358" s="27" t="s">
        <v>1577</v>
      </c>
      <c r="C358" s="28">
        <v>1</v>
      </c>
      <c r="D358" s="29">
        <v>5.25</v>
      </c>
      <c r="E358" s="29">
        <v>5.25</v>
      </c>
      <c r="F358" s="30">
        <v>12.99</v>
      </c>
      <c r="G358" s="29">
        <v>12.99</v>
      </c>
      <c r="H358" s="28" t="s">
        <v>1578</v>
      </c>
      <c r="I358" s="27" t="s">
        <v>4</v>
      </c>
      <c r="J358" s="31" t="s">
        <v>40</v>
      </c>
      <c r="K358" s="27" t="s">
        <v>282</v>
      </c>
      <c r="L358" s="27" t="s">
        <v>358</v>
      </c>
      <c r="M358" s="32" t="str">
        <f>HYPERLINK("http://slimages.macys.com/is/image/MCY/3875977 ")</f>
        <v xml:space="preserve">http://slimages.macys.com/is/image/MCY/3875977 </v>
      </c>
    </row>
    <row r="359" spans="1:13" ht="15.2" customHeight="1" x14ac:dyDescent="0.2">
      <c r="A359" s="26" t="s">
        <v>10965</v>
      </c>
      <c r="B359" s="27" t="s">
        <v>10966</v>
      </c>
      <c r="C359" s="28">
        <v>1</v>
      </c>
      <c r="D359" s="29">
        <v>4.75</v>
      </c>
      <c r="E359" s="29">
        <v>4.75</v>
      </c>
      <c r="F359" s="30">
        <v>12.99</v>
      </c>
      <c r="G359" s="29">
        <v>12.99</v>
      </c>
      <c r="H359" s="28" t="s">
        <v>8864</v>
      </c>
      <c r="I359" s="27" t="s">
        <v>189</v>
      </c>
      <c r="J359" s="31" t="s">
        <v>71</v>
      </c>
      <c r="K359" s="27" t="s">
        <v>282</v>
      </c>
      <c r="L359" s="27" t="s">
        <v>283</v>
      </c>
      <c r="M359" s="32" t="str">
        <f>HYPERLINK("http://slimages.macys.com/is/image/MCY/3623266 ")</f>
        <v xml:space="preserve">http://slimages.macys.com/is/image/MCY/3623266 </v>
      </c>
    </row>
    <row r="360" spans="1:13" ht="15.2" customHeight="1" x14ac:dyDescent="0.2">
      <c r="A360" s="26" t="s">
        <v>10967</v>
      </c>
      <c r="B360" s="27" t="s">
        <v>10968</v>
      </c>
      <c r="C360" s="28">
        <v>2</v>
      </c>
      <c r="D360" s="29">
        <v>4.75</v>
      </c>
      <c r="E360" s="29">
        <v>9.5</v>
      </c>
      <c r="F360" s="30">
        <v>12.99</v>
      </c>
      <c r="G360" s="29">
        <v>25.98</v>
      </c>
      <c r="H360" s="28" t="s">
        <v>8864</v>
      </c>
      <c r="I360" s="27" t="s">
        <v>189</v>
      </c>
      <c r="J360" s="31" t="s">
        <v>21</v>
      </c>
      <c r="K360" s="27" t="s">
        <v>282</v>
      </c>
      <c r="L360" s="27" t="s">
        <v>283</v>
      </c>
      <c r="M360" s="32" t="str">
        <f>HYPERLINK("http://slimages.macys.com/is/image/MCY/3623266 ")</f>
        <v xml:space="preserve">http://slimages.macys.com/is/image/MCY/3623266 </v>
      </c>
    </row>
    <row r="361" spans="1:13" ht="15.2" customHeight="1" x14ac:dyDescent="0.2">
      <c r="A361" s="26" t="s">
        <v>10180</v>
      </c>
      <c r="B361" s="27" t="s">
        <v>10181</v>
      </c>
      <c r="C361" s="28">
        <v>1</v>
      </c>
      <c r="D361" s="29">
        <v>4.6500000000000004</v>
      </c>
      <c r="E361" s="29">
        <v>4.6500000000000004</v>
      </c>
      <c r="F361" s="30">
        <v>10.99</v>
      </c>
      <c r="G361" s="29">
        <v>10.99</v>
      </c>
      <c r="H361" s="28">
        <v>60359814</v>
      </c>
      <c r="I361" s="27" t="s">
        <v>22</v>
      </c>
      <c r="J361" s="31" t="s">
        <v>71</v>
      </c>
      <c r="K361" s="27" t="s">
        <v>282</v>
      </c>
      <c r="L361" s="27" t="s">
        <v>255</v>
      </c>
      <c r="M361" s="32" t="str">
        <f>HYPERLINK("http://slimages.macys.com/is/image/MCY/2308510 ")</f>
        <v xml:space="preserve">http://slimages.macys.com/is/image/MCY/2308510 </v>
      </c>
    </row>
    <row r="362" spans="1:13" ht="15.2" customHeight="1" x14ac:dyDescent="0.2">
      <c r="A362" s="26" t="s">
        <v>7815</v>
      </c>
      <c r="B362" s="27" t="s">
        <v>7816</v>
      </c>
      <c r="C362" s="28">
        <v>1</v>
      </c>
      <c r="D362" s="29">
        <v>4.6500000000000004</v>
      </c>
      <c r="E362" s="29">
        <v>4.6500000000000004</v>
      </c>
      <c r="F362" s="30">
        <v>10.99</v>
      </c>
      <c r="G362" s="29">
        <v>10.99</v>
      </c>
      <c r="H362" s="28">
        <v>60359814</v>
      </c>
      <c r="I362" s="27" t="s">
        <v>59</v>
      </c>
      <c r="J362" s="31" t="s">
        <v>21</v>
      </c>
      <c r="K362" s="27" t="s">
        <v>282</v>
      </c>
      <c r="L362" s="27" t="s">
        <v>255</v>
      </c>
      <c r="M362" s="32" t="str">
        <f>HYPERLINK("http://slimages.macys.com/is/image/MCY/3841046 ")</f>
        <v xml:space="preserve">http://slimages.macys.com/is/image/MCY/3841046 </v>
      </c>
    </row>
    <row r="363" spans="1:13" ht="15.2" customHeight="1" x14ac:dyDescent="0.2">
      <c r="A363" s="26" t="s">
        <v>7195</v>
      </c>
      <c r="B363" s="27" t="s">
        <v>7196</v>
      </c>
      <c r="C363" s="28">
        <v>1</v>
      </c>
      <c r="D363" s="29">
        <v>4.6500000000000004</v>
      </c>
      <c r="E363" s="29">
        <v>4.6500000000000004</v>
      </c>
      <c r="F363" s="30">
        <v>10.99</v>
      </c>
      <c r="G363" s="29">
        <v>10.99</v>
      </c>
      <c r="H363" s="28">
        <v>60359814</v>
      </c>
      <c r="I363" s="27" t="s">
        <v>22</v>
      </c>
      <c r="J363" s="31" t="s">
        <v>65</v>
      </c>
      <c r="K363" s="27" t="s">
        <v>282</v>
      </c>
      <c r="L363" s="27" t="s">
        <v>255</v>
      </c>
      <c r="M363" s="32" t="str">
        <f>HYPERLINK("http://slimages.macys.com/is/image/MCY/2308510 ")</f>
        <v xml:space="preserve">http://slimages.macys.com/is/image/MCY/2308510 </v>
      </c>
    </row>
    <row r="364" spans="1:13" ht="15.2" customHeight="1" x14ac:dyDescent="0.2">
      <c r="A364" s="26" t="s">
        <v>1592</v>
      </c>
      <c r="B364" s="27" t="s">
        <v>1593</v>
      </c>
      <c r="C364" s="28">
        <v>1</v>
      </c>
      <c r="D364" s="29">
        <v>4.5</v>
      </c>
      <c r="E364" s="29">
        <v>4.5</v>
      </c>
      <c r="F364" s="30">
        <v>12.99</v>
      </c>
      <c r="G364" s="29">
        <v>12.99</v>
      </c>
      <c r="H364" s="28" t="s">
        <v>1594</v>
      </c>
      <c r="I364" s="27" t="s">
        <v>4</v>
      </c>
      <c r="J364" s="31" t="s">
        <v>21</v>
      </c>
      <c r="K364" s="27" t="s">
        <v>282</v>
      </c>
      <c r="L364" s="27" t="s">
        <v>283</v>
      </c>
      <c r="M364" s="32" t="str">
        <f>HYPERLINK("http://slimages.macys.com/is/image/MCY/3927796 ")</f>
        <v xml:space="preserve">http://slimages.macys.com/is/image/MCY/3927796 </v>
      </c>
    </row>
    <row r="365" spans="1:13" ht="15.2" customHeight="1" x14ac:dyDescent="0.2">
      <c r="A365" s="26" t="s">
        <v>5493</v>
      </c>
      <c r="B365" s="27" t="s">
        <v>5494</v>
      </c>
      <c r="C365" s="28">
        <v>1</v>
      </c>
      <c r="D365" s="29">
        <v>4.5</v>
      </c>
      <c r="E365" s="29">
        <v>4.5</v>
      </c>
      <c r="F365" s="30">
        <v>12.99</v>
      </c>
      <c r="G365" s="29">
        <v>12.99</v>
      </c>
      <c r="H365" s="28" t="s">
        <v>5495</v>
      </c>
      <c r="I365" s="27" t="s">
        <v>8</v>
      </c>
      <c r="J365" s="31" t="s">
        <v>40</v>
      </c>
      <c r="K365" s="27" t="s">
        <v>282</v>
      </c>
      <c r="L365" s="27" t="s">
        <v>283</v>
      </c>
      <c r="M365" s="32" t="str">
        <f>HYPERLINK("http://slimages.macys.com/is/image/MCY/3875803 ")</f>
        <v xml:space="preserve">http://slimages.macys.com/is/image/MCY/3875803 </v>
      </c>
    </row>
    <row r="366" spans="1:13" ht="15.2" customHeight="1" x14ac:dyDescent="0.2">
      <c r="A366" s="26" t="s">
        <v>7463</v>
      </c>
      <c r="B366" s="27" t="s">
        <v>7464</v>
      </c>
      <c r="C366" s="28">
        <v>1</v>
      </c>
      <c r="D366" s="29">
        <v>4.5</v>
      </c>
      <c r="E366" s="29">
        <v>4.5</v>
      </c>
      <c r="F366" s="30">
        <v>12.99</v>
      </c>
      <c r="G366" s="29">
        <v>12.99</v>
      </c>
      <c r="H366" s="28" t="s">
        <v>1594</v>
      </c>
      <c r="I366" s="27" t="s">
        <v>4</v>
      </c>
      <c r="J366" s="31" t="s">
        <v>40</v>
      </c>
      <c r="K366" s="27" t="s">
        <v>282</v>
      </c>
      <c r="L366" s="27" t="s">
        <v>283</v>
      </c>
      <c r="M366" s="32" t="str">
        <f>HYPERLINK("http://slimages.macys.com/is/image/MCY/3927796 ")</f>
        <v xml:space="preserve">http://slimages.macys.com/is/image/MCY/3927796 </v>
      </c>
    </row>
    <row r="367" spans="1:13" ht="15.2" customHeight="1" x14ac:dyDescent="0.2">
      <c r="A367" s="26" t="s">
        <v>8865</v>
      </c>
      <c r="B367" s="27" t="s">
        <v>8866</v>
      </c>
      <c r="C367" s="28">
        <v>1</v>
      </c>
      <c r="D367" s="29">
        <v>4.5</v>
      </c>
      <c r="E367" s="29">
        <v>4.5</v>
      </c>
      <c r="F367" s="30">
        <v>12.99</v>
      </c>
      <c r="G367" s="29">
        <v>12.99</v>
      </c>
      <c r="H367" s="28" t="s">
        <v>1597</v>
      </c>
      <c r="I367" s="27" t="s">
        <v>244</v>
      </c>
      <c r="J367" s="31" t="s">
        <v>21</v>
      </c>
      <c r="K367" s="27" t="s">
        <v>282</v>
      </c>
      <c r="L367" s="27" t="s">
        <v>283</v>
      </c>
      <c r="M367" s="32" t="str">
        <f>HYPERLINK("http://slimages.macys.com/is/image/MCY/3875943 ")</f>
        <v xml:space="preserve">http://slimages.macys.com/is/image/MCY/3875943 </v>
      </c>
    </row>
    <row r="368" spans="1:13" ht="15.2" customHeight="1" x14ac:dyDescent="0.2">
      <c r="A368" s="26" t="s">
        <v>7461</v>
      </c>
      <c r="B368" s="27" t="s">
        <v>7462</v>
      </c>
      <c r="C368" s="28">
        <v>1</v>
      </c>
      <c r="D368" s="29">
        <v>4.5</v>
      </c>
      <c r="E368" s="29">
        <v>4.5</v>
      </c>
      <c r="F368" s="30">
        <v>12.99</v>
      </c>
      <c r="G368" s="29">
        <v>12.99</v>
      </c>
      <c r="H368" s="28" t="s">
        <v>5559</v>
      </c>
      <c r="I368" s="27" t="s">
        <v>59</v>
      </c>
      <c r="J368" s="31" t="s">
        <v>40</v>
      </c>
      <c r="K368" s="27" t="s">
        <v>282</v>
      </c>
      <c r="L368" s="27" t="s">
        <v>283</v>
      </c>
      <c r="M368" s="32" t="str">
        <f>HYPERLINK("http://slimages.macys.com/is/image/MCY/3875942 ")</f>
        <v xml:space="preserve">http://slimages.macys.com/is/image/MCY/3875942 </v>
      </c>
    </row>
    <row r="369" spans="1:13" ht="15.2" customHeight="1" x14ac:dyDescent="0.2">
      <c r="A369" s="26" t="s">
        <v>9841</v>
      </c>
      <c r="B369" s="27" t="s">
        <v>9842</v>
      </c>
      <c r="C369" s="28">
        <v>1</v>
      </c>
      <c r="D369" s="29">
        <v>3.72</v>
      </c>
      <c r="E369" s="29">
        <v>3.72</v>
      </c>
      <c r="F369" s="30">
        <v>7.99</v>
      </c>
      <c r="G369" s="29">
        <v>7.99</v>
      </c>
      <c r="H369" s="28" t="s">
        <v>459</v>
      </c>
      <c r="I369" s="27" t="s">
        <v>343</v>
      </c>
      <c r="J369" s="31" t="s">
        <v>52</v>
      </c>
      <c r="K369" s="27" t="s">
        <v>282</v>
      </c>
      <c r="L369" s="27" t="s">
        <v>325</v>
      </c>
      <c r="M369" s="32" t="str">
        <f>HYPERLINK("http://slimages.macys.com/is/image/MCY/3609979 ")</f>
        <v xml:space="preserve">http://slimages.macys.com/is/image/MCY/3609979 </v>
      </c>
    </row>
    <row r="370" spans="1:13" ht="15.2" customHeight="1" x14ac:dyDescent="0.2">
      <c r="A370" s="26" t="s">
        <v>3034</v>
      </c>
      <c r="B370" s="27" t="s">
        <v>3035</v>
      </c>
      <c r="C370" s="28">
        <v>1</v>
      </c>
      <c r="D370" s="29">
        <v>3.45</v>
      </c>
      <c r="E370" s="29">
        <v>3.45</v>
      </c>
      <c r="F370" s="30">
        <v>7.99</v>
      </c>
      <c r="G370" s="29">
        <v>7.99</v>
      </c>
      <c r="H370" s="28">
        <v>60423445</v>
      </c>
      <c r="I370" s="27" t="s">
        <v>661</v>
      </c>
      <c r="J370" s="31" t="s">
        <v>71</v>
      </c>
      <c r="K370" s="27" t="s">
        <v>282</v>
      </c>
      <c r="L370" s="27" t="s">
        <v>255</v>
      </c>
      <c r="M370" s="32" t="str">
        <f>HYPERLINK("http://slimages.macys.com/is/image/MCY/3663800 ")</f>
        <v xml:space="preserve">http://slimages.macys.com/is/image/MCY/3663800 </v>
      </c>
    </row>
    <row r="371" spans="1:13" ht="15.2" customHeight="1" x14ac:dyDescent="0.2">
      <c r="A371" s="26" t="s">
        <v>10339</v>
      </c>
      <c r="B371" s="27" t="s">
        <v>10340</v>
      </c>
      <c r="C371" s="28">
        <v>1</v>
      </c>
      <c r="D371" s="29">
        <v>79.75</v>
      </c>
      <c r="E371" s="29">
        <v>79.75</v>
      </c>
      <c r="F371" s="30">
        <v>229</v>
      </c>
      <c r="G371" s="29">
        <v>229</v>
      </c>
      <c r="H371" s="28">
        <v>56214</v>
      </c>
      <c r="I371" s="27" t="s">
        <v>690</v>
      </c>
      <c r="J371" s="31" t="s">
        <v>230</v>
      </c>
      <c r="K371" s="27" t="s">
        <v>24</v>
      </c>
      <c r="L371" s="27" t="s">
        <v>1972</v>
      </c>
      <c r="M371" s="32"/>
    </row>
    <row r="372" spans="1:13" ht="15.2" customHeight="1" x14ac:dyDescent="0.2">
      <c r="A372" s="26" t="s">
        <v>8335</v>
      </c>
      <c r="B372" s="27" t="s">
        <v>7594</v>
      </c>
      <c r="C372" s="28">
        <v>1</v>
      </c>
      <c r="D372" s="29">
        <v>34</v>
      </c>
      <c r="E372" s="29">
        <v>34</v>
      </c>
      <c r="F372" s="30">
        <v>99</v>
      </c>
      <c r="G372" s="29">
        <v>99</v>
      </c>
      <c r="H372" s="28" t="s">
        <v>7595</v>
      </c>
      <c r="I372" s="27" t="s">
        <v>291</v>
      </c>
      <c r="J372" s="31" t="s">
        <v>23</v>
      </c>
      <c r="K372" s="27" t="s">
        <v>24</v>
      </c>
      <c r="L372" s="27" t="s">
        <v>25</v>
      </c>
      <c r="M372" s="32"/>
    </row>
    <row r="373" spans="1:13" ht="15.2" customHeight="1" x14ac:dyDescent="0.2">
      <c r="A373" s="26" t="s">
        <v>10969</v>
      </c>
      <c r="B373" s="27" t="s">
        <v>7594</v>
      </c>
      <c r="C373" s="28">
        <v>1</v>
      </c>
      <c r="D373" s="29">
        <v>34</v>
      </c>
      <c r="E373" s="29">
        <v>34</v>
      </c>
      <c r="F373" s="30">
        <v>99</v>
      </c>
      <c r="G373" s="29">
        <v>99</v>
      </c>
      <c r="H373" s="28" t="s">
        <v>7595</v>
      </c>
      <c r="I373" s="27" t="s">
        <v>291</v>
      </c>
      <c r="J373" s="31" t="s">
        <v>230</v>
      </c>
      <c r="K373" s="27" t="s">
        <v>24</v>
      </c>
      <c r="L373" s="27" t="s">
        <v>25</v>
      </c>
      <c r="M373" s="32"/>
    </row>
    <row r="374" spans="1:13" ht="15.2" customHeight="1" x14ac:dyDescent="0.2">
      <c r="A374" s="26" t="s">
        <v>10268</v>
      </c>
      <c r="B374" s="27" t="s">
        <v>7594</v>
      </c>
      <c r="C374" s="28">
        <v>1</v>
      </c>
      <c r="D374" s="29">
        <v>34</v>
      </c>
      <c r="E374" s="29">
        <v>34</v>
      </c>
      <c r="F374" s="30">
        <v>99</v>
      </c>
      <c r="G374" s="29">
        <v>99</v>
      </c>
      <c r="H374" s="28" t="s">
        <v>7595</v>
      </c>
      <c r="I374" s="27" t="s">
        <v>291</v>
      </c>
      <c r="J374" s="31" t="s">
        <v>216</v>
      </c>
      <c r="K374" s="27" t="s">
        <v>24</v>
      </c>
      <c r="L374" s="27" t="s">
        <v>25</v>
      </c>
      <c r="M374" s="32"/>
    </row>
    <row r="375" spans="1:13" ht="15.2" customHeight="1" x14ac:dyDescent="0.2">
      <c r="A375" s="26" t="s">
        <v>1977</v>
      </c>
      <c r="B375" s="27" t="s">
        <v>1978</v>
      </c>
      <c r="C375" s="28">
        <v>1</v>
      </c>
      <c r="D375" s="29">
        <v>34</v>
      </c>
      <c r="E375" s="29">
        <v>34</v>
      </c>
      <c r="F375" s="30">
        <v>89.5</v>
      </c>
      <c r="G375" s="29">
        <v>89.5</v>
      </c>
      <c r="H375" s="28" t="s">
        <v>464</v>
      </c>
      <c r="I375" s="27" t="s">
        <v>1</v>
      </c>
      <c r="J375" s="31" t="s">
        <v>40</v>
      </c>
      <c r="K375" s="27" t="s">
        <v>17</v>
      </c>
      <c r="L375" s="27" t="s">
        <v>18</v>
      </c>
      <c r="M375" s="32"/>
    </row>
    <row r="376" spans="1:13" ht="15.2" customHeight="1" x14ac:dyDescent="0.2">
      <c r="A376" s="26" t="s">
        <v>10970</v>
      </c>
      <c r="B376" s="27" t="s">
        <v>10971</v>
      </c>
      <c r="C376" s="28">
        <v>1</v>
      </c>
      <c r="D376" s="29">
        <v>30</v>
      </c>
      <c r="E376" s="29">
        <v>30</v>
      </c>
      <c r="F376" s="30">
        <v>79.5</v>
      </c>
      <c r="G376" s="29">
        <v>79.5</v>
      </c>
      <c r="H376" s="28" t="s">
        <v>10972</v>
      </c>
      <c r="I376" s="27" t="s">
        <v>1</v>
      </c>
      <c r="J376" s="31" t="s">
        <v>40</v>
      </c>
      <c r="K376" s="27" t="s">
        <v>17</v>
      </c>
      <c r="L376" s="27" t="s">
        <v>18</v>
      </c>
      <c r="M376" s="32"/>
    </row>
    <row r="377" spans="1:13" ht="15.2" customHeight="1" x14ac:dyDescent="0.2">
      <c r="A377" s="26" t="s">
        <v>10622</v>
      </c>
      <c r="B377" s="27" t="s">
        <v>10623</v>
      </c>
      <c r="C377" s="28">
        <v>1</v>
      </c>
      <c r="D377" s="29">
        <v>27</v>
      </c>
      <c r="E377" s="29">
        <v>27</v>
      </c>
      <c r="F377" s="30">
        <v>69.5</v>
      </c>
      <c r="G377" s="29">
        <v>69.5</v>
      </c>
      <c r="H377" s="28" t="s">
        <v>1982</v>
      </c>
      <c r="I377" s="27" t="s">
        <v>59</v>
      </c>
      <c r="J377" s="31"/>
      <c r="K377" s="27" t="s">
        <v>17</v>
      </c>
      <c r="L377" s="27" t="s">
        <v>18</v>
      </c>
      <c r="M377" s="32"/>
    </row>
    <row r="378" spans="1:13" ht="15.2" customHeight="1" x14ac:dyDescent="0.2">
      <c r="A378" s="26" t="s">
        <v>7227</v>
      </c>
      <c r="B378" s="27" t="s">
        <v>7228</v>
      </c>
      <c r="C378" s="28">
        <v>1</v>
      </c>
      <c r="D378" s="29">
        <v>27</v>
      </c>
      <c r="E378" s="29">
        <v>27</v>
      </c>
      <c r="F378" s="30">
        <v>69.5</v>
      </c>
      <c r="G378" s="29">
        <v>69.5</v>
      </c>
      <c r="H378" s="28" t="s">
        <v>1982</v>
      </c>
      <c r="I378" s="27" t="s">
        <v>59</v>
      </c>
      <c r="J378" s="31" t="s">
        <v>1602</v>
      </c>
      <c r="K378" s="27" t="s">
        <v>17</v>
      </c>
      <c r="L378" s="27" t="s">
        <v>18</v>
      </c>
      <c r="M378" s="32"/>
    </row>
    <row r="379" spans="1:13" ht="15.2" customHeight="1" x14ac:dyDescent="0.2">
      <c r="A379" s="26" t="s">
        <v>7820</v>
      </c>
      <c r="B379" s="27" t="s">
        <v>7821</v>
      </c>
      <c r="C379" s="28">
        <v>2</v>
      </c>
      <c r="D379" s="29">
        <v>27</v>
      </c>
      <c r="E379" s="29">
        <v>54</v>
      </c>
      <c r="F379" s="30">
        <v>69.5</v>
      </c>
      <c r="G379" s="29">
        <v>139</v>
      </c>
      <c r="H379" s="28" t="s">
        <v>1982</v>
      </c>
      <c r="I379" s="27" t="s">
        <v>59</v>
      </c>
      <c r="J379" s="31"/>
      <c r="K379" s="27" t="s">
        <v>17</v>
      </c>
      <c r="L379" s="27" t="s">
        <v>18</v>
      </c>
      <c r="M379" s="32"/>
    </row>
    <row r="380" spans="1:13" ht="15.2" customHeight="1" x14ac:dyDescent="0.2">
      <c r="A380" s="26" t="s">
        <v>2421</v>
      </c>
      <c r="B380" s="27" t="s">
        <v>2422</v>
      </c>
      <c r="C380" s="28">
        <v>2</v>
      </c>
      <c r="D380" s="29">
        <v>27</v>
      </c>
      <c r="E380" s="29">
        <v>54</v>
      </c>
      <c r="F380" s="30">
        <v>69.5</v>
      </c>
      <c r="G380" s="29">
        <v>139</v>
      </c>
      <c r="H380" s="28" t="s">
        <v>2423</v>
      </c>
      <c r="I380" s="27" t="s">
        <v>478</v>
      </c>
      <c r="J380" s="31" t="s">
        <v>71</v>
      </c>
      <c r="K380" s="27" t="s">
        <v>17</v>
      </c>
      <c r="L380" s="27" t="s">
        <v>18</v>
      </c>
      <c r="M380" s="32"/>
    </row>
    <row r="381" spans="1:13" ht="15.2" customHeight="1" x14ac:dyDescent="0.2">
      <c r="A381" s="26" t="s">
        <v>7696</v>
      </c>
      <c r="B381" s="27" t="s">
        <v>7697</v>
      </c>
      <c r="C381" s="28">
        <v>1</v>
      </c>
      <c r="D381" s="29">
        <v>27</v>
      </c>
      <c r="E381" s="29">
        <v>27</v>
      </c>
      <c r="F381" s="30">
        <v>69.5</v>
      </c>
      <c r="G381" s="29">
        <v>69.5</v>
      </c>
      <c r="H381" s="28" t="s">
        <v>7467</v>
      </c>
      <c r="I381" s="27" t="s">
        <v>661</v>
      </c>
      <c r="J381" s="31"/>
      <c r="K381" s="27" t="s">
        <v>17</v>
      </c>
      <c r="L381" s="27" t="s">
        <v>18</v>
      </c>
      <c r="M381" s="32"/>
    </row>
    <row r="382" spans="1:13" ht="15.2" customHeight="1" x14ac:dyDescent="0.2">
      <c r="A382" s="26" t="s">
        <v>10973</v>
      </c>
      <c r="B382" s="27" t="s">
        <v>10974</v>
      </c>
      <c r="C382" s="28">
        <v>2</v>
      </c>
      <c r="D382" s="29">
        <v>27</v>
      </c>
      <c r="E382" s="29">
        <v>54</v>
      </c>
      <c r="F382" s="30">
        <v>69.5</v>
      </c>
      <c r="G382" s="29">
        <v>139</v>
      </c>
      <c r="H382" s="28" t="s">
        <v>1982</v>
      </c>
      <c r="I382" s="27" t="s">
        <v>59</v>
      </c>
      <c r="J382" s="31"/>
      <c r="K382" s="27" t="s">
        <v>17</v>
      </c>
      <c r="L382" s="27" t="s">
        <v>18</v>
      </c>
      <c r="M382" s="32"/>
    </row>
    <row r="383" spans="1:13" ht="15.2" customHeight="1" x14ac:dyDescent="0.2">
      <c r="A383" s="26" t="s">
        <v>10975</v>
      </c>
      <c r="B383" s="27" t="s">
        <v>7700</v>
      </c>
      <c r="C383" s="28">
        <v>1</v>
      </c>
      <c r="D383" s="29">
        <v>26.25</v>
      </c>
      <c r="E383" s="29">
        <v>26.25</v>
      </c>
      <c r="F383" s="30">
        <v>79</v>
      </c>
      <c r="G383" s="29">
        <v>79</v>
      </c>
      <c r="H383" s="28" t="s">
        <v>7701</v>
      </c>
      <c r="I383" s="27" t="s">
        <v>152</v>
      </c>
      <c r="J383" s="31"/>
      <c r="K383" s="27" t="s">
        <v>24</v>
      </c>
      <c r="L383" s="27" t="s">
        <v>67</v>
      </c>
      <c r="M383" s="32"/>
    </row>
    <row r="384" spans="1:13" ht="15.2" customHeight="1" x14ac:dyDescent="0.2">
      <c r="A384" s="26" t="s">
        <v>9763</v>
      </c>
      <c r="B384" s="27" t="s">
        <v>9764</v>
      </c>
      <c r="C384" s="28">
        <v>1</v>
      </c>
      <c r="D384" s="29">
        <v>26</v>
      </c>
      <c r="E384" s="29">
        <v>26</v>
      </c>
      <c r="F384" s="30">
        <v>79</v>
      </c>
      <c r="G384" s="29">
        <v>79</v>
      </c>
      <c r="H384" s="28" t="s">
        <v>467</v>
      </c>
      <c r="I384" s="27" t="s">
        <v>468</v>
      </c>
      <c r="J384" s="31" t="s">
        <v>234</v>
      </c>
      <c r="K384" s="27" t="s">
        <v>24</v>
      </c>
      <c r="L384" s="27" t="s">
        <v>25</v>
      </c>
      <c r="M384" s="32"/>
    </row>
    <row r="385" spans="1:13" ht="15.2" customHeight="1" x14ac:dyDescent="0.2">
      <c r="A385" s="26" t="s">
        <v>3048</v>
      </c>
      <c r="B385" s="27" t="s">
        <v>3049</v>
      </c>
      <c r="C385" s="28">
        <v>1</v>
      </c>
      <c r="D385" s="29">
        <v>26</v>
      </c>
      <c r="E385" s="29">
        <v>26</v>
      </c>
      <c r="F385" s="30">
        <v>79</v>
      </c>
      <c r="G385" s="29">
        <v>79</v>
      </c>
      <c r="H385" s="28" t="s">
        <v>467</v>
      </c>
      <c r="I385" s="27" t="s">
        <v>468</v>
      </c>
      <c r="J385" s="31" t="s">
        <v>205</v>
      </c>
      <c r="K385" s="27" t="s">
        <v>24</v>
      </c>
      <c r="L385" s="27" t="s">
        <v>25</v>
      </c>
      <c r="M385" s="32"/>
    </row>
    <row r="386" spans="1:13" ht="15.2" customHeight="1" x14ac:dyDescent="0.2">
      <c r="A386" s="26" t="s">
        <v>10624</v>
      </c>
      <c r="B386" s="27" t="s">
        <v>10625</v>
      </c>
      <c r="C386" s="28">
        <v>1</v>
      </c>
      <c r="D386" s="29">
        <v>26</v>
      </c>
      <c r="E386" s="29">
        <v>26</v>
      </c>
      <c r="F386" s="30">
        <v>79</v>
      </c>
      <c r="G386" s="29">
        <v>79</v>
      </c>
      <c r="H386" s="28" t="s">
        <v>467</v>
      </c>
      <c r="I386" s="27" t="s">
        <v>468</v>
      </c>
      <c r="J386" s="31" t="s">
        <v>23</v>
      </c>
      <c r="K386" s="27" t="s">
        <v>24</v>
      </c>
      <c r="L386" s="27" t="s">
        <v>25</v>
      </c>
      <c r="M386" s="32"/>
    </row>
    <row r="387" spans="1:13" ht="15.2" customHeight="1" x14ac:dyDescent="0.2">
      <c r="A387" s="26" t="s">
        <v>465</v>
      </c>
      <c r="B387" s="27" t="s">
        <v>466</v>
      </c>
      <c r="C387" s="28">
        <v>2</v>
      </c>
      <c r="D387" s="29">
        <v>26</v>
      </c>
      <c r="E387" s="29">
        <v>52</v>
      </c>
      <c r="F387" s="30">
        <v>79</v>
      </c>
      <c r="G387" s="29">
        <v>158</v>
      </c>
      <c r="H387" s="28" t="s">
        <v>467</v>
      </c>
      <c r="I387" s="27" t="s">
        <v>468</v>
      </c>
      <c r="J387" s="31" t="s">
        <v>210</v>
      </c>
      <c r="K387" s="27" t="s">
        <v>24</v>
      </c>
      <c r="L387" s="27" t="s">
        <v>25</v>
      </c>
      <c r="M387" s="32"/>
    </row>
    <row r="388" spans="1:13" ht="15.2" customHeight="1" x14ac:dyDescent="0.2">
      <c r="A388" s="26" t="s">
        <v>474</v>
      </c>
      <c r="B388" s="27" t="s">
        <v>475</v>
      </c>
      <c r="C388" s="28">
        <v>1</v>
      </c>
      <c r="D388" s="29">
        <v>24</v>
      </c>
      <c r="E388" s="29">
        <v>24</v>
      </c>
      <c r="F388" s="30">
        <v>69</v>
      </c>
      <c r="G388" s="29">
        <v>69</v>
      </c>
      <c r="H388" s="28" t="s">
        <v>476</v>
      </c>
      <c r="I388" s="27" t="s">
        <v>36</v>
      </c>
      <c r="J388" s="31" t="s">
        <v>40</v>
      </c>
      <c r="K388" s="27" t="s">
        <v>37</v>
      </c>
      <c r="L388" s="27" t="s">
        <v>38</v>
      </c>
      <c r="M388" s="32"/>
    </row>
    <row r="389" spans="1:13" ht="15.2" customHeight="1" x14ac:dyDescent="0.2">
      <c r="A389" s="26" t="s">
        <v>10976</v>
      </c>
      <c r="B389" s="27" t="s">
        <v>8740</v>
      </c>
      <c r="C389" s="28">
        <v>1</v>
      </c>
      <c r="D389" s="29">
        <v>24</v>
      </c>
      <c r="E389" s="29">
        <v>24</v>
      </c>
      <c r="F389" s="30">
        <v>69</v>
      </c>
      <c r="G389" s="29">
        <v>69</v>
      </c>
      <c r="H389" s="28" t="s">
        <v>476</v>
      </c>
      <c r="I389" s="27" t="s">
        <v>10</v>
      </c>
      <c r="J389" s="31" t="s">
        <v>52</v>
      </c>
      <c r="K389" s="27" t="s">
        <v>37</v>
      </c>
      <c r="L389" s="27" t="s">
        <v>38</v>
      </c>
      <c r="M389" s="32"/>
    </row>
    <row r="390" spans="1:13" ht="15.2" customHeight="1" x14ac:dyDescent="0.2">
      <c r="A390" s="26" t="s">
        <v>10977</v>
      </c>
      <c r="B390" s="27" t="s">
        <v>10978</v>
      </c>
      <c r="C390" s="28">
        <v>1</v>
      </c>
      <c r="D390" s="29">
        <v>23</v>
      </c>
      <c r="E390" s="29">
        <v>23</v>
      </c>
      <c r="F390" s="30">
        <v>59.5</v>
      </c>
      <c r="G390" s="29">
        <v>59.5</v>
      </c>
      <c r="H390" s="28" t="s">
        <v>964</v>
      </c>
      <c r="I390" s="27" t="s">
        <v>377</v>
      </c>
      <c r="J390" s="31" t="s">
        <v>52</v>
      </c>
      <c r="K390" s="27" t="s">
        <v>17</v>
      </c>
      <c r="L390" s="27" t="s">
        <v>18</v>
      </c>
      <c r="M390" s="32"/>
    </row>
    <row r="391" spans="1:13" ht="15.2" customHeight="1" x14ac:dyDescent="0.2">
      <c r="A391" s="26" t="s">
        <v>10979</v>
      </c>
      <c r="B391" s="27" t="s">
        <v>10980</v>
      </c>
      <c r="C391" s="28">
        <v>2</v>
      </c>
      <c r="D391" s="29">
        <v>23</v>
      </c>
      <c r="E391" s="29">
        <v>46</v>
      </c>
      <c r="F391" s="30">
        <v>59.5</v>
      </c>
      <c r="G391" s="29">
        <v>119</v>
      </c>
      <c r="H391" s="28" t="s">
        <v>1606</v>
      </c>
      <c r="I391" s="27" t="s">
        <v>152</v>
      </c>
      <c r="J391" s="31" t="s">
        <v>5</v>
      </c>
      <c r="K391" s="27" t="s">
        <v>17</v>
      </c>
      <c r="L391" s="27" t="s">
        <v>18</v>
      </c>
      <c r="M391" s="32"/>
    </row>
    <row r="392" spans="1:13" ht="15.2" customHeight="1" x14ac:dyDescent="0.2">
      <c r="A392" s="26" t="s">
        <v>9945</v>
      </c>
      <c r="B392" s="27" t="s">
        <v>9946</v>
      </c>
      <c r="C392" s="28">
        <v>1</v>
      </c>
      <c r="D392" s="29">
        <v>23</v>
      </c>
      <c r="E392" s="29">
        <v>23</v>
      </c>
      <c r="F392" s="30">
        <v>59.5</v>
      </c>
      <c r="G392" s="29">
        <v>59.5</v>
      </c>
      <c r="H392" s="28" t="s">
        <v>1606</v>
      </c>
      <c r="I392" s="27" t="s">
        <v>152</v>
      </c>
      <c r="J392" s="31" t="s">
        <v>21</v>
      </c>
      <c r="K392" s="27" t="s">
        <v>17</v>
      </c>
      <c r="L392" s="27" t="s">
        <v>18</v>
      </c>
      <c r="M392" s="32"/>
    </row>
    <row r="393" spans="1:13" ht="15.2" customHeight="1" x14ac:dyDescent="0.2">
      <c r="A393" s="26" t="s">
        <v>10981</v>
      </c>
      <c r="B393" s="27" t="s">
        <v>10982</v>
      </c>
      <c r="C393" s="28">
        <v>1</v>
      </c>
      <c r="D393" s="29">
        <v>21.5</v>
      </c>
      <c r="E393" s="29">
        <v>21.5</v>
      </c>
      <c r="F393" s="30">
        <v>69</v>
      </c>
      <c r="G393" s="29">
        <v>69</v>
      </c>
      <c r="H393" s="28" t="s">
        <v>3060</v>
      </c>
      <c r="I393" s="27" t="s">
        <v>4</v>
      </c>
      <c r="J393" s="31" t="s">
        <v>172</v>
      </c>
      <c r="K393" s="27" t="s">
        <v>24</v>
      </c>
      <c r="L393" s="27" t="s">
        <v>999</v>
      </c>
      <c r="M393" s="32"/>
    </row>
    <row r="394" spans="1:13" ht="15.2" customHeight="1" x14ac:dyDescent="0.2">
      <c r="A394" s="26" t="s">
        <v>8867</v>
      </c>
      <c r="B394" s="27" t="s">
        <v>8868</v>
      </c>
      <c r="C394" s="28">
        <v>1</v>
      </c>
      <c r="D394" s="29">
        <v>19.75</v>
      </c>
      <c r="E394" s="29">
        <v>19.75</v>
      </c>
      <c r="F394" s="30">
        <v>49.99</v>
      </c>
      <c r="G394" s="29">
        <v>49.99</v>
      </c>
      <c r="H394" s="28" t="s">
        <v>6858</v>
      </c>
      <c r="I394" s="27" t="s">
        <v>22</v>
      </c>
      <c r="J394" s="31" t="s">
        <v>71</v>
      </c>
      <c r="K394" s="27" t="s">
        <v>70</v>
      </c>
      <c r="L394" s="27" t="s">
        <v>999</v>
      </c>
      <c r="M394" s="32"/>
    </row>
    <row r="395" spans="1:13" ht="15.2" customHeight="1" x14ac:dyDescent="0.2">
      <c r="A395" s="26" t="s">
        <v>2432</v>
      </c>
      <c r="B395" s="27" t="s">
        <v>2433</v>
      </c>
      <c r="C395" s="28">
        <v>1</v>
      </c>
      <c r="D395" s="29">
        <v>19</v>
      </c>
      <c r="E395" s="29">
        <v>19</v>
      </c>
      <c r="F395" s="30">
        <v>49.5</v>
      </c>
      <c r="G395" s="29">
        <v>49.5</v>
      </c>
      <c r="H395" s="28" t="s">
        <v>978</v>
      </c>
      <c r="I395" s="27" t="s">
        <v>20</v>
      </c>
      <c r="J395" s="31" t="s">
        <v>71</v>
      </c>
      <c r="K395" s="27" t="s">
        <v>17</v>
      </c>
      <c r="L395" s="27" t="s">
        <v>18</v>
      </c>
      <c r="M395" s="32"/>
    </row>
    <row r="396" spans="1:13" ht="15.2" customHeight="1" x14ac:dyDescent="0.2">
      <c r="A396" s="26" t="s">
        <v>2428</v>
      </c>
      <c r="B396" s="27" t="s">
        <v>2429</v>
      </c>
      <c r="C396" s="28">
        <v>1</v>
      </c>
      <c r="D396" s="29">
        <v>19</v>
      </c>
      <c r="E396" s="29">
        <v>19</v>
      </c>
      <c r="F396" s="30">
        <v>49.5</v>
      </c>
      <c r="G396" s="29">
        <v>49.5</v>
      </c>
      <c r="H396" s="28" t="s">
        <v>978</v>
      </c>
      <c r="I396" s="27" t="s">
        <v>20</v>
      </c>
      <c r="J396" s="31" t="s">
        <v>5</v>
      </c>
      <c r="K396" s="27" t="s">
        <v>17</v>
      </c>
      <c r="L396" s="27" t="s">
        <v>18</v>
      </c>
      <c r="M396" s="32"/>
    </row>
    <row r="397" spans="1:13" ht="15.2" customHeight="1" x14ac:dyDescent="0.2">
      <c r="A397" s="26" t="s">
        <v>5509</v>
      </c>
      <c r="B397" s="27" t="s">
        <v>5510</v>
      </c>
      <c r="C397" s="28">
        <v>1</v>
      </c>
      <c r="D397" s="29">
        <v>19</v>
      </c>
      <c r="E397" s="29">
        <v>19</v>
      </c>
      <c r="F397" s="30">
        <v>49.5</v>
      </c>
      <c r="G397" s="29">
        <v>49.5</v>
      </c>
      <c r="H397" s="28" t="s">
        <v>978</v>
      </c>
      <c r="I397" s="27" t="s">
        <v>20</v>
      </c>
      <c r="J397" s="31" t="s">
        <v>21</v>
      </c>
      <c r="K397" s="27" t="s">
        <v>17</v>
      </c>
      <c r="L397" s="27" t="s">
        <v>18</v>
      </c>
      <c r="M397" s="32"/>
    </row>
    <row r="398" spans="1:13" ht="15.2" customHeight="1" x14ac:dyDescent="0.2">
      <c r="A398" s="26" t="s">
        <v>2430</v>
      </c>
      <c r="B398" s="27" t="s">
        <v>2431</v>
      </c>
      <c r="C398" s="28">
        <v>1</v>
      </c>
      <c r="D398" s="29">
        <v>19</v>
      </c>
      <c r="E398" s="29">
        <v>19</v>
      </c>
      <c r="F398" s="30">
        <v>49.5</v>
      </c>
      <c r="G398" s="29">
        <v>49.5</v>
      </c>
      <c r="H398" s="28" t="s">
        <v>1614</v>
      </c>
      <c r="I398" s="27" t="s">
        <v>215</v>
      </c>
      <c r="J398" s="31" t="s">
        <v>71</v>
      </c>
      <c r="K398" s="27" t="s">
        <v>17</v>
      </c>
      <c r="L398" s="27" t="s">
        <v>18</v>
      </c>
      <c r="M398" s="32"/>
    </row>
    <row r="399" spans="1:13" ht="15.2" customHeight="1" x14ac:dyDescent="0.2">
      <c r="A399" s="26" t="s">
        <v>7267</v>
      </c>
      <c r="B399" s="27" t="s">
        <v>7268</v>
      </c>
      <c r="C399" s="28">
        <v>1</v>
      </c>
      <c r="D399" s="29">
        <v>19</v>
      </c>
      <c r="E399" s="29">
        <v>19</v>
      </c>
      <c r="F399" s="30">
        <v>49.5</v>
      </c>
      <c r="G399" s="29">
        <v>49.5</v>
      </c>
      <c r="H399" s="28" t="s">
        <v>978</v>
      </c>
      <c r="I399" s="27" t="s">
        <v>20</v>
      </c>
      <c r="J399" s="31" t="s">
        <v>40</v>
      </c>
      <c r="K399" s="27" t="s">
        <v>17</v>
      </c>
      <c r="L399" s="27" t="s">
        <v>18</v>
      </c>
      <c r="M399" s="32"/>
    </row>
    <row r="400" spans="1:13" ht="15.2" customHeight="1" x14ac:dyDescent="0.2">
      <c r="A400" s="26" t="s">
        <v>9892</v>
      </c>
      <c r="B400" s="27" t="s">
        <v>1616</v>
      </c>
      <c r="C400" s="28">
        <v>1</v>
      </c>
      <c r="D400" s="29">
        <v>18.75</v>
      </c>
      <c r="E400" s="29">
        <v>18.75</v>
      </c>
      <c r="F400" s="30">
        <v>59</v>
      </c>
      <c r="G400" s="29">
        <v>59</v>
      </c>
      <c r="H400" s="28" t="s">
        <v>1127</v>
      </c>
      <c r="I400" s="27" t="s">
        <v>36</v>
      </c>
      <c r="J400" s="31"/>
      <c r="K400" s="27" t="s">
        <v>37</v>
      </c>
      <c r="L400" s="27" t="s">
        <v>38</v>
      </c>
      <c r="M400" s="32"/>
    </row>
    <row r="401" spans="1:13" ht="15.2" customHeight="1" x14ac:dyDescent="0.2">
      <c r="A401" s="26" t="s">
        <v>4513</v>
      </c>
      <c r="B401" s="27" t="s">
        <v>1616</v>
      </c>
      <c r="C401" s="28">
        <v>1</v>
      </c>
      <c r="D401" s="29">
        <v>18.75</v>
      </c>
      <c r="E401" s="29">
        <v>18.75</v>
      </c>
      <c r="F401" s="30">
        <v>59</v>
      </c>
      <c r="G401" s="29">
        <v>59</v>
      </c>
      <c r="H401" s="28" t="s">
        <v>1127</v>
      </c>
      <c r="I401" s="27" t="s">
        <v>36</v>
      </c>
      <c r="J401" s="31"/>
      <c r="K401" s="27" t="s">
        <v>37</v>
      </c>
      <c r="L401" s="27" t="s">
        <v>38</v>
      </c>
      <c r="M401" s="32"/>
    </row>
    <row r="402" spans="1:13" ht="15.2" customHeight="1" x14ac:dyDescent="0.2">
      <c r="A402" s="26" t="s">
        <v>10983</v>
      </c>
      <c r="B402" s="27" t="s">
        <v>10984</v>
      </c>
      <c r="C402" s="28">
        <v>1</v>
      </c>
      <c r="D402" s="29">
        <v>17</v>
      </c>
      <c r="E402" s="29">
        <v>17</v>
      </c>
      <c r="F402" s="30">
        <v>42.99</v>
      </c>
      <c r="G402" s="29">
        <v>42.99</v>
      </c>
      <c r="H402" s="28">
        <v>1160264</v>
      </c>
      <c r="I402" s="27" t="s">
        <v>4</v>
      </c>
      <c r="J402" s="31" t="s">
        <v>40</v>
      </c>
      <c r="K402" s="27" t="s">
        <v>70</v>
      </c>
      <c r="L402" s="27" t="s">
        <v>155</v>
      </c>
      <c r="M402" s="32"/>
    </row>
    <row r="403" spans="1:13" ht="15.2" customHeight="1" x14ac:dyDescent="0.2">
      <c r="A403" s="26" t="s">
        <v>7823</v>
      </c>
      <c r="B403" s="27" t="s">
        <v>7824</v>
      </c>
      <c r="C403" s="28">
        <v>1</v>
      </c>
      <c r="D403" s="29">
        <v>17</v>
      </c>
      <c r="E403" s="29">
        <v>17</v>
      </c>
      <c r="F403" s="30">
        <v>44.5</v>
      </c>
      <c r="G403" s="29">
        <v>44.5</v>
      </c>
      <c r="H403" s="28" t="s">
        <v>7822</v>
      </c>
      <c r="I403" s="27" t="s">
        <v>215</v>
      </c>
      <c r="J403" s="31" t="s">
        <v>21</v>
      </c>
      <c r="K403" s="27" t="s">
        <v>17</v>
      </c>
      <c r="L403" s="27" t="s">
        <v>18</v>
      </c>
      <c r="M403" s="32"/>
    </row>
    <row r="404" spans="1:13" ht="15.2" customHeight="1" x14ac:dyDescent="0.2">
      <c r="A404" s="26" t="s">
        <v>10985</v>
      </c>
      <c r="B404" s="27" t="s">
        <v>10986</v>
      </c>
      <c r="C404" s="28">
        <v>1</v>
      </c>
      <c r="D404" s="29">
        <v>17</v>
      </c>
      <c r="E404" s="29">
        <v>17</v>
      </c>
      <c r="F404" s="30">
        <v>42.99</v>
      </c>
      <c r="G404" s="29">
        <v>42.99</v>
      </c>
      <c r="H404" s="28">
        <v>1158265</v>
      </c>
      <c r="I404" s="27" t="s">
        <v>248</v>
      </c>
      <c r="J404" s="31" t="s">
        <v>5</v>
      </c>
      <c r="K404" s="27" t="s">
        <v>70</v>
      </c>
      <c r="L404" s="27" t="s">
        <v>155</v>
      </c>
      <c r="M404" s="32"/>
    </row>
    <row r="405" spans="1:13" ht="15.2" customHeight="1" x14ac:dyDescent="0.2">
      <c r="A405" s="26" t="s">
        <v>7606</v>
      </c>
      <c r="B405" s="27" t="s">
        <v>7607</v>
      </c>
      <c r="C405" s="28">
        <v>1</v>
      </c>
      <c r="D405" s="29">
        <v>17</v>
      </c>
      <c r="E405" s="29">
        <v>17</v>
      </c>
      <c r="F405" s="30">
        <v>59</v>
      </c>
      <c r="G405" s="29">
        <v>59</v>
      </c>
      <c r="H405" s="28" t="s">
        <v>2003</v>
      </c>
      <c r="I405" s="27" t="s">
        <v>36</v>
      </c>
      <c r="J405" s="31" t="s">
        <v>5</v>
      </c>
      <c r="K405" s="27" t="s">
        <v>24</v>
      </c>
      <c r="L405" s="27" t="s">
        <v>128</v>
      </c>
      <c r="M405" s="32"/>
    </row>
    <row r="406" spans="1:13" ht="15.2" customHeight="1" x14ac:dyDescent="0.2">
      <c r="A406" s="26" t="s">
        <v>8428</v>
      </c>
      <c r="B406" s="27" t="s">
        <v>2011</v>
      </c>
      <c r="C406" s="28">
        <v>1</v>
      </c>
      <c r="D406" s="29">
        <v>15.8</v>
      </c>
      <c r="E406" s="29">
        <v>15.8</v>
      </c>
      <c r="F406" s="30">
        <v>39.5</v>
      </c>
      <c r="G406" s="29">
        <v>39.5</v>
      </c>
      <c r="H406" s="28" t="s">
        <v>2012</v>
      </c>
      <c r="I406" s="27" t="s">
        <v>36</v>
      </c>
      <c r="J406" s="31" t="s">
        <v>40</v>
      </c>
      <c r="K406" s="27" t="s">
        <v>27</v>
      </c>
      <c r="L406" s="27" t="s">
        <v>28</v>
      </c>
      <c r="M406" s="32"/>
    </row>
    <row r="407" spans="1:13" ht="15.2" customHeight="1" x14ac:dyDescent="0.2">
      <c r="A407" s="26" t="s">
        <v>10987</v>
      </c>
      <c r="B407" s="27" t="s">
        <v>10988</v>
      </c>
      <c r="C407" s="28">
        <v>1</v>
      </c>
      <c r="D407" s="29">
        <v>15</v>
      </c>
      <c r="E407" s="29">
        <v>15</v>
      </c>
      <c r="F407" s="30">
        <v>59</v>
      </c>
      <c r="G407" s="29">
        <v>59</v>
      </c>
      <c r="H407" s="28" t="s">
        <v>10989</v>
      </c>
      <c r="I407" s="27" t="s">
        <v>10</v>
      </c>
      <c r="J407" s="31" t="s">
        <v>69</v>
      </c>
      <c r="K407" s="27" t="s">
        <v>24</v>
      </c>
      <c r="L407" s="27" t="s">
        <v>1079</v>
      </c>
      <c r="M407" s="32"/>
    </row>
    <row r="408" spans="1:13" ht="15.2" customHeight="1" x14ac:dyDescent="0.2">
      <c r="A408" s="26" t="s">
        <v>10990</v>
      </c>
      <c r="B408" s="27" t="s">
        <v>1639</v>
      </c>
      <c r="C408" s="28">
        <v>1</v>
      </c>
      <c r="D408" s="29">
        <v>14.55</v>
      </c>
      <c r="E408" s="29">
        <v>14.55</v>
      </c>
      <c r="F408" s="30">
        <v>39.5</v>
      </c>
      <c r="G408" s="29">
        <v>39.5</v>
      </c>
      <c r="H408" s="28" t="s">
        <v>1640</v>
      </c>
      <c r="I408" s="27" t="s">
        <v>82</v>
      </c>
      <c r="J408" s="31" t="s">
        <v>65</v>
      </c>
      <c r="K408" s="27" t="s">
        <v>41</v>
      </c>
      <c r="L408" s="27" t="s">
        <v>76</v>
      </c>
      <c r="M408" s="32"/>
    </row>
    <row r="409" spans="1:13" ht="15.2" customHeight="1" x14ac:dyDescent="0.2">
      <c r="A409" s="26" t="s">
        <v>10304</v>
      </c>
      <c r="B409" s="27" t="s">
        <v>549</v>
      </c>
      <c r="C409" s="28">
        <v>1</v>
      </c>
      <c r="D409" s="29">
        <v>14.4</v>
      </c>
      <c r="E409" s="29">
        <v>14.4</v>
      </c>
      <c r="F409" s="30">
        <v>39.5</v>
      </c>
      <c r="G409" s="29">
        <v>39.5</v>
      </c>
      <c r="H409" s="28" t="s">
        <v>550</v>
      </c>
      <c r="I409" s="27" t="s">
        <v>4</v>
      </c>
      <c r="J409" s="31" t="s">
        <v>65</v>
      </c>
      <c r="K409" s="27" t="s">
        <v>41</v>
      </c>
      <c r="L409" s="27" t="s">
        <v>45</v>
      </c>
      <c r="M409" s="32"/>
    </row>
    <row r="410" spans="1:13" ht="15.2" customHeight="1" x14ac:dyDescent="0.2">
      <c r="A410" s="26" t="s">
        <v>10991</v>
      </c>
      <c r="B410" s="27" t="s">
        <v>2468</v>
      </c>
      <c r="C410" s="28">
        <v>1</v>
      </c>
      <c r="D410" s="29">
        <v>13.5</v>
      </c>
      <c r="E410" s="29">
        <v>13.5</v>
      </c>
      <c r="F410" s="30">
        <v>29.99</v>
      </c>
      <c r="G410" s="29">
        <v>29.99</v>
      </c>
      <c r="H410" s="28" t="s">
        <v>1190</v>
      </c>
      <c r="I410" s="27" t="s">
        <v>690</v>
      </c>
      <c r="J410" s="31" t="s">
        <v>214</v>
      </c>
      <c r="K410" s="27" t="s">
        <v>200</v>
      </c>
      <c r="L410" s="27" t="s">
        <v>287</v>
      </c>
      <c r="M410" s="32"/>
    </row>
    <row r="411" spans="1:13" ht="15.2" customHeight="1" x14ac:dyDescent="0.2">
      <c r="A411" s="26" t="s">
        <v>10992</v>
      </c>
      <c r="B411" s="27" t="s">
        <v>9472</v>
      </c>
      <c r="C411" s="28">
        <v>1</v>
      </c>
      <c r="D411" s="29">
        <v>13</v>
      </c>
      <c r="E411" s="29">
        <v>13</v>
      </c>
      <c r="F411" s="30">
        <v>29.99</v>
      </c>
      <c r="G411" s="29">
        <v>29.99</v>
      </c>
      <c r="H411" s="28">
        <v>32069</v>
      </c>
      <c r="I411" s="27" t="s">
        <v>29</v>
      </c>
      <c r="J411" s="31" t="s">
        <v>205</v>
      </c>
      <c r="K411" s="27" t="s">
        <v>200</v>
      </c>
      <c r="L411" s="27" t="s">
        <v>747</v>
      </c>
      <c r="M411" s="32"/>
    </row>
    <row r="412" spans="1:13" ht="15.2" customHeight="1" x14ac:dyDescent="0.2">
      <c r="A412" s="26" t="s">
        <v>1021</v>
      </c>
      <c r="B412" s="27" t="s">
        <v>1022</v>
      </c>
      <c r="C412" s="28">
        <v>1</v>
      </c>
      <c r="D412" s="29">
        <v>12.65</v>
      </c>
      <c r="E412" s="29">
        <v>12.65</v>
      </c>
      <c r="F412" s="30">
        <v>29</v>
      </c>
      <c r="G412" s="29">
        <v>29</v>
      </c>
      <c r="H412" s="28" t="s">
        <v>1020</v>
      </c>
      <c r="I412" s="27" t="s">
        <v>29</v>
      </c>
      <c r="J412" s="31" t="s">
        <v>210</v>
      </c>
      <c r="K412" s="27" t="s">
        <v>200</v>
      </c>
      <c r="L412" s="27" t="s">
        <v>765</v>
      </c>
      <c r="M412" s="32"/>
    </row>
    <row r="413" spans="1:13" ht="15.2" customHeight="1" x14ac:dyDescent="0.2">
      <c r="A413" s="26" t="s">
        <v>7704</v>
      </c>
      <c r="B413" s="27" t="s">
        <v>7705</v>
      </c>
      <c r="C413" s="28">
        <v>1</v>
      </c>
      <c r="D413" s="29">
        <v>12.65</v>
      </c>
      <c r="E413" s="29">
        <v>12.65</v>
      </c>
      <c r="F413" s="30">
        <v>29</v>
      </c>
      <c r="G413" s="29">
        <v>29</v>
      </c>
      <c r="H413" s="28" t="s">
        <v>1020</v>
      </c>
      <c r="I413" s="27" t="s">
        <v>29</v>
      </c>
      <c r="J413" s="31" t="s">
        <v>69</v>
      </c>
      <c r="K413" s="27" t="s">
        <v>200</v>
      </c>
      <c r="L413" s="27" t="s">
        <v>765</v>
      </c>
      <c r="M413" s="32"/>
    </row>
    <row r="414" spans="1:13" ht="15.2" customHeight="1" x14ac:dyDescent="0.2">
      <c r="A414" s="26" t="s">
        <v>10343</v>
      </c>
      <c r="B414" s="27" t="s">
        <v>10344</v>
      </c>
      <c r="C414" s="28">
        <v>1</v>
      </c>
      <c r="D414" s="29">
        <v>12.5</v>
      </c>
      <c r="E414" s="29">
        <v>12.5</v>
      </c>
      <c r="F414" s="30">
        <v>34.99</v>
      </c>
      <c r="G414" s="29">
        <v>34.99</v>
      </c>
      <c r="H414" s="28" t="s">
        <v>10345</v>
      </c>
      <c r="I414" s="27" t="s">
        <v>29</v>
      </c>
      <c r="J414" s="31" t="s">
        <v>69</v>
      </c>
      <c r="K414" s="27" t="s">
        <v>200</v>
      </c>
      <c r="L414" s="27" t="s">
        <v>287</v>
      </c>
      <c r="M414" s="32"/>
    </row>
    <row r="415" spans="1:13" ht="15.2" customHeight="1" x14ac:dyDescent="0.2">
      <c r="A415" s="26" t="s">
        <v>10993</v>
      </c>
      <c r="B415" s="27" t="s">
        <v>10994</v>
      </c>
      <c r="C415" s="28">
        <v>1</v>
      </c>
      <c r="D415" s="29">
        <v>12.08</v>
      </c>
      <c r="E415" s="29">
        <v>12.08</v>
      </c>
      <c r="F415" s="30">
        <v>27.99</v>
      </c>
      <c r="G415" s="29">
        <v>27.99</v>
      </c>
      <c r="H415" s="28" t="s">
        <v>558</v>
      </c>
      <c r="I415" s="27" t="s">
        <v>280</v>
      </c>
      <c r="J415" s="31" t="s">
        <v>21</v>
      </c>
      <c r="K415" s="27" t="s">
        <v>224</v>
      </c>
      <c r="L415" s="27" t="s">
        <v>237</v>
      </c>
      <c r="M415" s="32"/>
    </row>
    <row r="416" spans="1:13" ht="15.2" customHeight="1" x14ac:dyDescent="0.2">
      <c r="A416" s="26" t="s">
        <v>9844</v>
      </c>
      <c r="B416" s="27" t="s">
        <v>9845</v>
      </c>
      <c r="C416" s="28">
        <v>1</v>
      </c>
      <c r="D416" s="29">
        <v>12</v>
      </c>
      <c r="E416" s="29">
        <v>12</v>
      </c>
      <c r="F416" s="30">
        <v>28.99</v>
      </c>
      <c r="G416" s="29">
        <v>28.99</v>
      </c>
      <c r="H416" s="28" t="s">
        <v>3578</v>
      </c>
      <c r="I416" s="27" t="s">
        <v>4</v>
      </c>
      <c r="J416" s="31" t="s">
        <v>5</v>
      </c>
      <c r="K416" s="27" t="s">
        <v>70</v>
      </c>
      <c r="L416" s="27" t="s">
        <v>1079</v>
      </c>
      <c r="M416" s="32"/>
    </row>
    <row r="417" spans="1:13" ht="15.2" customHeight="1" x14ac:dyDescent="0.2">
      <c r="A417" s="26" t="s">
        <v>10995</v>
      </c>
      <c r="B417" s="27" t="s">
        <v>10996</v>
      </c>
      <c r="C417" s="28">
        <v>1</v>
      </c>
      <c r="D417" s="29">
        <v>11.5</v>
      </c>
      <c r="E417" s="29">
        <v>11.5</v>
      </c>
      <c r="F417" s="30">
        <v>25.99</v>
      </c>
      <c r="G417" s="29">
        <v>25.99</v>
      </c>
      <c r="H417" s="28" t="s">
        <v>229</v>
      </c>
      <c r="I417" s="27" t="s">
        <v>343</v>
      </c>
      <c r="J417" s="31" t="s">
        <v>210</v>
      </c>
      <c r="K417" s="27" t="s">
        <v>200</v>
      </c>
      <c r="L417" s="27" t="s">
        <v>133</v>
      </c>
      <c r="M417" s="32"/>
    </row>
    <row r="418" spans="1:13" ht="15.2" customHeight="1" x14ac:dyDescent="0.2">
      <c r="A418" s="26" t="s">
        <v>10997</v>
      </c>
      <c r="B418" s="27" t="s">
        <v>10998</v>
      </c>
      <c r="C418" s="28">
        <v>1</v>
      </c>
      <c r="D418" s="29">
        <v>11.5</v>
      </c>
      <c r="E418" s="29">
        <v>11.5</v>
      </c>
      <c r="F418" s="30">
        <v>25.99</v>
      </c>
      <c r="G418" s="29">
        <v>25.99</v>
      </c>
      <c r="H418" s="28" t="s">
        <v>229</v>
      </c>
      <c r="I418" s="27" t="s">
        <v>343</v>
      </c>
      <c r="J418" s="31" t="s">
        <v>23</v>
      </c>
      <c r="K418" s="27" t="s">
        <v>200</v>
      </c>
      <c r="L418" s="27" t="s">
        <v>133</v>
      </c>
      <c r="M418" s="32"/>
    </row>
    <row r="419" spans="1:13" ht="15.2" customHeight="1" x14ac:dyDescent="0.2">
      <c r="A419" s="26" t="s">
        <v>10208</v>
      </c>
      <c r="B419" s="27" t="s">
        <v>10209</v>
      </c>
      <c r="C419" s="28">
        <v>1</v>
      </c>
      <c r="D419" s="29">
        <v>11.5</v>
      </c>
      <c r="E419" s="29">
        <v>11.5</v>
      </c>
      <c r="F419" s="30">
        <v>25.99</v>
      </c>
      <c r="G419" s="29">
        <v>25.99</v>
      </c>
      <c r="H419" s="28" t="s">
        <v>229</v>
      </c>
      <c r="I419" s="27" t="s">
        <v>343</v>
      </c>
      <c r="J419" s="31" t="s">
        <v>234</v>
      </c>
      <c r="K419" s="27" t="s">
        <v>200</v>
      </c>
      <c r="L419" s="27" t="s">
        <v>133</v>
      </c>
      <c r="M419" s="32"/>
    </row>
    <row r="420" spans="1:13" ht="15.2" customHeight="1" x14ac:dyDescent="0.2">
      <c r="A420" s="26" t="s">
        <v>9894</v>
      </c>
      <c r="B420" s="27" t="s">
        <v>6702</v>
      </c>
      <c r="C420" s="28">
        <v>1</v>
      </c>
      <c r="D420" s="29">
        <v>11.5</v>
      </c>
      <c r="E420" s="29">
        <v>11.5</v>
      </c>
      <c r="F420" s="30">
        <v>39</v>
      </c>
      <c r="G420" s="29">
        <v>39</v>
      </c>
      <c r="H420" s="28" t="s">
        <v>6703</v>
      </c>
      <c r="I420" s="27"/>
      <c r="J420" s="31" t="s">
        <v>40</v>
      </c>
      <c r="K420" s="27" t="s">
        <v>154</v>
      </c>
      <c r="L420" s="27" t="s">
        <v>155</v>
      </c>
      <c r="M420" s="32"/>
    </row>
    <row r="421" spans="1:13" ht="15.2" customHeight="1" x14ac:dyDescent="0.2">
      <c r="A421" s="26" t="s">
        <v>2766</v>
      </c>
      <c r="B421" s="27" t="s">
        <v>2767</v>
      </c>
      <c r="C421" s="28">
        <v>1</v>
      </c>
      <c r="D421" s="29">
        <v>10.5</v>
      </c>
      <c r="E421" s="29">
        <v>10.5</v>
      </c>
      <c r="F421" s="30">
        <v>24.99</v>
      </c>
      <c r="G421" s="29">
        <v>24.99</v>
      </c>
      <c r="H421" s="28" t="s">
        <v>1043</v>
      </c>
      <c r="I421" s="27" t="s">
        <v>238</v>
      </c>
      <c r="J421" s="31" t="s">
        <v>40</v>
      </c>
      <c r="K421" s="27" t="s">
        <v>224</v>
      </c>
      <c r="L421" s="27" t="s">
        <v>239</v>
      </c>
      <c r="M421" s="32"/>
    </row>
    <row r="422" spans="1:13" ht="15.2" customHeight="1" x14ac:dyDescent="0.2">
      <c r="A422" s="26" t="s">
        <v>10999</v>
      </c>
      <c r="B422" s="27" t="s">
        <v>11000</v>
      </c>
      <c r="C422" s="28">
        <v>1</v>
      </c>
      <c r="D422" s="29">
        <v>10.5</v>
      </c>
      <c r="E422" s="29">
        <v>10.5</v>
      </c>
      <c r="F422" s="30">
        <v>25.99</v>
      </c>
      <c r="G422" s="29">
        <v>25.99</v>
      </c>
      <c r="H422" s="28" t="s">
        <v>1656</v>
      </c>
      <c r="I422" s="27"/>
      <c r="J422" s="31" t="s">
        <v>21</v>
      </c>
      <c r="K422" s="27" t="s">
        <v>200</v>
      </c>
      <c r="L422" s="27" t="s">
        <v>243</v>
      </c>
      <c r="M422" s="32"/>
    </row>
    <row r="423" spans="1:13" ht="15.2" customHeight="1" x14ac:dyDescent="0.2">
      <c r="A423" s="26" t="s">
        <v>11001</v>
      </c>
      <c r="B423" s="27" t="s">
        <v>1655</v>
      </c>
      <c r="C423" s="28">
        <v>1</v>
      </c>
      <c r="D423" s="29">
        <v>10.5</v>
      </c>
      <c r="E423" s="29">
        <v>10.5</v>
      </c>
      <c r="F423" s="30">
        <v>25.99</v>
      </c>
      <c r="G423" s="29">
        <v>25.99</v>
      </c>
      <c r="H423" s="28" t="s">
        <v>1656</v>
      </c>
      <c r="I423" s="27"/>
      <c r="J423" s="31" t="s">
        <v>5</v>
      </c>
      <c r="K423" s="27" t="s">
        <v>200</v>
      </c>
      <c r="L423" s="27" t="s">
        <v>243</v>
      </c>
      <c r="M423" s="32"/>
    </row>
    <row r="424" spans="1:13" ht="15.2" customHeight="1" x14ac:dyDescent="0.2">
      <c r="A424" s="26" t="s">
        <v>11002</v>
      </c>
      <c r="B424" s="27" t="s">
        <v>1655</v>
      </c>
      <c r="C424" s="28">
        <v>1</v>
      </c>
      <c r="D424" s="29">
        <v>10.5</v>
      </c>
      <c r="E424" s="29">
        <v>10.5</v>
      </c>
      <c r="F424" s="30">
        <v>25.99</v>
      </c>
      <c r="G424" s="29">
        <v>25.99</v>
      </c>
      <c r="H424" s="28" t="s">
        <v>1656</v>
      </c>
      <c r="I424" s="27"/>
      <c r="J424" s="31" t="s">
        <v>21</v>
      </c>
      <c r="K424" s="27" t="s">
        <v>200</v>
      </c>
      <c r="L424" s="27" t="s">
        <v>243</v>
      </c>
      <c r="M424" s="32"/>
    </row>
    <row r="425" spans="1:13" ht="15.2" customHeight="1" x14ac:dyDescent="0.2">
      <c r="A425" s="26" t="s">
        <v>1654</v>
      </c>
      <c r="B425" s="27" t="s">
        <v>1655</v>
      </c>
      <c r="C425" s="28">
        <v>2</v>
      </c>
      <c r="D425" s="29">
        <v>10.5</v>
      </c>
      <c r="E425" s="29">
        <v>21</v>
      </c>
      <c r="F425" s="30">
        <v>25.99</v>
      </c>
      <c r="G425" s="29">
        <v>51.98</v>
      </c>
      <c r="H425" s="28" t="s">
        <v>1656</v>
      </c>
      <c r="I425" s="27"/>
      <c r="J425" s="31" t="s">
        <v>40</v>
      </c>
      <c r="K425" s="27" t="s">
        <v>200</v>
      </c>
      <c r="L425" s="27" t="s">
        <v>243</v>
      </c>
      <c r="M425" s="32"/>
    </row>
    <row r="426" spans="1:13" ht="15.2" customHeight="1" x14ac:dyDescent="0.2">
      <c r="A426" s="26" t="s">
        <v>11003</v>
      </c>
      <c r="B426" s="27" t="s">
        <v>8872</v>
      </c>
      <c r="C426" s="28">
        <v>2</v>
      </c>
      <c r="D426" s="29">
        <v>10.5</v>
      </c>
      <c r="E426" s="29">
        <v>21</v>
      </c>
      <c r="F426" s="30">
        <v>39</v>
      </c>
      <c r="G426" s="29">
        <v>78</v>
      </c>
      <c r="H426" s="28" t="s">
        <v>8873</v>
      </c>
      <c r="I426" s="27" t="s">
        <v>4</v>
      </c>
      <c r="J426" s="31" t="s">
        <v>5</v>
      </c>
      <c r="K426" s="27" t="s">
        <v>154</v>
      </c>
      <c r="L426" s="27" t="s">
        <v>155</v>
      </c>
      <c r="M426" s="32"/>
    </row>
    <row r="427" spans="1:13" ht="15.2" customHeight="1" x14ac:dyDescent="0.2">
      <c r="A427" s="26" t="s">
        <v>11004</v>
      </c>
      <c r="B427" s="27" t="s">
        <v>1658</v>
      </c>
      <c r="C427" s="28">
        <v>1</v>
      </c>
      <c r="D427" s="29">
        <v>9.6199999999999992</v>
      </c>
      <c r="E427" s="29">
        <v>9.6199999999999992</v>
      </c>
      <c r="F427" s="30">
        <v>26</v>
      </c>
      <c r="G427" s="29">
        <v>26</v>
      </c>
      <c r="H427" s="28" t="s">
        <v>1659</v>
      </c>
      <c r="I427" s="27" t="s">
        <v>82</v>
      </c>
      <c r="J427" s="31" t="s">
        <v>71</v>
      </c>
      <c r="K427" s="27" t="s">
        <v>989</v>
      </c>
      <c r="L427" s="27" t="s">
        <v>990</v>
      </c>
      <c r="M427" s="32"/>
    </row>
    <row r="428" spans="1:13" ht="15.2" customHeight="1" x14ac:dyDescent="0.2">
      <c r="A428" s="26" t="s">
        <v>9947</v>
      </c>
      <c r="B428" s="27" t="s">
        <v>1660</v>
      </c>
      <c r="C428" s="28">
        <v>1</v>
      </c>
      <c r="D428" s="29">
        <v>9.6199999999999992</v>
      </c>
      <c r="E428" s="29">
        <v>9.6199999999999992</v>
      </c>
      <c r="F428" s="30">
        <v>26</v>
      </c>
      <c r="G428" s="29">
        <v>26</v>
      </c>
      <c r="H428" s="28" t="s">
        <v>1661</v>
      </c>
      <c r="I428" s="27" t="s">
        <v>36</v>
      </c>
      <c r="J428" s="31" t="s">
        <v>40</v>
      </c>
      <c r="K428" s="27" t="s">
        <v>989</v>
      </c>
      <c r="L428" s="27" t="s">
        <v>990</v>
      </c>
      <c r="M428" s="32"/>
    </row>
    <row r="429" spans="1:13" ht="15.2" customHeight="1" x14ac:dyDescent="0.2">
      <c r="A429" s="26" t="s">
        <v>11005</v>
      </c>
      <c r="B429" s="27" t="s">
        <v>11006</v>
      </c>
      <c r="C429" s="28">
        <v>1</v>
      </c>
      <c r="D429" s="29">
        <v>9</v>
      </c>
      <c r="E429" s="29">
        <v>9</v>
      </c>
      <c r="F429" s="30">
        <v>22.99</v>
      </c>
      <c r="G429" s="29">
        <v>22.99</v>
      </c>
      <c r="H429" s="28" t="s">
        <v>10216</v>
      </c>
      <c r="I429" s="27" t="s">
        <v>10</v>
      </c>
      <c r="J429" s="31" t="s">
        <v>40</v>
      </c>
      <c r="K429" s="27" t="s">
        <v>200</v>
      </c>
      <c r="L429" s="27" t="s">
        <v>243</v>
      </c>
      <c r="M429" s="32"/>
    </row>
    <row r="430" spans="1:13" ht="15.2" customHeight="1" x14ac:dyDescent="0.2">
      <c r="A430" s="26" t="s">
        <v>1681</v>
      </c>
      <c r="B430" s="27" t="s">
        <v>1682</v>
      </c>
      <c r="C430" s="28">
        <v>1</v>
      </c>
      <c r="D430" s="29">
        <v>8.25</v>
      </c>
      <c r="E430" s="29">
        <v>8.25</v>
      </c>
      <c r="F430" s="30">
        <v>22.99</v>
      </c>
      <c r="G430" s="29">
        <v>22.99</v>
      </c>
      <c r="H430" s="28" t="s">
        <v>1680</v>
      </c>
      <c r="I430" s="27" t="s">
        <v>1</v>
      </c>
      <c r="J430" s="31" t="s">
        <v>69</v>
      </c>
      <c r="K430" s="27" t="s">
        <v>200</v>
      </c>
      <c r="L430" s="27" t="s">
        <v>1201</v>
      </c>
      <c r="M430" s="32"/>
    </row>
    <row r="431" spans="1:13" ht="15.2" customHeight="1" x14ac:dyDescent="0.2">
      <c r="A431" s="26" t="s">
        <v>1685</v>
      </c>
      <c r="B431" s="27" t="s">
        <v>1686</v>
      </c>
      <c r="C431" s="28">
        <v>1</v>
      </c>
      <c r="D431" s="29">
        <v>8.25</v>
      </c>
      <c r="E431" s="29">
        <v>8.25</v>
      </c>
      <c r="F431" s="30">
        <v>22.99</v>
      </c>
      <c r="G431" s="29">
        <v>22.99</v>
      </c>
      <c r="H431" s="28" t="s">
        <v>1680</v>
      </c>
      <c r="I431" s="27" t="s">
        <v>1</v>
      </c>
      <c r="J431" s="31" t="s">
        <v>234</v>
      </c>
      <c r="K431" s="27" t="s">
        <v>200</v>
      </c>
      <c r="L431" s="27" t="s">
        <v>1201</v>
      </c>
      <c r="M431" s="32"/>
    </row>
    <row r="432" spans="1:13" ht="15.2" customHeight="1" x14ac:dyDescent="0.2">
      <c r="A432" s="26" t="s">
        <v>11007</v>
      </c>
      <c r="B432" s="27" t="s">
        <v>11008</v>
      </c>
      <c r="C432" s="28">
        <v>1</v>
      </c>
      <c r="D432" s="29">
        <v>8.25</v>
      </c>
      <c r="E432" s="29">
        <v>8.25</v>
      </c>
      <c r="F432" s="30">
        <v>22.99</v>
      </c>
      <c r="G432" s="29">
        <v>22.99</v>
      </c>
      <c r="H432" s="28" t="s">
        <v>1680</v>
      </c>
      <c r="I432" s="27" t="s">
        <v>29</v>
      </c>
      <c r="J432" s="31" t="s">
        <v>230</v>
      </c>
      <c r="K432" s="27" t="s">
        <v>200</v>
      </c>
      <c r="L432" s="27" t="s">
        <v>1201</v>
      </c>
      <c r="M432" s="32"/>
    </row>
    <row r="433" spans="1:13" ht="15.2" customHeight="1" x14ac:dyDescent="0.2">
      <c r="A433" s="26" t="s">
        <v>7476</v>
      </c>
      <c r="B433" s="27" t="s">
        <v>1691</v>
      </c>
      <c r="C433" s="28">
        <v>2</v>
      </c>
      <c r="D433" s="29">
        <v>7.75</v>
      </c>
      <c r="E433" s="29">
        <v>15.5</v>
      </c>
      <c r="F433" s="30">
        <v>19.989999999999998</v>
      </c>
      <c r="G433" s="29">
        <v>39.979999999999997</v>
      </c>
      <c r="H433" s="28" t="s">
        <v>1692</v>
      </c>
      <c r="I433" s="27" t="s">
        <v>26</v>
      </c>
      <c r="J433" s="31" t="s">
        <v>40</v>
      </c>
      <c r="K433" s="27" t="s">
        <v>196</v>
      </c>
      <c r="L433" s="27" t="s">
        <v>256</v>
      </c>
      <c r="M433" s="32"/>
    </row>
    <row r="434" spans="1:13" ht="15.2" customHeight="1" x14ac:dyDescent="0.2">
      <c r="A434" s="26" t="s">
        <v>2526</v>
      </c>
      <c r="B434" s="27" t="s">
        <v>2524</v>
      </c>
      <c r="C434" s="28">
        <v>1</v>
      </c>
      <c r="D434" s="29">
        <v>6.75</v>
      </c>
      <c r="E434" s="29">
        <v>6.75</v>
      </c>
      <c r="F434" s="30">
        <v>16.989999999999998</v>
      </c>
      <c r="G434" s="29">
        <v>16.989999999999998</v>
      </c>
      <c r="H434" s="28" t="s">
        <v>2525</v>
      </c>
      <c r="I434" s="27" t="s">
        <v>26</v>
      </c>
      <c r="J434" s="31" t="s">
        <v>40</v>
      </c>
      <c r="K434" s="27" t="s">
        <v>200</v>
      </c>
      <c r="L434" s="27" t="s">
        <v>260</v>
      </c>
      <c r="M434" s="32"/>
    </row>
    <row r="435" spans="1:13" ht="15.2" customHeight="1" x14ac:dyDescent="0.2">
      <c r="A435" s="26" t="s">
        <v>3092</v>
      </c>
      <c r="B435" s="27" t="s">
        <v>2524</v>
      </c>
      <c r="C435" s="28">
        <v>1</v>
      </c>
      <c r="D435" s="29">
        <v>6.75</v>
      </c>
      <c r="E435" s="29">
        <v>6.75</v>
      </c>
      <c r="F435" s="30">
        <v>16.989999999999998</v>
      </c>
      <c r="G435" s="29">
        <v>16.989999999999998</v>
      </c>
      <c r="H435" s="28" t="s">
        <v>2525</v>
      </c>
      <c r="I435" s="27" t="s">
        <v>26</v>
      </c>
      <c r="J435" s="31" t="s">
        <v>21</v>
      </c>
      <c r="K435" s="27" t="s">
        <v>200</v>
      </c>
      <c r="L435" s="27" t="s">
        <v>260</v>
      </c>
      <c r="M435" s="32"/>
    </row>
    <row r="436" spans="1:13" ht="15.2" customHeight="1" x14ac:dyDescent="0.2">
      <c r="A436" s="26" t="s">
        <v>11009</v>
      </c>
      <c r="B436" s="27" t="s">
        <v>2067</v>
      </c>
      <c r="C436" s="28">
        <v>1</v>
      </c>
      <c r="D436" s="29">
        <v>6.3</v>
      </c>
      <c r="E436" s="29">
        <v>6.3</v>
      </c>
      <c r="F436" s="30">
        <v>14.99</v>
      </c>
      <c r="G436" s="29">
        <v>14.99</v>
      </c>
      <c r="H436" s="28" t="s">
        <v>2068</v>
      </c>
      <c r="I436" s="27" t="s">
        <v>82</v>
      </c>
      <c r="J436" s="31" t="s">
        <v>172</v>
      </c>
      <c r="K436" s="27" t="s">
        <v>159</v>
      </c>
      <c r="L436" s="27" t="s">
        <v>160</v>
      </c>
      <c r="M436" s="32"/>
    </row>
    <row r="437" spans="1:13" ht="15.2" customHeight="1" x14ac:dyDescent="0.2">
      <c r="A437" s="26" t="s">
        <v>11010</v>
      </c>
      <c r="B437" s="27" t="s">
        <v>6753</v>
      </c>
      <c r="C437" s="28">
        <v>1</v>
      </c>
      <c r="D437" s="29">
        <v>6.3</v>
      </c>
      <c r="E437" s="29">
        <v>6.3</v>
      </c>
      <c r="F437" s="30">
        <v>14.99</v>
      </c>
      <c r="G437" s="29">
        <v>14.99</v>
      </c>
      <c r="H437" s="28" t="s">
        <v>6754</v>
      </c>
      <c r="I437" s="27" t="s">
        <v>36</v>
      </c>
      <c r="J437" s="31" t="s">
        <v>40</v>
      </c>
      <c r="K437" s="27" t="s">
        <v>159</v>
      </c>
      <c r="L437" s="27" t="s">
        <v>160</v>
      </c>
      <c r="M437" s="32"/>
    </row>
    <row r="438" spans="1:13" ht="15.2" customHeight="1" x14ac:dyDescent="0.2">
      <c r="A438" s="26" t="s">
        <v>1697</v>
      </c>
      <c r="B438" s="27" t="s">
        <v>1694</v>
      </c>
      <c r="C438" s="28">
        <v>1</v>
      </c>
      <c r="D438" s="29">
        <v>6.3</v>
      </c>
      <c r="E438" s="29">
        <v>6.3</v>
      </c>
      <c r="F438" s="30">
        <v>14.99</v>
      </c>
      <c r="G438" s="29">
        <v>14.99</v>
      </c>
      <c r="H438" s="28" t="s">
        <v>1695</v>
      </c>
      <c r="I438" s="27" t="s">
        <v>4</v>
      </c>
      <c r="J438" s="31" t="s">
        <v>71</v>
      </c>
      <c r="K438" s="27" t="s">
        <v>159</v>
      </c>
      <c r="L438" s="27" t="s">
        <v>160</v>
      </c>
      <c r="M438" s="32"/>
    </row>
    <row r="439" spans="1:13" ht="15.2" customHeight="1" x14ac:dyDescent="0.2">
      <c r="A439" s="26" t="s">
        <v>9846</v>
      </c>
      <c r="B439" s="27" t="s">
        <v>2067</v>
      </c>
      <c r="C439" s="28">
        <v>1</v>
      </c>
      <c r="D439" s="29">
        <v>6.3</v>
      </c>
      <c r="E439" s="29">
        <v>6.3</v>
      </c>
      <c r="F439" s="30">
        <v>14.99</v>
      </c>
      <c r="G439" s="29">
        <v>14.99</v>
      </c>
      <c r="H439" s="28" t="s">
        <v>2068</v>
      </c>
      <c r="I439" s="27" t="s">
        <v>82</v>
      </c>
      <c r="J439" s="31" t="s">
        <v>71</v>
      </c>
      <c r="K439" s="27" t="s">
        <v>159</v>
      </c>
      <c r="L439" s="27" t="s">
        <v>160</v>
      </c>
      <c r="M439" s="32"/>
    </row>
    <row r="440" spans="1:13" ht="15.2" customHeight="1" x14ac:dyDescent="0.2">
      <c r="A440" s="26" t="s">
        <v>2069</v>
      </c>
      <c r="B440" s="27" t="s">
        <v>2070</v>
      </c>
      <c r="C440" s="28">
        <v>1</v>
      </c>
      <c r="D440" s="29">
        <v>6.3</v>
      </c>
      <c r="E440" s="29">
        <v>6.3</v>
      </c>
      <c r="F440" s="30">
        <v>14.99</v>
      </c>
      <c r="G440" s="29">
        <v>14.99</v>
      </c>
      <c r="H440" s="28" t="s">
        <v>2066</v>
      </c>
      <c r="I440" s="27" t="s">
        <v>103</v>
      </c>
      <c r="J440" s="31" t="s">
        <v>40</v>
      </c>
      <c r="K440" s="27" t="s">
        <v>159</v>
      </c>
      <c r="L440" s="27" t="s">
        <v>160</v>
      </c>
      <c r="M440" s="32"/>
    </row>
    <row r="441" spans="1:13" ht="15.2" customHeight="1" x14ac:dyDescent="0.2">
      <c r="A441" s="26" t="s">
        <v>1701</v>
      </c>
      <c r="B441" s="27" t="s">
        <v>1702</v>
      </c>
      <c r="C441" s="28">
        <v>1</v>
      </c>
      <c r="D441" s="29">
        <v>5.75</v>
      </c>
      <c r="E441" s="29">
        <v>5.75</v>
      </c>
      <c r="F441" s="30">
        <v>12.99</v>
      </c>
      <c r="G441" s="29">
        <v>12.99</v>
      </c>
      <c r="H441" s="28" t="s">
        <v>1703</v>
      </c>
      <c r="I441" s="27" t="s">
        <v>248</v>
      </c>
      <c r="J441" s="31" t="s">
        <v>5</v>
      </c>
      <c r="K441" s="27" t="s">
        <v>282</v>
      </c>
      <c r="L441" s="27" t="s">
        <v>386</v>
      </c>
      <c r="M441" s="32"/>
    </row>
    <row r="442" spans="1:13" ht="15.2" customHeight="1" x14ac:dyDescent="0.2">
      <c r="A442" s="26" t="s">
        <v>1710</v>
      </c>
      <c r="B442" s="27" t="s">
        <v>1699</v>
      </c>
      <c r="C442" s="28">
        <v>1</v>
      </c>
      <c r="D442" s="29">
        <v>5.75</v>
      </c>
      <c r="E442" s="29">
        <v>5.75</v>
      </c>
      <c r="F442" s="30">
        <v>12.99</v>
      </c>
      <c r="G442" s="29">
        <v>12.99</v>
      </c>
      <c r="H442" s="28" t="s">
        <v>1700</v>
      </c>
      <c r="I442" s="27" t="s">
        <v>82</v>
      </c>
      <c r="J442" s="31" t="s">
        <v>40</v>
      </c>
      <c r="K442" s="27" t="s">
        <v>282</v>
      </c>
      <c r="L442" s="27" t="s">
        <v>386</v>
      </c>
      <c r="M442" s="32"/>
    </row>
    <row r="443" spans="1:13" ht="15.2" customHeight="1" x14ac:dyDescent="0.2">
      <c r="A443" s="26" t="s">
        <v>1708</v>
      </c>
      <c r="B443" s="27" t="s">
        <v>1702</v>
      </c>
      <c r="C443" s="28">
        <v>1</v>
      </c>
      <c r="D443" s="29">
        <v>5.75</v>
      </c>
      <c r="E443" s="29">
        <v>5.75</v>
      </c>
      <c r="F443" s="30">
        <v>12.99</v>
      </c>
      <c r="G443" s="29">
        <v>12.99</v>
      </c>
      <c r="H443" s="28" t="s">
        <v>1703</v>
      </c>
      <c r="I443" s="27" t="s">
        <v>248</v>
      </c>
      <c r="J443" s="31" t="s">
        <v>40</v>
      </c>
      <c r="K443" s="27" t="s">
        <v>282</v>
      </c>
      <c r="L443" s="27" t="s">
        <v>386</v>
      </c>
      <c r="M443" s="32"/>
    </row>
    <row r="444" spans="1:13" ht="15.2" customHeight="1" x14ac:dyDescent="0.2">
      <c r="A444" s="26" t="s">
        <v>1698</v>
      </c>
      <c r="B444" s="27" t="s">
        <v>1699</v>
      </c>
      <c r="C444" s="28">
        <v>1</v>
      </c>
      <c r="D444" s="29">
        <v>5.75</v>
      </c>
      <c r="E444" s="29">
        <v>5.75</v>
      </c>
      <c r="F444" s="30">
        <v>12.99</v>
      </c>
      <c r="G444" s="29">
        <v>12.99</v>
      </c>
      <c r="H444" s="28" t="s">
        <v>1700</v>
      </c>
      <c r="I444" s="27" t="s">
        <v>82</v>
      </c>
      <c r="J444" s="31" t="s">
        <v>5</v>
      </c>
      <c r="K444" s="27" t="s">
        <v>282</v>
      </c>
      <c r="L444" s="27" t="s">
        <v>386</v>
      </c>
      <c r="M444" s="32"/>
    </row>
    <row r="445" spans="1:13" ht="15.2" customHeight="1" x14ac:dyDescent="0.2">
      <c r="A445" s="26" t="s">
        <v>1704</v>
      </c>
      <c r="B445" s="27" t="s">
        <v>1702</v>
      </c>
      <c r="C445" s="28">
        <v>1</v>
      </c>
      <c r="D445" s="29">
        <v>5.75</v>
      </c>
      <c r="E445" s="29">
        <v>5.75</v>
      </c>
      <c r="F445" s="30">
        <v>12.99</v>
      </c>
      <c r="G445" s="29">
        <v>12.99</v>
      </c>
      <c r="H445" s="28" t="s">
        <v>1703</v>
      </c>
      <c r="I445" s="27" t="s">
        <v>248</v>
      </c>
      <c r="J445" s="31" t="s">
        <v>71</v>
      </c>
      <c r="K445" s="27" t="s">
        <v>282</v>
      </c>
      <c r="L445" s="27" t="s">
        <v>386</v>
      </c>
      <c r="M445" s="32"/>
    </row>
    <row r="446" spans="1:13" ht="15.2" customHeight="1" x14ac:dyDescent="0.2">
      <c r="A446" s="26" t="s">
        <v>2540</v>
      </c>
      <c r="B446" s="27" t="s">
        <v>2537</v>
      </c>
      <c r="C446" s="28">
        <v>1</v>
      </c>
      <c r="D446" s="29">
        <v>5.65</v>
      </c>
      <c r="E446" s="29">
        <v>5.65</v>
      </c>
      <c r="F446" s="30">
        <v>12.99</v>
      </c>
      <c r="G446" s="29">
        <v>12.99</v>
      </c>
      <c r="H446" s="28" t="s">
        <v>2538</v>
      </c>
      <c r="I446" s="27" t="s">
        <v>280</v>
      </c>
      <c r="J446" s="31" t="s">
        <v>5</v>
      </c>
      <c r="K446" s="27" t="s">
        <v>282</v>
      </c>
      <c r="L446" s="27" t="s">
        <v>393</v>
      </c>
      <c r="M446" s="3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424"/>
  <sheetViews>
    <sheetView workbookViewId="0">
      <selection activeCell="B20" sqref="B20"/>
    </sheetView>
  </sheetViews>
  <sheetFormatPr defaultRowHeight="15.2" customHeight="1" x14ac:dyDescent="0.2"/>
  <cols>
    <col min="1" max="1" width="14.85546875" style="1" bestFit="1" customWidth="1"/>
    <col min="2" max="2" width="78.42578125" style="1" bestFit="1" customWidth="1"/>
    <col min="3" max="3" width="6.42578125" style="1" bestFit="1" customWidth="1"/>
    <col min="4" max="4" width="7.5703125" style="1" bestFit="1" customWidth="1"/>
    <col min="5" max="5" width="9.5703125" style="1" bestFit="1" customWidth="1"/>
    <col min="6" max="6" width="8.7109375" style="1" bestFit="1" customWidth="1"/>
    <col min="7" max="7" width="11.140625" style="1" bestFit="1" customWidth="1"/>
    <col min="8" max="8" width="19" style="1" bestFit="1" customWidth="1"/>
    <col min="9" max="9" width="14.7109375" style="1" bestFit="1" customWidth="1"/>
    <col min="10" max="10" width="12.85546875" style="1" bestFit="1" customWidth="1"/>
    <col min="11" max="11" width="19" style="1" bestFit="1" customWidth="1"/>
    <col min="12" max="12" width="43.7109375" style="1" bestFit="1" customWidth="1"/>
    <col min="13" max="13" width="49.42578125" style="1" bestFit="1" customWidth="1"/>
    <col min="14" max="16384" width="9.140625" style="1"/>
  </cols>
  <sheetData>
    <row r="1" spans="1:13" ht="15.2" customHeight="1" x14ac:dyDescent="0.2">
      <c r="A1" s="25" t="s">
        <v>0</v>
      </c>
      <c r="B1" s="25" t="s">
        <v>11929</v>
      </c>
      <c r="C1" s="25" t="s">
        <v>11915</v>
      </c>
      <c r="D1" s="25" t="s">
        <v>11927</v>
      </c>
      <c r="E1" s="25" t="s">
        <v>11928</v>
      </c>
      <c r="F1" s="25" t="s">
        <v>11919</v>
      </c>
      <c r="G1" s="25" t="s">
        <v>11920</v>
      </c>
      <c r="H1" s="25" t="s">
        <v>11921</v>
      </c>
      <c r="I1" s="25" t="s">
        <v>11922</v>
      </c>
      <c r="J1" s="25" t="s">
        <v>11923</v>
      </c>
      <c r="K1" s="25" t="s">
        <v>11924</v>
      </c>
      <c r="L1" s="25" t="s">
        <v>11925</v>
      </c>
      <c r="M1" s="25" t="s">
        <v>11926</v>
      </c>
    </row>
    <row r="2" spans="1:13" ht="15.2" customHeight="1" x14ac:dyDescent="0.2">
      <c r="A2" s="26" t="s">
        <v>8348</v>
      </c>
      <c r="B2" s="27" t="s">
        <v>8349</v>
      </c>
      <c r="C2" s="28">
        <v>1</v>
      </c>
      <c r="D2" s="29">
        <v>64.75</v>
      </c>
      <c r="E2" s="29">
        <v>64.75</v>
      </c>
      <c r="F2" s="30">
        <v>189</v>
      </c>
      <c r="G2" s="29">
        <v>189</v>
      </c>
      <c r="H2" s="28">
        <v>155374</v>
      </c>
      <c r="I2" s="27" t="s">
        <v>59</v>
      </c>
      <c r="J2" s="31" t="s">
        <v>216</v>
      </c>
      <c r="K2" s="27" t="s">
        <v>24</v>
      </c>
      <c r="L2" s="27" t="s">
        <v>1972</v>
      </c>
      <c r="M2" s="32" t="str">
        <f>HYPERLINK("http://slimages.macys.com/is/image/MCY/3800883 ")</f>
        <v xml:space="preserve">http://slimages.macys.com/is/image/MCY/3800883 </v>
      </c>
    </row>
    <row r="3" spans="1:13" ht="15.2" customHeight="1" x14ac:dyDescent="0.2">
      <c r="A3" s="26" t="s">
        <v>11032</v>
      </c>
      <c r="B3" s="27" t="s">
        <v>11033</v>
      </c>
      <c r="C3" s="28">
        <v>1</v>
      </c>
      <c r="D3" s="29">
        <v>63.37</v>
      </c>
      <c r="E3" s="29">
        <v>63.37</v>
      </c>
      <c r="F3" s="30">
        <v>169</v>
      </c>
      <c r="G3" s="29">
        <v>169</v>
      </c>
      <c r="H3" s="28">
        <v>7056505</v>
      </c>
      <c r="I3" s="27" t="s">
        <v>189</v>
      </c>
      <c r="J3" s="31" t="s">
        <v>214</v>
      </c>
      <c r="K3" s="27" t="s">
        <v>462</v>
      </c>
      <c r="L3" s="27" t="s">
        <v>463</v>
      </c>
      <c r="M3" s="32" t="str">
        <f>HYPERLINK("http://slimages.macys.com/is/image/MCY/3751523 ")</f>
        <v xml:space="preserve">http://slimages.macys.com/is/image/MCY/3751523 </v>
      </c>
    </row>
    <row r="4" spans="1:13" ht="15.2" customHeight="1" x14ac:dyDescent="0.2">
      <c r="A4" s="26" t="s">
        <v>11034</v>
      </c>
      <c r="B4" s="27" t="s">
        <v>11035</v>
      </c>
      <c r="C4" s="28">
        <v>1</v>
      </c>
      <c r="D4" s="29">
        <v>63.37</v>
      </c>
      <c r="E4" s="29">
        <v>63.37</v>
      </c>
      <c r="F4" s="30">
        <v>169</v>
      </c>
      <c r="G4" s="29">
        <v>169</v>
      </c>
      <c r="H4" s="28">
        <v>7056505</v>
      </c>
      <c r="I4" s="27" t="s">
        <v>189</v>
      </c>
      <c r="J4" s="31" t="s">
        <v>5815</v>
      </c>
      <c r="K4" s="27" t="s">
        <v>462</v>
      </c>
      <c r="L4" s="27" t="s">
        <v>463</v>
      </c>
      <c r="M4" s="32" t="str">
        <f>HYPERLINK("http://slimages.macys.com/is/image/MCY/3751523 ")</f>
        <v xml:space="preserve">http://slimages.macys.com/is/image/MCY/3751523 </v>
      </c>
    </row>
    <row r="5" spans="1:13" ht="15.2" customHeight="1" x14ac:dyDescent="0.2">
      <c r="A5" s="26" t="s">
        <v>11036</v>
      </c>
      <c r="B5" s="27" t="s">
        <v>11037</v>
      </c>
      <c r="C5" s="28">
        <v>1</v>
      </c>
      <c r="D5" s="29">
        <v>63.37</v>
      </c>
      <c r="E5" s="29">
        <v>63.37</v>
      </c>
      <c r="F5" s="30">
        <v>169</v>
      </c>
      <c r="G5" s="29">
        <v>169</v>
      </c>
      <c r="H5" s="28">
        <v>7056505</v>
      </c>
      <c r="I5" s="27" t="s">
        <v>189</v>
      </c>
      <c r="J5" s="31" t="s">
        <v>8334</v>
      </c>
      <c r="K5" s="27" t="s">
        <v>462</v>
      </c>
      <c r="L5" s="27" t="s">
        <v>463</v>
      </c>
      <c r="M5" s="32" t="str">
        <f>HYPERLINK("http://slimages.macys.com/is/image/MCY/3751523 ")</f>
        <v xml:space="preserve">http://slimages.macys.com/is/image/MCY/3751523 </v>
      </c>
    </row>
    <row r="6" spans="1:13" ht="15.2" customHeight="1" x14ac:dyDescent="0.2">
      <c r="A6" s="26" t="s">
        <v>11038</v>
      </c>
      <c r="B6" s="27" t="s">
        <v>11039</v>
      </c>
      <c r="C6" s="28">
        <v>1</v>
      </c>
      <c r="D6" s="29">
        <v>44.62</v>
      </c>
      <c r="E6" s="29">
        <v>44.62</v>
      </c>
      <c r="F6" s="30">
        <v>119</v>
      </c>
      <c r="G6" s="29">
        <v>119</v>
      </c>
      <c r="H6" s="28">
        <v>7066916</v>
      </c>
      <c r="I6" s="27" t="s">
        <v>189</v>
      </c>
      <c r="J6" s="31" t="s">
        <v>1078</v>
      </c>
      <c r="K6" s="27" t="s">
        <v>462</v>
      </c>
      <c r="L6" s="27" t="s">
        <v>463</v>
      </c>
      <c r="M6" s="32" t="str">
        <f>HYPERLINK("http://slimages.macys.com/is/image/MCY/3941293 ")</f>
        <v xml:space="preserve">http://slimages.macys.com/is/image/MCY/3941293 </v>
      </c>
    </row>
    <row r="7" spans="1:13" ht="15.2" customHeight="1" x14ac:dyDescent="0.2">
      <c r="A7" s="26" t="s">
        <v>11040</v>
      </c>
      <c r="B7" s="27" t="s">
        <v>11041</v>
      </c>
      <c r="C7" s="28">
        <v>1</v>
      </c>
      <c r="D7" s="29">
        <v>40.869999999999997</v>
      </c>
      <c r="E7" s="29">
        <v>40.869999999999997</v>
      </c>
      <c r="F7" s="30">
        <v>109</v>
      </c>
      <c r="G7" s="29">
        <v>109</v>
      </c>
      <c r="H7" s="28">
        <v>7056014</v>
      </c>
      <c r="I7" s="27" t="s">
        <v>144</v>
      </c>
      <c r="J7" s="31" t="s">
        <v>516</v>
      </c>
      <c r="K7" s="27" t="s">
        <v>462</v>
      </c>
      <c r="L7" s="27" t="s">
        <v>463</v>
      </c>
      <c r="M7" s="32" t="str">
        <f>HYPERLINK("http://slimages.macys.com/is/image/MCY/3714540 ")</f>
        <v xml:space="preserve">http://slimages.macys.com/is/image/MCY/3714540 </v>
      </c>
    </row>
    <row r="8" spans="1:13" ht="15.2" customHeight="1" x14ac:dyDescent="0.2">
      <c r="A8" s="26" t="s">
        <v>11042</v>
      </c>
      <c r="B8" s="27" t="s">
        <v>11043</v>
      </c>
      <c r="C8" s="28">
        <v>1</v>
      </c>
      <c r="D8" s="29">
        <v>37</v>
      </c>
      <c r="E8" s="29">
        <v>37</v>
      </c>
      <c r="F8" s="30">
        <v>89</v>
      </c>
      <c r="G8" s="29">
        <v>89</v>
      </c>
      <c r="H8" s="28">
        <v>2033</v>
      </c>
      <c r="I8" s="27" t="s">
        <v>29</v>
      </c>
      <c r="J8" s="31"/>
      <c r="K8" s="27" t="s">
        <v>1089</v>
      </c>
      <c r="L8" s="27" t="s">
        <v>4432</v>
      </c>
      <c r="M8" s="32" t="str">
        <f>HYPERLINK("http://slimages.macys.com/is/image/MCY/3848522 ")</f>
        <v xml:space="preserve">http://slimages.macys.com/is/image/MCY/3848522 </v>
      </c>
    </row>
    <row r="9" spans="1:13" ht="15.2" customHeight="1" x14ac:dyDescent="0.2">
      <c r="A9" s="26" t="s">
        <v>11044</v>
      </c>
      <c r="B9" s="27" t="s">
        <v>11045</v>
      </c>
      <c r="C9" s="28">
        <v>1</v>
      </c>
      <c r="D9" s="29">
        <v>37</v>
      </c>
      <c r="E9" s="29">
        <v>37</v>
      </c>
      <c r="F9" s="30">
        <v>98</v>
      </c>
      <c r="G9" s="29">
        <v>98</v>
      </c>
      <c r="H9" s="28" t="s">
        <v>8353</v>
      </c>
      <c r="I9" s="27"/>
      <c r="J9" s="31" t="s">
        <v>2549</v>
      </c>
      <c r="K9" s="27" t="s">
        <v>17</v>
      </c>
      <c r="L9" s="27" t="s">
        <v>18</v>
      </c>
      <c r="M9" s="32" t="str">
        <f>HYPERLINK("http://slimages.macys.com/is/image/MCY/3902115 ")</f>
        <v xml:space="preserve">http://slimages.macys.com/is/image/MCY/3902115 </v>
      </c>
    </row>
    <row r="10" spans="1:13" ht="15.2" customHeight="1" x14ac:dyDescent="0.2">
      <c r="A10" s="26" t="s">
        <v>11046</v>
      </c>
      <c r="B10" s="27" t="s">
        <v>11047</v>
      </c>
      <c r="C10" s="28">
        <v>1</v>
      </c>
      <c r="D10" s="29">
        <v>34</v>
      </c>
      <c r="E10" s="29">
        <v>34</v>
      </c>
      <c r="F10" s="30">
        <v>89.5</v>
      </c>
      <c r="G10" s="29">
        <v>89.5</v>
      </c>
      <c r="H10" s="28" t="s">
        <v>2548</v>
      </c>
      <c r="I10" s="27"/>
      <c r="J10" s="31"/>
      <c r="K10" s="27" t="s">
        <v>17</v>
      </c>
      <c r="L10" s="27" t="s">
        <v>18</v>
      </c>
      <c r="M10" s="32" t="str">
        <f>HYPERLINK("http://slimages.macys.com/is/image/MCY/3817577 ")</f>
        <v xml:space="preserve">http://slimages.macys.com/is/image/MCY/3817577 </v>
      </c>
    </row>
    <row r="11" spans="1:13" ht="15.2" customHeight="1" x14ac:dyDescent="0.2">
      <c r="A11" s="26" t="s">
        <v>8235</v>
      </c>
      <c r="B11" s="27" t="s">
        <v>8236</v>
      </c>
      <c r="C11" s="28">
        <v>2</v>
      </c>
      <c r="D11" s="29">
        <v>31.25</v>
      </c>
      <c r="E11" s="29">
        <v>62.5</v>
      </c>
      <c r="F11" s="30">
        <v>99</v>
      </c>
      <c r="G11" s="29">
        <v>198</v>
      </c>
      <c r="H11" s="28" t="s">
        <v>8237</v>
      </c>
      <c r="I11" s="27" t="s">
        <v>36</v>
      </c>
      <c r="J11" s="31" t="s">
        <v>21</v>
      </c>
      <c r="K11" s="27" t="s">
        <v>37</v>
      </c>
      <c r="L11" s="27" t="s">
        <v>38</v>
      </c>
      <c r="M11" s="32" t="str">
        <f>HYPERLINK("http://slimages.macys.com/is/image/MCY/3801910 ")</f>
        <v xml:space="preserve">http://slimages.macys.com/is/image/MCY/3801910 </v>
      </c>
    </row>
    <row r="12" spans="1:13" ht="15.2" customHeight="1" x14ac:dyDescent="0.2">
      <c r="A12" s="26" t="s">
        <v>11048</v>
      </c>
      <c r="B12" s="27" t="s">
        <v>11049</v>
      </c>
      <c r="C12" s="28">
        <v>1</v>
      </c>
      <c r="D12" s="29">
        <v>31.15</v>
      </c>
      <c r="E12" s="29">
        <v>31.15</v>
      </c>
      <c r="F12" s="30">
        <v>89</v>
      </c>
      <c r="G12" s="29">
        <v>89</v>
      </c>
      <c r="H12" s="28" t="s">
        <v>11050</v>
      </c>
      <c r="I12" s="27" t="s">
        <v>59</v>
      </c>
      <c r="J12" s="31" t="s">
        <v>5</v>
      </c>
      <c r="K12" s="27" t="s">
        <v>654</v>
      </c>
      <c r="L12" s="27" t="s">
        <v>655</v>
      </c>
      <c r="M12" s="32" t="str">
        <f>HYPERLINK("http://slimages.macys.com/is/image/MCY/3689078 ")</f>
        <v xml:space="preserve">http://slimages.macys.com/is/image/MCY/3689078 </v>
      </c>
    </row>
    <row r="13" spans="1:13" ht="15.2" customHeight="1" x14ac:dyDescent="0.2">
      <c r="A13" s="26" t="s">
        <v>11051</v>
      </c>
      <c r="B13" s="27" t="s">
        <v>11052</v>
      </c>
      <c r="C13" s="28">
        <v>1</v>
      </c>
      <c r="D13" s="29">
        <v>30.87</v>
      </c>
      <c r="E13" s="29">
        <v>30.87</v>
      </c>
      <c r="F13" s="30">
        <v>99.5</v>
      </c>
      <c r="G13" s="29">
        <v>99.5</v>
      </c>
      <c r="H13" s="28" t="s">
        <v>8238</v>
      </c>
      <c r="I13" s="27" t="s">
        <v>107</v>
      </c>
      <c r="J13" s="31" t="s">
        <v>5</v>
      </c>
      <c r="K13" s="27" t="s">
        <v>41</v>
      </c>
      <c r="L13" s="27" t="s">
        <v>45</v>
      </c>
      <c r="M13" s="32" t="str">
        <f>HYPERLINK("http://slimages.macys.com/is/image/MCY/3444552 ")</f>
        <v xml:space="preserve">http://slimages.macys.com/is/image/MCY/3444552 </v>
      </c>
    </row>
    <row r="14" spans="1:13" ht="15.2" customHeight="1" x14ac:dyDescent="0.2">
      <c r="A14" s="26" t="s">
        <v>11053</v>
      </c>
      <c r="B14" s="27" t="s">
        <v>11054</v>
      </c>
      <c r="C14" s="28">
        <v>1</v>
      </c>
      <c r="D14" s="29">
        <v>30</v>
      </c>
      <c r="E14" s="29">
        <v>30</v>
      </c>
      <c r="F14" s="30">
        <v>79.5</v>
      </c>
      <c r="G14" s="29">
        <v>79.5</v>
      </c>
      <c r="H14" s="28" t="s">
        <v>1718</v>
      </c>
      <c r="I14" s="27" t="s">
        <v>15</v>
      </c>
      <c r="J14" s="31" t="s">
        <v>2549</v>
      </c>
      <c r="K14" s="27" t="s">
        <v>17</v>
      </c>
      <c r="L14" s="27" t="s">
        <v>18</v>
      </c>
      <c r="M14" s="32" t="str">
        <f>HYPERLINK("http://slimages.macys.com/is/image/MCY/3700352 ")</f>
        <v xml:space="preserve">http://slimages.macys.com/is/image/MCY/3700352 </v>
      </c>
    </row>
    <row r="15" spans="1:13" ht="15.2" customHeight="1" x14ac:dyDescent="0.2">
      <c r="A15" s="26" t="s">
        <v>11055</v>
      </c>
      <c r="B15" s="27" t="s">
        <v>11056</v>
      </c>
      <c r="C15" s="28">
        <v>1</v>
      </c>
      <c r="D15" s="29">
        <v>30</v>
      </c>
      <c r="E15" s="29">
        <v>30</v>
      </c>
      <c r="F15" s="30">
        <v>79.5</v>
      </c>
      <c r="G15" s="29">
        <v>79.5</v>
      </c>
      <c r="H15" s="28" t="s">
        <v>9895</v>
      </c>
      <c r="I15" s="27" t="s">
        <v>15</v>
      </c>
      <c r="J15" s="31"/>
      <c r="K15" s="27" t="s">
        <v>17</v>
      </c>
      <c r="L15" s="27" t="s">
        <v>18</v>
      </c>
      <c r="M15" s="32" t="str">
        <f>HYPERLINK("http://slimages.macys.com/is/image/MCY/3750298 ")</f>
        <v xml:space="preserve">http://slimages.macys.com/is/image/MCY/3750298 </v>
      </c>
    </row>
    <row r="16" spans="1:13" ht="15.2" customHeight="1" x14ac:dyDescent="0.2">
      <c r="A16" s="26" t="s">
        <v>7478</v>
      </c>
      <c r="B16" s="27" t="s">
        <v>7479</v>
      </c>
      <c r="C16" s="28">
        <v>1</v>
      </c>
      <c r="D16" s="29">
        <v>30</v>
      </c>
      <c r="E16" s="29">
        <v>30</v>
      </c>
      <c r="F16" s="30">
        <v>79.5</v>
      </c>
      <c r="G16" s="29">
        <v>79.5</v>
      </c>
      <c r="H16" s="28" t="s">
        <v>1718</v>
      </c>
      <c r="I16" s="27" t="s">
        <v>15</v>
      </c>
      <c r="J16" s="31"/>
      <c r="K16" s="27" t="s">
        <v>17</v>
      </c>
      <c r="L16" s="27" t="s">
        <v>18</v>
      </c>
      <c r="M16" s="32" t="str">
        <f>HYPERLINK("http://slimages.macys.com/is/image/MCY/3700352 ")</f>
        <v xml:space="preserve">http://slimages.macys.com/is/image/MCY/3700352 </v>
      </c>
    </row>
    <row r="17" spans="1:13" ht="15.2" customHeight="1" x14ac:dyDescent="0.2">
      <c r="A17" s="26" t="s">
        <v>8754</v>
      </c>
      <c r="B17" s="27" t="s">
        <v>8755</v>
      </c>
      <c r="C17" s="28">
        <v>1</v>
      </c>
      <c r="D17" s="29">
        <v>30</v>
      </c>
      <c r="E17" s="29">
        <v>30</v>
      </c>
      <c r="F17" s="30">
        <v>89</v>
      </c>
      <c r="G17" s="29">
        <v>89</v>
      </c>
      <c r="H17" s="28" t="s">
        <v>4433</v>
      </c>
      <c r="I17" s="27" t="s">
        <v>343</v>
      </c>
      <c r="J17" s="31" t="s">
        <v>210</v>
      </c>
      <c r="K17" s="27" t="s">
        <v>24</v>
      </c>
      <c r="L17" s="27" t="s">
        <v>485</v>
      </c>
      <c r="M17" s="32" t="str">
        <f>HYPERLINK("http://slimages.macys.com/is/image/MCY/3817427 ")</f>
        <v xml:space="preserve">http://slimages.macys.com/is/image/MCY/3817427 </v>
      </c>
    </row>
    <row r="18" spans="1:13" ht="15.2" customHeight="1" x14ac:dyDescent="0.2">
      <c r="A18" s="26" t="s">
        <v>11057</v>
      </c>
      <c r="B18" s="27" t="s">
        <v>11058</v>
      </c>
      <c r="C18" s="28">
        <v>1</v>
      </c>
      <c r="D18" s="29">
        <v>29.32</v>
      </c>
      <c r="E18" s="29">
        <v>29.32</v>
      </c>
      <c r="F18" s="30">
        <v>69.989999999999995</v>
      </c>
      <c r="G18" s="29">
        <v>69.989999999999995</v>
      </c>
      <c r="H18" s="28" t="s">
        <v>8354</v>
      </c>
      <c r="I18" s="27" t="s">
        <v>94</v>
      </c>
      <c r="J18" s="31" t="s">
        <v>52</v>
      </c>
      <c r="K18" s="27" t="s">
        <v>41</v>
      </c>
      <c r="L18" s="27" t="s">
        <v>45</v>
      </c>
      <c r="M18" s="32" t="str">
        <f>HYPERLINK("http://slimages.macys.com/is/image/MCY/2962533 ")</f>
        <v xml:space="preserve">http://slimages.macys.com/is/image/MCY/2962533 </v>
      </c>
    </row>
    <row r="19" spans="1:13" ht="15.2" customHeight="1" x14ac:dyDescent="0.2">
      <c r="A19" s="26" t="s">
        <v>1084</v>
      </c>
      <c r="B19" s="27" t="s">
        <v>1085</v>
      </c>
      <c r="C19" s="28">
        <v>1</v>
      </c>
      <c r="D19" s="29">
        <v>29</v>
      </c>
      <c r="E19" s="29">
        <v>29</v>
      </c>
      <c r="F19" s="30">
        <v>89</v>
      </c>
      <c r="G19" s="29">
        <v>89</v>
      </c>
      <c r="H19" s="28" t="s">
        <v>1086</v>
      </c>
      <c r="I19" s="27" t="s">
        <v>4</v>
      </c>
      <c r="J19" s="31"/>
      <c r="K19" s="27" t="s">
        <v>24</v>
      </c>
      <c r="L19" s="27" t="s">
        <v>67</v>
      </c>
      <c r="M19" s="32" t="str">
        <f>HYPERLINK("http://slimages.macys.com/is/image/MCY/3785825 ")</f>
        <v xml:space="preserve">http://slimages.macys.com/is/image/MCY/3785825 </v>
      </c>
    </row>
    <row r="20" spans="1:13" ht="15.2" customHeight="1" x14ac:dyDescent="0.2">
      <c r="A20" s="26" t="s">
        <v>11059</v>
      </c>
      <c r="B20" s="27" t="s">
        <v>11060</v>
      </c>
      <c r="C20" s="28">
        <v>1</v>
      </c>
      <c r="D20" s="29">
        <v>27.65</v>
      </c>
      <c r="E20" s="29">
        <v>27.65</v>
      </c>
      <c r="F20" s="30">
        <v>79</v>
      </c>
      <c r="G20" s="29">
        <v>79</v>
      </c>
      <c r="H20" s="28" t="s">
        <v>8239</v>
      </c>
      <c r="I20" s="27" t="s">
        <v>36</v>
      </c>
      <c r="J20" s="31" t="s">
        <v>40</v>
      </c>
      <c r="K20" s="27" t="s">
        <v>37</v>
      </c>
      <c r="L20" s="27" t="s">
        <v>38</v>
      </c>
      <c r="M20" s="32" t="str">
        <f>HYPERLINK("http://slimages.macys.com/is/image/MCY/3667787 ")</f>
        <v xml:space="preserve">http://slimages.macys.com/is/image/MCY/3667787 </v>
      </c>
    </row>
    <row r="21" spans="1:13" ht="15.2" customHeight="1" x14ac:dyDescent="0.2">
      <c r="A21" s="26" t="s">
        <v>1724</v>
      </c>
      <c r="B21" s="27" t="s">
        <v>1725</v>
      </c>
      <c r="C21" s="28">
        <v>1</v>
      </c>
      <c r="D21" s="29">
        <v>27.2</v>
      </c>
      <c r="E21" s="29">
        <v>27.2</v>
      </c>
      <c r="F21" s="30">
        <v>79</v>
      </c>
      <c r="G21" s="29">
        <v>79</v>
      </c>
      <c r="H21" s="28" t="s">
        <v>1726</v>
      </c>
      <c r="I21" s="27" t="s">
        <v>75</v>
      </c>
      <c r="J21" s="31" t="s">
        <v>40</v>
      </c>
      <c r="K21" s="27" t="s">
        <v>42</v>
      </c>
      <c r="L21" s="27" t="s">
        <v>43</v>
      </c>
      <c r="M21" s="32" t="str">
        <f>HYPERLINK("http://slimages.macys.com/is/image/MCY/3636315 ")</f>
        <v xml:space="preserve">http://slimages.macys.com/is/image/MCY/3636315 </v>
      </c>
    </row>
    <row r="22" spans="1:13" ht="15.2" customHeight="1" x14ac:dyDescent="0.2">
      <c r="A22" s="26" t="s">
        <v>1087</v>
      </c>
      <c r="B22" s="27" t="s">
        <v>1088</v>
      </c>
      <c r="C22" s="28">
        <v>1</v>
      </c>
      <c r="D22" s="29">
        <v>27</v>
      </c>
      <c r="E22" s="29">
        <v>27</v>
      </c>
      <c r="F22" s="30">
        <v>69.5</v>
      </c>
      <c r="G22" s="29">
        <v>69.5</v>
      </c>
      <c r="H22" s="28" t="s">
        <v>19</v>
      </c>
      <c r="I22" s="27" t="s">
        <v>82</v>
      </c>
      <c r="J22" s="31" t="s">
        <v>21</v>
      </c>
      <c r="K22" s="27" t="s">
        <v>17</v>
      </c>
      <c r="L22" s="27" t="s">
        <v>18</v>
      </c>
      <c r="M22" s="32" t="str">
        <f>HYPERLINK("http://slimages.macys.com/is/image/MCY/3971150 ")</f>
        <v xml:space="preserve">http://slimages.macys.com/is/image/MCY/3971150 </v>
      </c>
    </row>
    <row r="23" spans="1:13" ht="15.2" customHeight="1" x14ac:dyDescent="0.2">
      <c r="A23" s="26" t="s">
        <v>8544</v>
      </c>
      <c r="B23" s="27" t="s">
        <v>8545</v>
      </c>
      <c r="C23" s="28">
        <v>2</v>
      </c>
      <c r="D23" s="29">
        <v>27</v>
      </c>
      <c r="E23" s="29">
        <v>54</v>
      </c>
      <c r="F23" s="30">
        <v>69.5</v>
      </c>
      <c r="G23" s="29">
        <v>139</v>
      </c>
      <c r="H23" s="28" t="s">
        <v>7708</v>
      </c>
      <c r="I23" s="27" t="s">
        <v>265</v>
      </c>
      <c r="J23" s="31"/>
      <c r="K23" s="27" t="s">
        <v>17</v>
      </c>
      <c r="L23" s="27" t="s">
        <v>18</v>
      </c>
      <c r="M23" s="32" t="str">
        <f>HYPERLINK("http://slimages.macys.com/is/image/MCY/3721010 ")</f>
        <v xml:space="preserve">http://slimages.macys.com/is/image/MCY/3721010 </v>
      </c>
    </row>
    <row r="24" spans="1:13" ht="15.2" customHeight="1" x14ac:dyDescent="0.2">
      <c r="A24" s="26" t="s">
        <v>7709</v>
      </c>
      <c r="B24" s="27" t="s">
        <v>7710</v>
      </c>
      <c r="C24" s="28">
        <v>1</v>
      </c>
      <c r="D24" s="29">
        <v>27</v>
      </c>
      <c r="E24" s="29">
        <v>27</v>
      </c>
      <c r="F24" s="30">
        <v>69.5</v>
      </c>
      <c r="G24" s="29">
        <v>69.5</v>
      </c>
      <c r="H24" s="28" t="s">
        <v>660</v>
      </c>
      <c r="I24" s="27" t="s">
        <v>661</v>
      </c>
      <c r="J24" s="31" t="s">
        <v>1602</v>
      </c>
      <c r="K24" s="27" t="s">
        <v>17</v>
      </c>
      <c r="L24" s="27" t="s">
        <v>18</v>
      </c>
      <c r="M24" s="32" t="str">
        <f>HYPERLINK("http://slimages.macys.com/is/image/MCY/3750122 ")</f>
        <v xml:space="preserve">http://slimages.macys.com/is/image/MCY/3750122 </v>
      </c>
    </row>
    <row r="25" spans="1:13" ht="15.2" customHeight="1" x14ac:dyDescent="0.2">
      <c r="A25" s="26" t="s">
        <v>11061</v>
      </c>
      <c r="B25" s="27" t="s">
        <v>11062</v>
      </c>
      <c r="C25" s="28">
        <v>1</v>
      </c>
      <c r="D25" s="29">
        <v>27</v>
      </c>
      <c r="E25" s="29">
        <v>27</v>
      </c>
      <c r="F25" s="30">
        <v>69.5</v>
      </c>
      <c r="G25" s="29">
        <v>69.5</v>
      </c>
      <c r="H25" s="28" t="s">
        <v>11013</v>
      </c>
      <c r="I25" s="27"/>
      <c r="J25" s="31"/>
      <c r="K25" s="27" t="s">
        <v>17</v>
      </c>
      <c r="L25" s="27" t="s">
        <v>18</v>
      </c>
      <c r="M25" s="32" t="str">
        <f>HYPERLINK("http://slimages.macys.com/is/image/MCY/3900335 ")</f>
        <v xml:space="preserve">http://slimages.macys.com/is/image/MCY/3900335 </v>
      </c>
    </row>
    <row r="26" spans="1:13" ht="15.2" customHeight="1" x14ac:dyDescent="0.2">
      <c r="A26" s="26" t="s">
        <v>11063</v>
      </c>
      <c r="B26" s="27" t="s">
        <v>11064</v>
      </c>
      <c r="C26" s="28">
        <v>1</v>
      </c>
      <c r="D26" s="29">
        <v>26.46</v>
      </c>
      <c r="E26" s="29">
        <v>26.46</v>
      </c>
      <c r="F26" s="30">
        <v>69</v>
      </c>
      <c r="G26" s="29">
        <v>69</v>
      </c>
      <c r="H26" s="28" t="s">
        <v>10309</v>
      </c>
      <c r="I26" s="27" t="s">
        <v>4</v>
      </c>
      <c r="J26" s="31" t="s">
        <v>5</v>
      </c>
      <c r="K26" s="27" t="s">
        <v>42</v>
      </c>
      <c r="L26" s="27" t="s">
        <v>43</v>
      </c>
      <c r="M26" s="32" t="str">
        <f>HYPERLINK("http://slimages.macys.com/is/image/MCY/3775159 ")</f>
        <v xml:space="preserve">http://slimages.macys.com/is/image/MCY/3775159 </v>
      </c>
    </row>
    <row r="27" spans="1:13" ht="15.2" customHeight="1" x14ac:dyDescent="0.2">
      <c r="A27" s="26" t="s">
        <v>11065</v>
      </c>
      <c r="B27" s="27" t="s">
        <v>11066</v>
      </c>
      <c r="C27" s="28">
        <v>1</v>
      </c>
      <c r="D27" s="29">
        <v>25.36</v>
      </c>
      <c r="E27" s="29">
        <v>25.36</v>
      </c>
      <c r="F27" s="30">
        <v>69.5</v>
      </c>
      <c r="G27" s="29">
        <v>69.5</v>
      </c>
      <c r="H27" s="28" t="s">
        <v>669</v>
      </c>
      <c r="I27" s="27" t="s">
        <v>10</v>
      </c>
      <c r="J27" s="31" t="s">
        <v>40</v>
      </c>
      <c r="K27" s="27" t="s">
        <v>41</v>
      </c>
      <c r="L27" s="27" t="s">
        <v>45</v>
      </c>
      <c r="M27" s="32" t="str">
        <f>HYPERLINK("http://slimages.macys.com/is/image/MCY/3736744 ")</f>
        <v xml:space="preserve">http://slimages.macys.com/is/image/MCY/3736744 </v>
      </c>
    </row>
    <row r="28" spans="1:13" ht="15.2" customHeight="1" x14ac:dyDescent="0.2">
      <c r="A28" s="26" t="s">
        <v>11067</v>
      </c>
      <c r="B28" s="27" t="s">
        <v>11068</v>
      </c>
      <c r="C28" s="28">
        <v>1</v>
      </c>
      <c r="D28" s="29">
        <v>24.45</v>
      </c>
      <c r="E28" s="29">
        <v>24.45</v>
      </c>
      <c r="F28" s="30">
        <v>79</v>
      </c>
      <c r="G28" s="29">
        <v>79</v>
      </c>
      <c r="H28" s="28" t="s">
        <v>1098</v>
      </c>
      <c r="I28" s="27" t="s">
        <v>20</v>
      </c>
      <c r="J28" s="31" t="s">
        <v>21</v>
      </c>
      <c r="K28" s="27" t="s">
        <v>42</v>
      </c>
      <c r="L28" s="27" t="s">
        <v>43</v>
      </c>
      <c r="M28" s="32" t="str">
        <f>HYPERLINK("http://slimages.macys.com/is/image/MCY/3503050 ")</f>
        <v xml:space="preserve">http://slimages.macys.com/is/image/MCY/3503050 </v>
      </c>
    </row>
    <row r="29" spans="1:13" ht="15.2" customHeight="1" x14ac:dyDescent="0.2">
      <c r="A29" s="26" t="s">
        <v>8355</v>
      </c>
      <c r="B29" s="27" t="s">
        <v>8356</v>
      </c>
      <c r="C29" s="28">
        <v>1</v>
      </c>
      <c r="D29" s="29">
        <v>24.34</v>
      </c>
      <c r="E29" s="29">
        <v>24.34</v>
      </c>
      <c r="F29" s="30">
        <v>39.99</v>
      </c>
      <c r="G29" s="29">
        <v>39.99</v>
      </c>
      <c r="H29" s="28">
        <v>198360006</v>
      </c>
      <c r="I29" s="27" t="s">
        <v>29</v>
      </c>
      <c r="J29" s="31" t="s">
        <v>16</v>
      </c>
      <c r="K29" s="27" t="s">
        <v>2</v>
      </c>
      <c r="L29" s="27" t="s">
        <v>3</v>
      </c>
      <c r="M29" s="32" t="str">
        <f>HYPERLINK("http://slimages.macys.com/is/image/MCY/2885781 ")</f>
        <v xml:space="preserve">http://slimages.macys.com/is/image/MCY/2885781 </v>
      </c>
    </row>
    <row r="30" spans="1:13" ht="15.2" customHeight="1" x14ac:dyDescent="0.2">
      <c r="A30" s="26" t="s">
        <v>7353</v>
      </c>
      <c r="B30" s="27" t="s">
        <v>7354</v>
      </c>
      <c r="C30" s="28">
        <v>1</v>
      </c>
      <c r="D30" s="29">
        <v>24</v>
      </c>
      <c r="E30" s="29">
        <v>24</v>
      </c>
      <c r="F30" s="30">
        <v>69</v>
      </c>
      <c r="G30" s="29">
        <v>69</v>
      </c>
      <c r="H30" s="28" t="s">
        <v>2080</v>
      </c>
      <c r="I30" s="27" t="s">
        <v>36</v>
      </c>
      <c r="J30" s="31" t="s">
        <v>71</v>
      </c>
      <c r="K30" s="27" t="s">
        <v>37</v>
      </c>
      <c r="L30" s="27" t="s">
        <v>38</v>
      </c>
      <c r="M30" s="32" t="str">
        <f>HYPERLINK("http://slimages.macys.com/is/image/MCY/3827012 ")</f>
        <v xml:space="preserve">http://slimages.macys.com/is/image/MCY/3827012 </v>
      </c>
    </row>
    <row r="31" spans="1:13" ht="15.2" customHeight="1" x14ac:dyDescent="0.2">
      <c r="A31" s="26" t="s">
        <v>7483</v>
      </c>
      <c r="B31" s="27" t="s">
        <v>7484</v>
      </c>
      <c r="C31" s="28">
        <v>1</v>
      </c>
      <c r="D31" s="29">
        <v>24</v>
      </c>
      <c r="E31" s="29">
        <v>24</v>
      </c>
      <c r="F31" s="30">
        <v>69</v>
      </c>
      <c r="G31" s="29">
        <v>69</v>
      </c>
      <c r="H31" s="28" t="s">
        <v>2080</v>
      </c>
      <c r="I31" s="27" t="s">
        <v>75</v>
      </c>
      <c r="J31" s="31" t="s">
        <v>21</v>
      </c>
      <c r="K31" s="27" t="s">
        <v>37</v>
      </c>
      <c r="L31" s="27" t="s">
        <v>38</v>
      </c>
      <c r="M31" s="32" t="str">
        <f>HYPERLINK("http://slimages.macys.com/is/image/MCY/3827012 ")</f>
        <v xml:space="preserve">http://slimages.macys.com/is/image/MCY/3827012 </v>
      </c>
    </row>
    <row r="32" spans="1:13" ht="15.2" customHeight="1" x14ac:dyDescent="0.2">
      <c r="A32" s="26" t="s">
        <v>11069</v>
      </c>
      <c r="B32" s="27" t="s">
        <v>11070</v>
      </c>
      <c r="C32" s="28">
        <v>1</v>
      </c>
      <c r="D32" s="29">
        <v>24</v>
      </c>
      <c r="E32" s="29">
        <v>24</v>
      </c>
      <c r="F32" s="30">
        <v>69</v>
      </c>
      <c r="G32" s="29">
        <v>69</v>
      </c>
      <c r="H32" s="28" t="s">
        <v>2080</v>
      </c>
      <c r="I32" s="27" t="s">
        <v>75</v>
      </c>
      <c r="J32" s="31" t="s">
        <v>5</v>
      </c>
      <c r="K32" s="27" t="s">
        <v>37</v>
      </c>
      <c r="L32" s="27" t="s">
        <v>38</v>
      </c>
      <c r="M32" s="32" t="str">
        <f>HYPERLINK("http://slimages.macys.com/is/image/MCY/3827012 ")</f>
        <v xml:space="preserve">http://slimages.macys.com/is/image/MCY/3827012 </v>
      </c>
    </row>
    <row r="33" spans="1:13" ht="15.2" customHeight="1" x14ac:dyDescent="0.2">
      <c r="A33" s="26" t="s">
        <v>7351</v>
      </c>
      <c r="B33" s="27" t="s">
        <v>7352</v>
      </c>
      <c r="C33" s="28">
        <v>1</v>
      </c>
      <c r="D33" s="29">
        <v>24</v>
      </c>
      <c r="E33" s="29">
        <v>24</v>
      </c>
      <c r="F33" s="30">
        <v>69</v>
      </c>
      <c r="G33" s="29">
        <v>69</v>
      </c>
      <c r="H33" s="28" t="s">
        <v>2080</v>
      </c>
      <c r="I33" s="27" t="s">
        <v>75</v>
      </c>
      <c r="J33" s="31" t="s">
        <v>71</v>
      </c>
      <c r="K33" s="27" t="s">
        <v>37</v>
      </c>
      <c r="L33" s="27" t="s">
        <v>38</v>
      </c>
      <c r="M33" s="32" t="str">
        <f>HYPERLINK("http://slimages.macys.com/is/image/MCY/3827012 ")</f>
        <v xml:space="preserve">http://slimages.macys.com/is/image/MCY/3827012 </v>
      </c>
    </row>
    <row r="34" spans="1:13" ht="15.2" customHeight="1" x14ac:dyDescent="0.2">
      <c r="A34" s="26" t="s">
        <v>9778</v>
      </c>
      <c r="B34" s="27" t="s">
        <v>9779</v>
      </c>
      <c r="C34" s="28">
        <v>1</v>
      </c>
      <c r="D34" s="29">
        <v>24</v>
      </c>
      <c r="E34" s="29">
        <v>24</v>
      </c>
      <c r="F34" s="30">
        <v>69</v>
      </c>
      <c r="G34" s="29">
        <v>69</v>
      </c>
      <c r="H34" s="28" t="s">
        <v>2080</v>
      </c>
      <c r="I34" s="27" t="s">
        <v>75</v>
      </c>
      <c r="J34" s="31" t="s">
        <v>52</v>
      </c>
      <c r="K34" s="27" t="s">
        <v>37</v>
      </c>
      <c r="L34" s="27" t="s">
        <v>38</v>
      </c>
      <c r="M34" s="32" t="str">
        <f>HYPERLINK("http://slimages.macys.com/is/image/MCY/3827012 ")</f>
        <v xml:space="preserve">http://slimages.macys.com/is/image/MCY/3827012 </v>
      </c>
    </row>
    <row r="35" spans="1:13" ht="15.2" customHeight="1" x14ac:dyDescent="0.2">
      <c r="A35" s="26" t="s">
        <v>11014</v>
      </c>
      <c r="B35" s="27" t="s">
        <v>11015</v>
      </c>
      <c r="C35" s="28">
        <v>1</v>
      </c>
      <c r="D35" s="29">
        <v>23.85</v>
      </c>
      <c r="E35" s="29">
        <v>23.85</v>
      </c>
      <c r="F35" s="30">
        <v>79.5</v>
      </c>
      <c r="G35" s="29">
        <v>79.5</v>
      </c>
      <c r="H35" s="28">
        <v>49008256</v>
      </c>
      <c r="I35" s="27" t="s">
        <v>39</v>
      </c>
      <c r="J35" s="31" t="s">
        <v>52</v>
      </c>
      <c r="K35" s="27" t="s">
        <v>6</v>
      </c>
      <c r="L35" s="27" t="s">
        <v>7</v>
      </c>
      <c r="M35" s="32" t="str">
        <f>HYPERLINK("http://slimages.macys.com/is/image/MCY/3829528 ")</f>
        <v xml:space="preserve">http://slimages.macys.com/is/image/MCY/3829528 </v>
      </c>
    </row>
    <row r="36" spans="1:13" ht="15.2" customHeight="1" x14ac:dyDescent="0.2">
      <c r="A36" s="26" t="s">
        <v>11071</v>
      </c>
      <c r="B36" s="27" t="s">
        <v>11072</v>
      </c>
      <c r="C36" s="28">
        <v>1</v>
      </c>
      <c r="D36" s="29">
        <v>23.85</v>
      </c>
      <c r="E36" s="29">
        <v>23.85</v>
      </c>
      <c r="F36" s="30">
        <v>79.5</v>
      </c>
      <c r="G36" s="29">
        <v>79.5</v>
      </c>
      <c r="H36" s="28">
        <v>49008255</v>
      </c>
      <c r="I36" s="27" t="s">
        <v>22</v>
      </c>
      <c r="J36" s="31" t="s">
        <v>40</v>
      </c>
      <c r="K36" s="27" t="s">
        <v>6</v>
      </c>
      <c r="L36" s="27" t="s">
        <v>7</v>
      </c>
      <c r="M36" s="32" t="str">
        <f>HYPERLINK("http://slimages.macys.com/is/image/MCY/3829241 ")</f>
        <v xml:space="preserve">http://slimages.macys.com/is/image/MCY/3829241 </v>
      </c>
    </row>
    <row r="37" spans="1:13" ht="15.2" customHeight="1" x14ac:dyDescent="0.2">
      <c r="A37" s="26" t="s">
        <v>9780</v>
      </c>
      <c r="B37" s="27" t="s">
        <v>9781</v>
      </c>
      <c r="C37" s="28">
        <v>1</v>
      </c>
      <c r="D37" s="29">
        <v>23.85</v>
      </c>
      <c r="E37" s="29">
        <v>23.85</v>
      </c>
      <c r="F37" s="30">
        <v>79.5</v>
      </c>
      <c r="G37" s="29">
        <v>79.5</v>
      </c>
      <c r="H37" s="28">
        <v>49008255</v>
      </c>
      <c r="I37" s="27" t="s">
        <v>22</v>
      </c>
      <c r="J37" s="31" t="s">
        <v>5</v>
      </c>
      <c r="K37" s="27" t="s">
        <v>6</v>
      </c>
      <c r="L37" s="27" t="s">
        <v>7</v>
      </c>
      <c r="M37" s="32" t="str">
        <f>HYPERLINK("http://slimages.macys.com/is/image/MCY/3829241 ")</f>
        <v xml:space="preserve">http://slimages.macys.com/is/image/MCY/3829241 </v>
      </c>
    </row>
    <row r="38" spans="1:13" ht="15.2" customHeight="1" x14ac:dyDescent="0.2">
      <c r="A38" s="26" t="s">
        <v>5405</v>
      </c>
      <c r="B38" s="27" t="s">
        <v>5406</v>
      </c>
      <c r="C38" s="28">
        <v>1</v>
      </c>
      <c r="D38" s="29">
        <v>23.85</v>
      </c>
      <c r="E38" s="29">
        <v>23.85</v>
      </c>
      <c r="F38" s="30">
        <v>79.5</v>
      </c>
      <c r="G38" s="29">
        <v>79.5</v>
      </c>
      <c r="H38" s="28">
        <v>49008256</v>
      </c>
      <c r="I38" s="27" t="s">
        <v>39</v>
      </c>
      <c r="J38" s="31" t="s">
        <v>40</v>
      </c>
      <c r="K38" s="27" t="s">
        <v>6</v>
      </c>
      <c r="L38" s="27" t="s">
        <v>7</v>
      </c>
      <c r="M38" s="32" t="str">
        <f>HYPERLINK("http://slimages.macys.com/is/image/MCY/3829528 ")</f>
        <v xml:space="preserve">http://slimages.macys.com/is/image/MCY/3829528 </v>
      </c>
    </row>
    <row r="39" spans="1:13" ht="15.2" customHeight="1" x14ac:dyDescent="0.2">
      <c r="A39" s="26" t="s">
        <v>3114</v>
      </c>
      <c r="B39" s="27" t="s">
        <v>3115</v>
      </c>
      <c r="C39" s="28">
        <v>1</v>
      </c>
      <c r="D39" s="29">
        <v>23</v>
      </c>
      <c r="E39" s="29">
        <v>23</v>
      </c>
      <c r="F39" s="30">
        <v>59.5</v>
      </c>
      <c r="G39" s="29">
        <v>59.5</v>
      </c>
      <c r="H39" s="28" t="s">
        <v>672</v>
      </c>
      <c r="I39" s="27" t="s">
        <v>4</v>
      </c>
      <c r="J39" s="31" t="s">
        <v>40</v>
      </c>
      <c r="K39" s="27" t="s">
        <v>17</v>
      </c>
      <c r="L39" s="27" t="s">
        <v>18</v>
      </c>
      <c r="M39" s="32" t="str">
        <f>HYPERLINK("http://slimages.macys.com/is/image/MCY/3895026 ")</f>
        <v xml:space="preserve">http://slimages.macys.com/is/image/MCY/3895026 </v>
      </c>
    </row>
    <row r="40" spans="1:13" ht="15.2" customHeight="1" x14ac:dyDescent="0.2">
      <c r="A40" s="26" t="s">
        <v>11073</v>
      </c>
      <c r="B40" s="27" t="s">
        <v>11074</v>
      </c>
      <c r="C40" s="28">
        <v>1</v>
      </c>
      <c r="D40" s="29">
        <v>22.95</v>
      </c>
      <c r="E40" s="29">
        <v>22.95</v>
      </c>
      <c r="F40" s="30">
        <v>49.99</v>
      </c>
      <c r="G40" s="29">
        <v>49.99</v>
      </c>
      <c r="H40" s="28" t="s">
        <v>1099</v>
      </c>
      <c r="I40" s="27" t="s">
        <v>22</v>
      </c>
      <c r="J40" s="31" t="s">
        <v>52</v>
      </c>
      <c r="K40" s="27" t="s">
        <v>41</v>
      </c>
      <c r="L40" s="27" t="s">
        <v>90</v>
      </c>
      <c r="M40" s="32" t="str">
        <f>HYPERLINK("http://slimages.macys.com/is/image/MCY/3828718 ")</f>
        <v xml:space="preserve">http://slimages.macys.com/is/image/MCY/3828718 </v>
      </c>
    </row>
    <row r="41" spans="1:13" ht="15.2" customHeight="1" x14ac:dyDescent="0.2">
      <c r="A41" s="26" t="s">
        <v>11075</v>
      </c>
      <c r="B41" s="27" t="s">
        <v>11076</v>
      </c>
      <c r="C41" s="28">
        <v>1</v>
      </c>
      <c r="D41" s="29">
        <v>22.01</v>
      </c>
      <c r="E41" s="29">
        <v>22.01</v>
      </c>
      <c r="F41" s="30">
        <v>59.5</v>
      </c>
      <c r="G41" s="29">
        <v>59.5</v>
      </c>
      <c r="H41" s="28" t="s">
        <v>11077</v>
      </c>
      <c r="I41" s="27" t="s">
        <v>4</v>
      </c>
      <c r="J41" s="31" t="s">
        <v>40</v>
      </c>
      <c r="K41" s="27" t="s">
        <v>989</v>
      </c>
      <c r="L41" s="27" t="s">
        <v>990</v>
      </c>
      <c r="M41" s="32" t="str">
        <f>HYPERLINK("http://slimages.macys.com/is/image/MCY/3957835 ")</f>
        <v xml:space="preserve">http://slimages.macys.com/is/image/MCY/3957835 </v>
      </c>
    </row>
    <row r="42" spans="1:13" ht="15.2" customHeight="1" x14ac:dyDescent="0.2">
      <c r="A42" s="26" t="s">
        <v>7633</v>
      </c>
      <c r="B42" s="27" t="s">
        <v>7634</v>
      </c>
      <c r="C42" s="28">
        <v>1</v>
      </c>
      <c r="D42" s="29">
        <v>22</v>
      </c>
      <c r="E42" s="29">
        <v>22</v>
      </c>
      <c r="F42" s="30">
        <v>69</v>
      </c>
      <c r="G42" s="29">
        <v>69</v>
      </c>
      <c r="H42" s="28" t="s">
        <v>6806</v>
      </c>
      <c r="I42" s="27" t="s">
        <v>29</v>
      </c>
      <c r="J42" s="31" t="s">
        <v>40</v>
      </c>
      <c r="K42" s="27" t="s">
        <v>37</v>
      </c>
      <c r="L42" s="27" t="s">
        <v>38</v>
      </c>
      <c r="M42" s="32" t="str">
        <f>HYPERLINK("http://slimages.macys.com/is/image/MCY/3667684 ")</f>
        <v xml:space="preserve">http://slimages.macys.com/is/image/MCY/3667684 </v>
      </c>
    </row>
    <row r="43" spans="1:13" ht="15.2" customHeight="1" x14ac:dyDescent="0.2">
      <c r="A43" s="26" t="s">
        <v>6804</v>
      </c>
      <c r="B43" s="27" t="s">
        <v>6805</v>
      </c>
      <c r="C43" s="28">
        <v>1</v>
      </c>
      <c r="D43" s="29">
        <v>22</v>
      </c>
      <c r="E43" s="29">
        <v>22</v>
      </c>
      <c r="F43" s="30">
        <v>69</v>
      </c>
      <c r="G43" s="29">
        <v>69</v>
      </c>
      <c r="H43" s="28" t="s">
        <v>6806</v>
      </c>
      <c r="I43" s="27" t="s">
        <v>29</v>
      </c>
      <c r="J43" s="31" t="s">
        <v>71</v>
      </c>
      <c r="K43" s="27" t="s">
        <v>37</v>
      </c>
      <c r="L43" s="27" t="s">
        <v>38</v>
      </c>
      <c r="M43" s="32" t="str">
        <f>HYPERLINK("http://slimages.macys.com/is/image/MCY/3667684 ")</f>
        <v xml:space="preserve">http://slimages.macys.com/is/image/MCY/3667684 </v>
      </c>
    </row>
    <row r="44" spans="1:13" ht="15.2" customHeight="1" x14ac:dyDescent="0.2">
      <c r="A44" s="26" t="s">
        <v>8242</v>
      </c>
      <c r="B44" s="27" t="s">
        <v>8243</v>
      </c>
      <c r="C44" s="28">
        <v>2</v>
      </c>
      <c r="D44" s="29">
        <v>22</v>
      </c>
      <c r="E44" s="29">
        <v>44</v>
      </c>
      <c r="F44" s="30">
        <v>69</v>
      </c>
      <c r="G44" s="29">
        <v>138</v>
      </c>
      <c r="H44" s="28" t="s">
        <v>6806</v>
      </c>
      <c r="I44" s="27" t="s">
        <v>29</v>
      </c>
      <c r="J44" s="31" t="s">
        <v>21</v>
      </c>
      <c r="K44" s="27" t="s">
        <v>37</v>
      </c>
      <c r="L44" s="27" t="s">
        <v>38</v>
      </c>
      <c r="M44" s="32" t="str">
        <f>HYPERLINK("http://slimages.macys.com/is/image/MCY/3667684 ")</f>
        <v xml:space="preserve">http://slimages.macys.com/is/image/MCY/3667684 </v>
      </c>
    </row>
    <row r="45" spans="1:13" ht="15.2" customHeight="1" x14ac:dyDescent="0.2">
      <c r="A45" s="26" t="s">
        <v>11078</v>
      </c>
      <c r="B45" s="27" t="s">
        <v>11079</v>
      </c>
      <c r="C45" s="28">
        <v>1</v>
      </c>
      <c r="D45" s="29">
        <v>22</v>
      </c>
      <c r="E45" s="29">
        <v>22</v>
      </c>
      <c r="F45" s="30">
        <v>69</v>
      </c>
      <c r="G45" s="29">
        <v>69</v>
      </c>
      <c r="H45" s="28" t="s">
        <v>6806</v>
      </c>
      <c r="I45" s="27" t="s">
        <v>29</v>
      </c>
      <c r="J45" s="31" t="s">
        <v>52</v>
      </c>
      <c r="K45" s="27" t="s">
        <v>37</v>
      </c>
      <c r="L45" s="27" t="s">
        <v>38</v>
      </c>
      <c r="M45" s="32" t="str">
        <f>HYPERLINK("http://slimages.macys.com/is/image/MCY/3667684 ")</f>
        <v xml:space="preserve">http://slimages.macys.com/is/image/MCY/3667684 </v>
      </c>
    </row>
    <row r="46" spans="1:13" ht="15.2" customHeight="1" x14ac:dyDescent="0.2">
      <c r="A46" s="26" t="s">
        <v>7635</v>
      </c>
      <c r="B46" s="27" t="s">
        <v>7636</v>
      </c>
      <c r="C46" s="28">
        <v>1</v>
      </c>
      <c r="D46" s="29">
        <v>22</v>
      </c>
      <c r="E46" s="29">
        <v>22</v>
      </c>
      <c r="F46" s="30">
        <v>69</v>
      </c>
      <c r="G46" s="29">
        <v>69</v>
      </c>
      <c r="H46" s="28" t="s">
        <v>7637</v>
      </c>
      <c r="I46" s="27" t="s">
        <v>377</v>
      </c>
      <c r="J46" s="31" t="s">
        <v>21</v>
      </c>
      <c r="K46" s="27" t="s">
        <v>37</v>
      </c>
      <c r="L46" s="27" t="s">
        <v>38</v>
      </c>
      <c r="M46" s="32" t="str">
        <f>HYPERLINK("http://slimages.macys.com/is/image/MCY/3670411 ")</f>
        <v xml:space="preserve">http://slimages.macys.com/is/image/MCY/3670411 </v>
      </c>
    </row>
    <row r="47" spans="1:13" ht="15.2" customHeight="1" x14ac:dyDescent="0.2">
      <c r="A47" s="26" t="s">
        <v>11080</v>
      </c>
      <c r="B47" s="27" t="s">
        <v>11081</v>
      </c>
      <c r="C47" s="28">
        <v>1</v>
      </c>
      <c r="D47" s="29">
        <v>21.96</v>
      </c>
      <c r="E47" s="29">
        <v>21.96</v>
      </c>
      <c r="F47" s="30">
        <v>59.99</v>
      </c>
      <c r="G47" s="29">
        <v>59.99</v>
      </c>
      <c r="H47" s="28" t="s">
        <v>10219</v>
      </c>
      <c r="I47" s="27" t="s">
        <v>144</v>
      </c>
      <c r="J47" s="31" t="s">
        <v>52</v>
      </c>
      <c r="K47" s="27" t="s">
        <v>41</v>
      </c>
      <c r="L47" s="27" t="s">
        <v>83</v>
      </c>
      <c r="M47" s="32" t="str">
        <f>HYPERLINK("http://slimages.macys.com/is/image/MCY/2915075 ")</f>
        <v xml:space="preserve">http://slimages.macys.com/is/image/MCY/2915075 </v>
      </c>
    </row>
    <row r="48" spans="1:13" ht="15.2" customHeight="1" x14ac:dyDescent="0.2">
      <c r="A48" s="26" t="s">
        <v>9901</v>
      </c>
      <c r="B48" s="27" t="s">
        <v>9902</v>
      </c>
      <c r="C48" s="28">
        <v>1</v>
      </c>
      <c r="D48" s="29">
        <v>21.74</v>
      </c>
      <c r="E48" s="29">
        <v>21.74</v>
      </c>
      <c r="F48" s="30">
        <v>59.5</v>
      </c>
      <c r="G48" s="29">
        <v>59.5</v>
      </c>
      <c r="H48" s="28" t="s">
        <v>9903</v>
      </c>
      <c r="I48" s="27" t="s">
        <v>107</v>
      </c>
      <c r="J48" s="31" t="s">
        <v>760</v>
      </c>
      <c r="K48" s="27" t="s">
        <v>41</v>
      </c>
      <c r="L48" s="27" t="s">
        <v>45</v>
      </c>
      <c r="M48" s="32" t="str">
        <f>HYPERLINK("http://slimages.macys.com/is/image/MCY/3444359 ")</f>
        <v xml:space="preserve">http://slimages.macys.com/is/image/MCY/3444359 </v>
      </c>
    </row>
    <row r="49" spans="1:13" ht="15.2" customHeight="1" x14ac:dyDescent="0.2">
      <c r="A49" s="26" t="s">
        <v>8248</v>
      </c>
      <c r="B49" s="27" t="s">
        <v>8249</v>
      </c>
      <c r="C49" s="28">
        <v>1</v>
      </c>
      <c r="D49" s="29">
        <v>21.66</v>
      </c>
      <c r="E49" s="29">
        <v>21.66</v>
      </c>
      <c r="F49" s="30">
        <v>59.5</v>
      </c>
      <c r="G49" s="29">
        <v>59.5</v>
      </c>
      <c r="H49" s="28" t="s">
        <v>8247</v>
      </c>
      <c r="I49" s="27" t="s">
        <v>4</v>
      </c>
      <c r="J49" s="31" t="s">
        <v>21</v>
      </c>
      <c r="K49" s="27" t="s">
        <v>41</v>
      </c>
      <c r="L49" s="27" t="s">
        <v>45</v>
      </c>
      <c r="M49" s="32" t="str">
        <f>HYPERLINK("http://slimages.macys.com/is/image/MCY/3681954 ")</f>
        <v xml:space="preserve">http://slimages.macys.com/is/image/MCY/3681954 </v>
      </c>
    </row>
    <row r="50" spans="1:13" ht="15.2" customHeight="1" x14ac:dyDescent="0.2">
      <c r="A50" s="26" t="s">
        <v>4335</v>
      </c>
      <c r="B50" s="27" t="s">
        <v>4336</v>
      </c>
      <c r="C50" s="28">
        <v>3</v>
      </c>
      <c r="D50" s="29">
        <v>20.85</v>
      </c>
      <c r="E50" s="29">
        <v>62.55</v>
      </c>
      <c r="F50" s="30">
        <v>69.5</v>
      </c>
      <c r="G50" s="29">
        <v>208.5</v>
      </c>
      <c r="H50" s="28">
        <v>60435383</v>
      </c>
      <c r="I50" s="27" t="s">
        <v>39</v>
      </c>
      <c r="J50" s="31" t="s">
        <v>21</v>
      </c>
      <c r="K50" s="27" t="s">
        <v>6</v>
      </c>
      <c r="L50" s="27" t="s">
        <v>7</v>
      </c>
      <c r="M50" s="32" t="str">
        <f t="shared" ref="M50:M59" si="0">HYPERLINK("http://slimages.macys.com/is/image/MCY/3900381 ")</f>
        <v xml:space="preserve">http://slimages.macys.com/is/image/MCY/3900381 </v>
      </c>
    </row>
    <row r="51" spans="1:13" ht="15.2" customHeight="1" x14ac:dyDescent="0.2">
      <c r="A51" s="26" t="s">
        <v>7721</v>
      </c>
      <c r="B51" s="27" t="s">
        <v>7722</v>
      </c>
      <c r="C51" s="28">
        <v>1</v>
      </c>
      <c r="D51" s="29">
        <v>20.85</v>
      </c>
      <c r="E51" s="29">
        <v>20.85</v>
      </c>
      <c r="F51" s="30">
        <v>69.5</v>
      </c>
      <c r="G51" s="29">
        <v>69.5</v>
      </c>
      <c r="H51" s="28">
        <v>60435383</v>
      </c>
      <c r="I51" s="27" t="s">
        <v>4</v>
      </c>
      <c r="J51" s="31" t="s">
        <v>40</v>
      </c>
      <c r="K51" s="27" t="s">
        <v>6</v>
      </c>
      <c r="L51" s="27" t="s">
        <v>7</v>
      </c>
      <c r="M51" s="32" t="str">
        <f t="shared" si="0"/>
        <v xml:space="preserve">http://slimages.macys.com/is/image/MCY/3900381 </v>
      </c>
    </row>
    <row r="52" spans="1:13" ht="15.2" customHeight="1" x14ac:dyDescent="0.2">
      <c r="A52" s="26" t="s">
        <v>8252</v>
      </c>
      <c r="B52" s="27" t="s">
        <v>8253</v>
      </c>
      <c r="C52" s="28">
        <v>1</v>
      </c>
      <c r="D52" s="29">
        <v>20.85</v>
      </c>
      <c r="E52" s="29">
        <v>20.85</v>
      </c>
      <c r="F52" s="30">
        <v>69.5</v>
      </c>
      <c r="G52" s="29">
        <v>69.5</v>
      </c>
      <c r="H52" s="28">
        <v>60435383</v>
      </c>
      <c r="I52" s="27" t="s">
        <v>82</v>
      </c>
      <c r="J52" s="31" t="s">
        <v>71</v>
      </c>
      <c r="K52" s="27" t="s">
        <v>6</v>
      </c>
      <c r="L52" s="27" t="s">
        <v>7</v>
      </c>
      <c r="M52" s="32" t="str">
        <f t="shared" si="0"/>
        <v xml:space="preserve">http://slimages.macys.com/is/image/MCY/3900381 </v>
      </c>
    </row>
    <row r="53" spans="1:13" ht="15.2" customHeight="1" x14ac:dyDescent="0.2">
      <c r="A53" s="26" t="s">
        <v>8250</v>
      </c>
      <c r="B53" s="27" t="s">
        <v>8251</v>
      </c>
      <c r="C53" s="28">
        <v>2</v>
      </c>
      <c r="D53" s="29">
        <v>20.85</v>
      </c>
      <c r="E53" s="29">
        <v>41.7</v>
      </c>
      <c r="F53" s="30">
        <v>69.5</v>
      </c>
      <c r="G53" s="29">
        <v>139</v>
      </c>
      <c r="H53" s="28">
        <v>60435383</v>
      </c>
      <c r="I53" s="27" t="s">
        <v>82</v>
      </c>
      <c r="J53" s="31" t="s">
        <v>5</v>
      </c>
      <c r="K53" s="27" t="s">
        <v>6</v>
      </c>
      <c r="L53" s="27" t="s">
        <v>7</v>
      </c>
      <c r="M53" s="32" t="str">
        <f t="shared" si="0"/>
        <v xml:space="preserve">http://slimages.macys.com/is/image/MCY/3900381 </v>
      </c>
    </row>
    <row r="54" spans="1:13" ht="15.2" customHeight="1" x14ac:dyDescent="0.2">
      <c r="A54" s="26" t="s">
        <v>9500</v>
      </c>
      <c r="B54" s="27" t="s">
        <v>9501</v>
      </c>
      <c r="C54" s="28">
        <v>1</v>
      </c>
      <c r="D54" s="29">
        <v>20.85</v>
      </c>
      <c r="E54" s="29">
        <v>20.85</v>
      </c>
      <c r="F54" s="30">
        <v>69.5</v>
      </c>
      <c r="G54" s="29">
        <v>69.5</v>
      </c>
      <c r="H54" s="28">
        <v>60435383</v>
      </c>
      <c r="I54" s="27" t="s">
        <v>39</v>
      </c>
      <c r="J54" s="31" t="s">
        <v>71</v>
      </c>
      <c r="K54" s="27" t="s">
        <v>6</v>
      </c>
      <c r="L54" s="27" t="s">
        <v>7</v>
      </c>
      <c r="M54" s="32" t="str">
        <f t="shared" si="0"/>
        <v xml:space="preserve">http://slimages.macys.com/is/image/MCY/3900381 </v>
      </c>
    </row>
    <row r="55" spans="1:13" ht="15.2" customHeight="1" x14ac:dyDescent="0.2">
      <c r="A55" s="26" t="s">
        <v>9983</v>
      </c>
      <c r="B55" s="27" t="s">
        <v>9984</v>
      </c>
      <c r="C55" s="28">
        <v>1</v>
      </c>
      <c r="D55" s="29">
        <v>20.85</v>
      </c>
      <c r="E55" s="29">
        <v>20.85</v>
      </c>
      <c r="F55" s="30">
        <v>69.5</v>
      </c>
      <c r="G55" s="29">
        <v>69.5</v>
      </c>
      <c r="H55" s="28">
        <v>60435383</v>
      </c>
      <c r="I55" s="27" t="s">
        <v>82</v>
      </c>
      <c r="J55" s="31" t="s">
        <v>52</v>
      </c>
      <c r="K55" s="27" t="s">
        <v>6</v>
      </c>
      <c r="L55" s="27" t="s">
        <v>7</v>
      </c>
      <c r="M55" s="32" t="str">
        <f t="shared" si="0"/>
        <v xml:space="preserve">http://slimages.macys.com/is/image/MCY/3900381 </v>
      </c>
    </row>
    <row r="56" spans="1:13" ht="15.2" customHeight="1" x14ac:dyDescent="0.2">
      <c r="A56" s="26" t="s">
        <v>8361</v>
      </c>
      <c r="B56" s="27" t="s">
        <v>8362</v>
      </c>
      <c r="C56" s="28">
        <v>1</v>
      </c>
      <c r="D56" s="29">
        <v>20.85</v>
      </c>
      <c r="E56" s="29">
        <v>20.85</v>
      </c>
      <c r="F56" s="30">
        <v>69.5</v>
      </c>
      <c r="G56" s="29">
        <v>69.5</v>
      </c>
      <c r="H56" s="28">
        <v>60435383</v>
      </c>
      <c r="I56" s="27" t="s">
        <v>39</v>
      </c>
      <c r="J56" s="31" t="s">
        <v>52</v>
      </c>
      <c r="K56" s="27" t="s">
        <v>6</v>
      </c>
      <c r="L56" s="27" t="s">
        <v>7</v>
      </c>
      <c r="M56" s="32" t="str">
        <f t="shared" si="0"/>
        <v xml:space="preserve">http://slimages.macys.com/is/image/MCY/3900381 </v>
      </c>
    </row>
    <row r="57" spans="1:13" ht="15.2" customHeight="1" x14ac:dyDescent="0.2">
      <c r="A57" s="26" t="s">
        <v>1736</v>
      </c>
      <c r="B57" s="27" t="s">
        <v>1737</v>
      </c>
      <c r="C57" s="28">
        <v>1</v>
      </c>
      <c r="D57" s="29">
        <v>20.85</v>
      </c>
      <c r="E57" s="29">
        <v>20.85</v>
      </c>
      <c r="F57" s="30">
        <v>69.5</v>
      </c>
      <c r="G57" s="29">
        <v>69.5</v>
      </c>
      <c r="H57" s="28">
        <v>60435383</v>
      </c>
      <c r="I57" s="27" t="s">
        <v>39</v>
      </c>
      <c r="J57" s="31" t="s">
        <v>40</v>
      </c>
      <c r="K57" s="27" t="s">
        <v>6</v>
      </c>
      <c r="L57" s="27" t="s">
        <v>7</v>
      </c>
      <c r="M57" s="32" t="str">
        <f t="shared" si="0"/>
        <v xml:space="preserve">http://slimages.macys.com/is/image/MCY/3900381 </v>
      </c>
    </row>
    <row r="58" spans="1:13" ht="15.2" customHeight="1" x14ac:dyDescent="0.2">
      <c r="A58" s="26" t="s">
        <v>8434</v>
      </c>
      <c r="B58" s="27" t="s">
        <v>8435</v>
      </c>
      <c r="C58" s="28">
        <v>2</v>
      </c>
      <c r="D58" s="29">
        <v>20.85</v>
      </c>
      <c r="E58" s="29">
        <v>41.7</v>
      </c>
      <c r="F58" s="30">
        <v>69.5</v>
      </c>
      <c r="G58" s="29">
        <v>139</v>
      </c>
      <c r="H58" s="28">
        <v>60435383</v>
      </c>
      <c r="I58" s="27" t="s">
        <v>39</v>
      </c>
      <c r="J58" s="31" t="s">
        <v>5</v>
      </c>
      <c r="K58" s="27" t="s">
        <v>6</v>
      </c>
      <c r="L58" s="27" t="s">
        <v>7</v>
      </c>
      <c r="M58" s="32" t="str">
        <f t="shared" si="0"/>
        <v xml:space="preserve">http://slimages.macys.com/is/image/MCY/3900381 </v>
      </c>
    </row>
    <row r="59" spans="1:13" ht="15.2" customHeight="1" x14ac:dyDescent="0.2">
      <c r="A59" s="26" t="s">
        <v>8254</v>
      </c>
      <c r="B59" s="27" t="s">
        <v>8255</v>
      </c>
      <c r="C59" s="28">
        <v>1</v>
      </c>
      <c r="D59" s="29">
        <v>20.85</v>
      </c>
      <c r="E59" s="29">
        <v>20.85</v>
      </c>
      <c r="F59" s="30">
        <v>69.5</v>
      </c>
      <c r="G59" s="29">
        <v>69.5</v>
      </c>
      <c r="H59" s="28">
        <v>60435383</v>
      </c>
      <c r="I59" s="27" t="s">
        <v>82</v>
      </c>
      <c r="J59" s="31" t="s">
        <v>65</v>
      </c>
      <c r="K59" s="27" t="s">
        <v>6</v>
      </c>
      <c r="L59" s="27" t="s">
        <v>7</v>
      </c>
      <c r="M59" s="32" t="str">
        <f t="shared" si="0"/>
        <v xml:space="preserve">http://slimages.macys.com/is/image/MCY/3900381 </v>
      </c>
    </row>
    <row r="60" spans="1:13" ht="15.2" customHeight="1" x14ac:dyDescent="0.2">
      <c r="A60" s="26" t="s">
        <v>677</v>
      </c>
      <c r="B60" s="27" t="s">
        <v>678</v>
      </c>
      <c r="C60" s="28">
        <v>1</v>
      </c>
      <c r="D60" s="29">
        <v>20.74</v>
      </c>
      <c r="E60" s="29">
        <v>20.74</v>
      </c>
      <c r="F60" s="30">
        <v>47.75</v>
      </c>
      <c r="G60" s="29">
        <v>47.75</v>
      </c>
      <c r="H60" s="28" t="s">
        <v>676</v>
      </c>
      <c r="I60" s="27" t="s">
        <v>10</v>
      </c>
      <c r="J60" s="31" t="s">
        <v>230</v>
      </c>
      <c r="K60" s="27" t="s">
        <v>41</v>
      </c>
      <c r="L60" s="27" t="s">
        <v>45</v>
      </c>
      <c r="M60" s="32" t="str">
        <f>HYPERLINK("http://slimages.macys.com/is/image/MCY/3678323 ")</f>
        <v xml:space="preserve">http://slimages.macys.com/is/image/MCY/3678323 </v>
      </c>
    </row>
    <row r="61" spans="1:13" ht="15.2" customHeight="1" x14ac:dyDescent="0.2">
      <c r="A61" s="26" t="s">
        <v>8436</v>
      </c>
      <c r="B61" s="27" t="s">
        <v>8437</v>
      </c>
      <c r="C61" s="28">
        <v>1</v>
      </c>
      <c r="D61" s="29">
        <v>20.74</v>
      </c>
      <c r="E61" s="29">
        <v>20.74</v>
      </c>
      <c r="F61" s="30">
        <v>47.75</v>
      </c>
      <c r="G61" s="29">
        <v>47.75</v>
      </c>
      <c r="H61" s="28" t="s">
        <v>676</v>
      </c>
      <c r="I61" s="27" t="s">
        <v>10</v>
      </c>
      <c r="J61" s="31" t="s">
        <v>216</v>
      </c>
      <c r="K61" s="27" t="s">
        <v>41</v>
      </c>
      <c r="L61" s="27" t="s">
        <v>45</v>
      </c>
      <c r="M61" s="32" t="str">
        <f>HYPERLINK("http://slimages.macys.com/is/image/MCY/3678323 ")</f>
        <v xml:space="preserve">http://slimages.macys.com/is/image/MCY/3678323 </v>
      </c>
    </row>
    <row r="62" spans="1:13" ht="15.2" customHeight="1" x14ac:dyDescent="0.2">
      <c r="A62" s="26" t="s">
        <v>11082</v>
      </c>
      <c r="B62" s="27" t="s">
        <v>11083</v>
      </c>
      <c r="C62" s="28">
        <v>1</v>
      </c>
      <c r="D62" s="29">
        <v>20.53</v>
      </c>
      <c r="E62" s="29">
        <v>20.53</v>
      </c>
      <c r="F62" s="30">
        <v>59.5</v>
      </c>
      <c r="G62" s="29">
        <v>59.5</v>
      </c>
      <c r="H62" s="28" t="s">
        <v>2823</v>
      </c>
      <c r="I62" s="27" t="s">
        <v>215</v>
      </c>
      <c r="J62" s="31" t="s">
        <v>71</v>
      </c>
      <c r="K62" s="27" t="s">
        <v>53</v>
      </c>
      <c r="L62" s="27" t="s">
        <v>54</v>
      </c>
      <c r="M62" s="32" t="str">
        <f>HYPERLINK("http://slimages.macys.com/is/image/MCY/3666245 ")</f>
        <v xml:space="preserve">http://slimages.macys.com/is/image/MCY/3666245 </v>
      </c>
    </row>
    <row r="63" spans="1:13" ht="15.2" customHeight="1" x14ac:dyDescent="0.2">
      <c r="A63" s="26" t="s">
        <v>7723</v>
      </c>
      <c r="B63" s="27" t="s">
        <v>7724</v>
      </c>
      <c r="C63" s="28">
        <v>1</v>
      </c>
      <c r="D63" s="29">
        <v>20.52</v>
      </c>
      <c r="E63" s="29">
        <v>20.52</v>
      </c>
      <c r="F63" s="30">
        <v>59.5</v>
      </c>
      <c r="G63" s="29">
        <v>59.5</v>
      </c>
      <c r="H63" s="28" t="s">
        <v>6836</v>
      </c>
      <c r="I63" s="27" t="s">
        <v>4</v>
      </c>
      <c r="J63" s="31" t="s">
        <v>40</v>
      </c>
      <c r="K63" s="27" t="s">
        <v>53</v>
      </c>
      <c r="L63" s="27" t="s">
        <v>167</v>
      </c>
      <c r="M63" s="32" t="str">
        <f>HYPERLINK("http://slimages.macys.com/is/image/MCY/3836396 ")</f>
        <v xml:space="preserve">http://slimages.macys.com/is/image/MCY/3836396 </v>
      </c>
    </row>
    <row r="64" spans="1:13" ht="15.2" customHeight="1" x14ac:dyDescent="0.2">
      <c r="A64" s="26" t="s">
        <v>7880</v>
      </c>
      <c r="B64" s="27" t="s">
        <v>7881</v>
      </c>
      <c r="C64" s="28">
        <v>1</v>
      </c>
      <c r="D64" s="29">
        <v>20.52</v>
      </c>
      <c r="E64" s="29">
        <v>20.52</v>
      </c>
      <c r="F64" s="30">
        <v>59.5</v>
      </c>
      <c r="G64" s="29">
        <v>59.5</v>
      </c>
      <c r="H64" s="28" t="s">
        <v>6836</v>
      </c>
      <c r="I64" s="27" t="s">
        <v>4</v>
      </c>
      <c r="J64" s="31" t="s">
        <v>5</v>
      </c>
      <c r="K64" s="27" t="s">
        <v>53</v>
      </c>
      <c r="L64" s="27" t="s">
        <v>167</v>
      </c>
      <c r="M64" s="32" t="str">
        <f>HYPERLINK("http://slimages.macys.com/is/image/MCY/3836396 ")</f>
        <v xml:space="preserve">http://slimages.macys.com/is/image/MCY/3836396 </v>
      </c>
    </row>
    <row r="65" spans="1:13" ht="15.2" customHeight="1" x14ac:dyDescent="0.2">
      <c r="A65" s="26" t="s">
        <v>8186</v>
      </c>
      <c r="B65" s="27" t="s">
        <v>8187</v>
      </c>
      <c r="C65" s="28">
        <v>1</v>
      </c>
      <c r="D65" s="29">
        <v>20.36</v>
      </c>
      <c r="E65" s="29">
        <v>20.36</v>
      </c>
      <c r="F65" s="30">
        <v>49.5</v>
      </c>
      <c r="G65" s="29">
        <v>49.5</v>
      </c>
      <c r="H65" s="28" t="s">
        <v>7362</v>
      </c>
      <c r="I65" s="27" t="s">
        <v>4</v>
      </c>
      <c r="J65" s="31" t="s">
        <v>21</v>
      </c>
      <c r="K65" s="27" t="s">
        <v>41</v>
      </c>
      <c r="L65" s="27" t="s">
        <v>31</v>
      </c>
      <c r="M65" s="32" t="str">
        <f>HYPERLINK("http://slimages.macys.com/is/image/MCY/3367589 ")</f>
        <v xml:space="preserve">http://slimages.macys.com/is/image/MCY/3367589 </v>
      </c>
    </row>
    <row r="66" spans="1:13" ht="15.2" customHeight="1" x14ac:dyDescent="0.2">
      <c r="A66" s="26" t="s">
        <v>687</v>
      </c>
      <c r="B66" s="27" t="s">
        <v>688</v>
      </c>
      <c r="C66" s="28">
        <v>1</v>
      </c>
      <c r="D66" s="29">
        <v>20</v>
      </c>
      <c r="E66" s="29">
        <v>20</v>
      </c>
      <c r="F66" s="30">
        <v>64</v>
      </c>
      <c r="G66" s="29">
        <v>64</v>
      </c>
      <c r="H66" s="28" t="s">
        <v>686</v>
      </c>
      <c r="I66" s="27" t="s">
        <v>4</v>
      </c>
      <c r="J66" s="31" t="s">
        <v>40</v>
      </c>
      <c r="K66" s="27" t="s">
        <v>24</v>
      </c>
      <c r="L66" s="27" t="s">
        <v>650</v>
      </c>
      <c r="M66" s="32" t="str">
        <f>HYPERLINK("http://slimages.macys.com/is/image/MCY/3878688 ")</f>
        <v xml:space="preserve">http://slimages.macys.com/is/image/MCY/3878688 </v>
      </c>
    </row>
    <row r="67" spans="1:13" ht="15.2" customHeight="1" x14ac:dyDescent="0.2">
      <c r="A67" s="26" t="s">
        <v>11084</v>
      </c>
      <c r="B67" s="27" t="s">
        <v>11085</v>
      </c>
      <c r="C67" s="28">
        <v>1</v>
      </c>
      <c r="D67" s="29">
        <v>19.04</v>
      </c>
      <c r="E67" s="29">
        <v>19.04</v>
      </c>
      <c r="F67" s="30">
        <v>59.5</v>
      </c>
      <c r="G67" s="29">
        <v>59.5</v>
      </c>
      <c r="H67" s="28">
        <v>49008197</v>
      </c>
      <c r="I67" s="27" t="s">
        <v>238</v>
      </c>
      <c r="J67" s="31"/>
      <c r="K67" s="27" t="s">
        <v>6</v>
      </c>
      <c r="L67" s="27" t="s">
        <v>7</v>
      </c>
      <c r="M67" s="32" t="str">
        <f>HYPERLINK("http://slimages.macys.com/is/image/MCY/3625387 ")</f>
        <v xml:space="preserve">http://slimages.macys.com/is/image/MCY/3625387 </v>
      </c>
    </row>
    <row r="68" spans="1:13" ht="15.2" customHeight="1" x14ac:dyDescent="0.2">
      <c r="A68" s="26" t="s">
        <v>8193</v>
      </c>
      <c r="B68" s="27" t="s">
        <v>8194</v>
      </c>
      <c r="C68" s="28">
        <v>1</v>
      </c>
      <c r="D68" s="29">
        <v>19</v>
      </c>
      <c r="E68" s="29">
        <v>19</v>
      </c>
      <c r="F68" s="30">
        <v>59</v>
      </c>
      <c r="G68" s="29">
        <v>59</v>
      </c>
      <c r="H68" s="28" t="s">
        <v>7495</v>
      </c>
      <c r="I68" s="27" t="s">
        <v>4</v>
      </c>
      <c r="J68" s="31" t="s">
        <v>210</v>
      </c>
      <c r="K68" s="27" t="s">
        <v>24</v>
      </c>
      <c r="L68" s="27" t="s">
        <v>101</v>
      </c>
      <c r="M68" s="32" t="str">
        <f>HYPERLINK("http://slimages.macys.com/is/image/MCY/3832800 ")</f>
        <v xml:space="preserve">http://slimages.macys.com/is/image/MCY/3832800 </v>
      </c>
    </row>
    <row r="69" spans="1:13" ht="15.2" customHeight="1" x14ac:dyDescent="0.2">
      <c r="A69" s="26" t="s">
        <v>11086</v>
      </c>
      <c r="B69" s="27" t="s">
        <v>11087</v>
      </c>
      <c r="C69" s="28">
        <v>1</v>
      </c>
      <c r="D69" s="29">
        <v>19</v>
      </c>
      <c r="E69" s="29">
        <v>19</v>
      </c>
      <c r="F69" s="30">
        <v>49.5</v>
      </c>
      <c r="G69" s="29">
        <v>49.5</v>
      </c>
      <c r="H69" s="28" t="s">
        <v>11088</v>
      </c>
      <c r="I69" s="27" t="s">
        <v>59</v>
      </c>
      <c r="J69" s="31" t="s">
        <v>21</v>
      </c>
      <c r="K69" s="27" t="s">
        <v>17</v>
      </c>
      <c r="L69" s="27" t="s">
        <v>18</v>
      </c>
      <c r="M69" s="32" t="str">
        <f>HYPERLINK("http://slimages.macys.com/is/image/MCY/3652188 ")</f>
        <v xml:space="preserve">http://slimages.macys.com/is/image/MCY/3652188 </v>
      </c>
    </row>
    <row r="70" spans="1:13" ht="15.2" customHeight="1" x14ac:dyDescent="0.2">
      <c r="A70" s="26" t="s">
        <v>8257</v>
      </c>
      <c r="B70" s="27" t="s">
        <v>8258</v>
      </c>
      <c r="C70" s="28">
        <v>1</v>
      </c>
      <c r="D70" s="29">
        <v>18.75</v>
      </c>
      <c r="E70" s="29">
        <v>18.75</v>
      </c>
      <c r="F70" s="30">
        <v>59</v>
      </c>
      <c r="G70" s="29">
        <v>59</v>
      </c>
      <c r="H70" s="28" t="s">
        <v>1130</v>
      </c>
      <c r="I70" s="27" t="s">
        <v>36</v>
      </c>
      <c r="J70" s="31" t="s">
        <v>5</v>
      </c>
      <c r="K70" s="27" t="s">
        <v>37</v>
      </c>
      <c r="L70" s="27" t="s">
        <v>38</v>
      </c>
      <c r="M70" s="32" t="str">
        <f>HYPERLINK("http://slimages.macys.com/is/image/MCY/3667812 ")</f>
        <v xml:space="preserve">http://slimages.macys.com/is/image/MCY/3667812 </v>
      </c>
    </row>
    <row r="71" spans="1:13" ht="15.2" customHeight="1" x14ac:dyDescent="0.2">
      <c r="A71" s="26" t="s">
        <v>11089</v>
      </c>
      <c r="B71" s="27" t="s">
        <v>11090</v>
      </c>
      <c r="C71" s="28">
        <v>1</v>
      </c>
      <c r="D71" s="29">
        <v>18.75</v>
      </c>
      <c r="E71" s="29">
        <v>18.75</v>
      </c>
      <c r="F71" s="30">
        <v>59</v>
      </c>
      <c r="G71" s="29">
        <v>59</v>
      </c>
      <c r="H71" s="28" t="s">
        <v>1130</v>
      </c>
      <c r="I71" s="27" t="s">
        <v>36</v>
      </c>
      <c r="J71" s="31" t="s">
        <v>52</v>
      </c>
      <c r="K71" s="27" t="s">
        <v>37</v>
      </c>
      <c r="L71" s="27" t="s">
        <v>38</v>
      </c>
      <c r="M71" s="32" t="str">
        <f>HYPERLINK("http://slimages.macys.com/is/image/MCY/3667812 ")</f>
        <v xml:space="preserve">http://slimages.macys.com/is/image/MCY/3667812 </v>
      </c>
    </row>
    <row r="72" spans="1:13" ht="15.2" customHeight="1" x14ac:dyDescent="0.2">
      <c r="A72" s="26" t="s">
        <v>10276</v>
      </c>
      <c r="B72" s="27" t="s">
        <v>10277</v>
      </c>
      <c r="C72" s="28">
        <v>1</v>
      </c>
      <c r="D72" s="29">
        <v>18.04</v>
      </c>
      <c r="E72" s="29">
        <v>18.04</v>
      </c>
      <c r="F72" s="30">
        <v>49.5</v>
      </c>
      <c r="G72" s="29">
        <v>49.5</v>
      </c>
      <c r="H72" s="28" t="s">
        <v>97</v>
      </c>
      <c r="I72" s="27" t="s">
        <v>22</v>
      </c>
      <c r="J72" s="31" t="s">
        <v>21</v>
      </c>
      <c r="K72" s="27" t="s">
        <v>41</v>
      </c>
      <c r="L72" s="27" t="s">
        <v>31</v>
      </c>
      <c r="M72" s="32" t="str">
        <f>HYPERLINK("http://slimages.macys.com/is/image/MCY/3810819 ")</f>
        <v xml:space="preserve">http://slimages.macys.com/is/image/MCY/3810819 </v>
      </c>
    </row>
    <row r="73" spans="1:13" ht="15.2" customHeight="1" x14ac:dyDescent="0.2">
      <c r="A73" s="26" t="s">
        <v>8259</v>
      </c>
      <c r="B73" s="27" t="s">
        <v>8260</v>
      </c>
      <c r="C73" s="28">
        <v>1</v>
      </c>
      <c r="D73" s="29">
        <v>18</v>
      </c>
      <c r="E73" s="29">
        <v>18</v>
      </c>
      <c r="F73" s="30">
        <v>59</v>
      </c>
      <c r="G73" s="29">
        <v>59</v>
      </c>
      <c r="H73" s="28" t="s">
        <v>100</v>
      </c>
      <c r="I73" s="27" t="s">
        <v>4</v>
      </c>
      <c r="J73" s="31" t="s">
        <v>65</v>
      </c>
      <c r="K73" s="27" t="s">
        <v>24</v>
      </c>
      <c r="L73" s="27" t="s">
        <v>101</v>
      </c>
      <c r="M73" s="32" t="str">
        <f>HYPERLINK("http://slimages.macys.com/is/image/MCY/3912998 ")</f>
        <v xml:space="preserve">http://slimages.macys.com/is/image/MCY/3912998 </v>
      </c>
    </row>
    <row r="74" spans="1:13" ht="15.2" customHeight="1" x14ac:dyDescent="0.2">
      <c r="A74" s="26" t="s">
        <v>11091</v>
      </c>
      <c r="B74" s="27" t="s">
        <v>11092</v>
      </c>
      <c r="C74" s="28">
        <v>1</v>
      </c>
      <c r="D74" s="29">
        <v>17.850000000000001</v>
      </c>
      <c r="E74" s="29">
        <v>17.850000000000001</v>
      </c>
      <c r="F74" s="30">
        <v>59.5</v>
      </c>
      <c r="G74" s="29">
        <v>59.5</v>
      </c>
      <c r="H74" s="28">
        <v>60433858</v>
      </c>
      <c r="I74" s="27" t="s">
        <v>4</v>
      </c>
      <c r="J74" s="31" t="s">
        <v>21</v>
      </c>
      <c r="K74" s="27" t="s">
        <v>6</v>
      </c>
      <c r="L74" s="27" t="s">
        <v>7</v>
      </c>
      <c r="M74" s="32" t="str">
        <f>HYPERLINK("http://slimages.macys.com/is/image/MCY/3894748 ")</f>
        <v xml:space="preserve">http://slimages.macys.com/is/image/MCY/3894748 </v>
      </c>
    </row>
    <row r="75" spans="1:13" ht="15.2" customHeight="1" x14ac:dyDescent="0.2">
      <c r="A75" s="26" t="s">
        <v>4969</v>
      </c>
      <c r="B75" s="27" t="s">
        <v>4970</v>
      </c>
      <c r="C75" s="28">
        <v>1</v>
      </c>
      <c r="D75" s="29">
        <v>17.850000000000001</v>
      </c>
      <c r="E75" s="29">
        <v>17.850000000000001</v>
      </c>
      <c r="F75" s="30">
        <v>59.5</v>
      </c>
      <c r="G75" s="29">
        <v>59.5</v>
      </c>
      <c r="H75" s="28">
        <v>49008661</v>
      </c>
      <c r="I75" s="27" t="s">
        <v>22</v>
      </c>
      <c r="J75" s="31" t="s">
        <v>52</v>
      </c>
      <c r="K75" s="27" t="s">
        <v>6</v>
      </c>
      <c r="L75" s="27" t="s">
        <v>7</v>
      </c>
      <c r="M75" s="32" t="str">
        <f>HYPERLINK("http://slimages.macys.com/is/image/MCY/3879441 ")</f>
        <v xml:space="preserve">http://slimages.macys.com/is/image/MCY/3879441 </v>
      </c>
    </row>
    <row r="76" spans="1:13" ht="15.2" customHeight="1" x14ac:dyDescent="0.2">
      <c r="A76" s="26" t="s">
        <v>11093</v>
      </c>
      <c r="B76" s="27" t="s">
        <v>11094</v>
      </c>
      <c r="C76" s="28">
        <v>1</v>
      </c>
      <c r="D76" s="29">
        <v>17.75</v>
      </c>
      <c r="E76" s="29">
        <v>17.75</v>
      </c>
      <c r="F76" s="30">
        <v>49.5</v>
      </c>
      <c r="G76" s="29">
        <v>49.5</v>
      </c>
      <c r="H76" s="28" t="s">
        <v>1152</v>
      </c>
      <c r="I76" s="27" t="s">
        <v>26</v>
      </c>
      <c r="J76" s="31" t="s">
        <v>52</v>
      </c>
      <c r="K76" s="27" t="s">
        <v>41</v>
      </c>
      <c r="L76" s="27" t="s">
        <v>45</v>
      </c>
      <c r="M76" s="32" t="str">
        <f>HYPERLINK("http://slimages.macys.com/is/image/MCY/3367565 ")</f>
        <v xml:space="preserve">http://slimages.macys.com/is/image/MCY/3367565 </v>
      </c>
    </row>
    <row r="77" spans="1:13" ht="15.2" customHeight="1" x14ac:dyDescent="0.2">
      <c r="A77" s="26" t="s">
        <v>11095</v>
      </c>
      <c r="B77" s="27" t="s">
        <v>11096</v>
      </c>
      <c r="C77" s="28">
        <v>1</v>
      </c>
      <c r="D77" s="29">
        <v>17.579999999999998</v>
      </c>
      <c r="E77" s="29">
        <v>17.579999999999998</v>
      </c>
      <c r="F77" s="30">
        <v>34.99</v>
      </c>
      <c r="G77" s="29">
        <v>34.99</v>
      </c>
      <c r="H77" s="28">
        <v>323170033</v>
      </c>
      <c r="I77" s="27" t="s">
        <v>59</v>
      </c>
      <c r="J77" s="31"/>
      <c r="K77" s="27" t="s">
        <v>2</v>
      </c>
      <c r="L77" s="27" t="s">
        <v>3</v>
      </c>
      <c r="M77" s="32" t="str">
        <f>HYPERLINK("http://slimages.macys.com/is/image/MCY/2885912 ")</f>
        <v xml:space="preserve">http://slimages.macys.com/is/image/MCY/2885912 </v>
      </c>
    </row>
    <row r="78" spans="1:13" ht="15.2" customHeight="1" x14ac:dyDescent="0.2">
      <c r="A78" s="26" t="s">
        <v>11097</v>
      </c>
      <c r="B78" s="27" t="s">
        <v>11098</v>
      </c>
      <c r="C78" s="28">
        <v>1</v>
      </c>
      <c r="D78" s="29">
        <v>17.52</v>
      </c>
      <c r="E78" s="29">
        <v>17.52</v>
      </c>
      <c r="F78" s="30">
        <v>49.5</v>
      </c>
      <c r="G78" s="29">
        <v>49.5</v>
      </c>
      <c r="H78" s="28" t="s">
        <v>106</v>
      </c>
      <c r="I78" s="27" t="s">
        <v>107</v>
      </c>
      <c r="J78" s="31" t="s">
        <v>2550</v>
      </c>
      <c r="K78" s="27" t="s">
        <v>41</v>
      </c>
      <c r="L78" s="27" t="s">
        <v>109</v>
      </c>
      <c r="M78" s="32" t="str">
        <f>HYPERLINK("http://slimages.macys.com/is/image/MCY/3367561 ")</f>
        <v xml:space="preserve">http://slimages.macys.com/is/image/MCY/3367561 </v>
      </c>
    </row>
    <row r="79" spans="1:13" ht="15.2" customHeight="1" x14ac:dyDescent="0.2">
      <c r="A79" s="26" t="s">
        <v>111</v>
      </c>
      <c r="B79" s="27" t="s">
        <v>112</v>
      </c>
      <c r="C79" s="28">
        <v>1</v>
      </c>
      <c r="D79" s="29">
        <v>17.52</v>
      </c>
      <c r="E79" s="29">
        <v>17.52</v>
      </c>
      <c r="F79" s="30">
        <v>49.5</v>
      </c>
      <c r="G79" s="29">
        <v>49.5</v>
      </c>
      <c r="H79" s="28" t="s">
        <v>106</v>
      </c>
      <c r="I79" s="27" t="s">
        <v>107</v>
      </c>
      <c r="J79" s="31" t="s">
        <v>113</v>
      </c>
      <c r="K79" s="27" t="s">
        <v>41</v>
      </c>
      <c r="L79" s="27" t="s">
        <v>109</v>
      </c>
      <c r="M79" s="32" t="str">
        <f>HYPERLINK("http://slimages.macys.com/is/image/MCY/3367561 ")</f>
        <v xml:space="preserve">http://slimages.macys.com/is/image/MCY/3367561 </v>
      </c>
    </row>
    <row r="80" spans="1:13" ht="15.2" customHeight="1" x14ac:dyDescent="0.2">
      <c r="A80" s="26" t="s">
        <v>11099</v>
      </c>
      <c r="B80" s="27" t="s">
        <v>11100</v>
      </c>
      <c r="C80" s="28">
        <v>1</v>
      </c>
      <c r="D80" s="29">
        <v>17.25</v>
      </c>
      <c r="E80" s="29">
        <v>17.25</v>
      </c>
      <c r="F80" s="30">
        <v>49</v>
      </c>
      <c r="G80" s="29">
        <v>49</v>
      </c>
      <c r="H80" s="28" t="s">
        <v>119</v>
      </c>
      <c r="I80" s="27" t="s">
        <v>10</v>
      </c>
      <c r="J80" s="31" t="s">
        <v>71</v>
      </c>
      <c r="K80" s="27" t="s">
        <v>37</v>
      </c>
      <c r="L80" s="27" t="s">
        <v>38</v>
      </c>
      <c r="M80" s="32" t="str">
        <f>HYPERLINK("http://slimages.macys.com/is/image/MCY/3507100 ")</f>
        <v xml:space="preserve">http://slimages.macys.com/is/image/MCY/3507100 </v>
      </c>
    </row>
    <row r="81" spans="1:13" ht="15.2" customHeight="1" x14ac:dyDescent="0.2">
      <c r="A81" s="26" t="s">
        <v>11101</v>
      </c>
      <c r="B81" s="27" t="s">
        <v>11102</v>
      </c>
      <c r="C81" s="28">
        <v>1</v>
      </c>
      <c r="D81" s="29">
        <v>17</v>
      </c>
      <c r="E81" s="29">
        <v>17</v>
      </c>
      <c r="F81" s="30">
        <v>44.99</v>
      </c>
      <c r="G81" s="29">
        <v>44.99</v>
      </c>
      <c r="H81" s="28" t="s">
        <v>2831</v>
      </c>
      <c r="I81" s="27" t="s">
        <v>302</v>
      </c>
      <c r="J81" s="31" t="s">
        <v>65</v>
      </c>
      <c r="K81" s="27" t="s">
        <v>70</v>
      </c>
      <c r="L81" s="27" t="s">
        <v>128</v>
      </c>
      <c r="M81" s="32" t="str">
        <f>HYPERLINK("http://slimages.macys.com/is/image/MCY/3723575 ")</f>
        <v xml:space="preserve">http://slimages.macys.com/is/image/MCY/3723575 </v>
      </c>
    </row>
    <row r="82" spans="1:13" ht="15.2" customHeight="1" x14ac:dyDescent="0.2">
      <c r="A82" s="26" t="s">
        <v>124</v>
      </c>
      <c r="B82" s="27" t="s">
        <v>125</v>
      </c>
      <c r="C82" s="28">
        <v>1</v>
      </c>
      <c r="D82" s="29">
        <v>17</v>
      </c>
      <c r="E82" s="29">
        <v>17</v>
      </c>
      <c r="F82" s="30">
        <v>59</v>
      </c>
      <c r="G82" s="29">
        <v>59</v>
      </c>
      <c r="H82" s="28" t="s">
        <v>126</v>
      </c>
      <c r="I82" s="27" t="s">
        <v>127</v>
      </c>
      <c r="J82" s="31" t="s">
        <v>52</v>
      </c>
      <c r="K82" s="27" t="s">
        <v>24</v>
      </c>
      <c r="L82" s="27" t="s">
        <v>128</v>
      </c>
      <c r="M82" s="32" t="str">
        <f>HYPERLINK("http://slimages.macys.com/is/image/MCY/3739613 ")</f>
        <v xml:space="preserve">http://slimages.macys.com/is/image/MCY/3739613 </v>
      </c>
    </row>
    <row r="83" spans="1:13" ht="15.2" customHeight="1" x14ac:dyDescent="0.2">
      <c r="A83" s="26" t="s">
        <v>6891</v>
      </c>
      <c r="B83" s="27" t="s">
        <v>6892</v>
      </c>
      <c r="C83" s="28">
        <v>1</v>
      </c>
      <c r="D83" s="29">
        <v>17</v>
      </c>
      <c r="E83" s="29">
        <v>17</v>
      </c>
      <c r="F83" s="30">
        <v>41.99</v>
      </c>
      <c r="G83" s="29">
        <v>41.99</v>
      </c>
      <c r="H83" s="28" t="s">
        <v>4983</v>
      </c>
      <c r="I83" s="27"/>
      <c r="J83" s="31" t="s">
        <v>21</v>
      </c>
      <c r="K83" s="27" t="s">
        <v>70</v>
      </c>
      <c r="L83" s="27" t="s">
        <v>155</v>
      </c>
      <c r="M83" s="32" t="str">
        <f>HYPERLINK("http://slimages.macys.com/is/image/MCY/3814502 ")</f>
        <v xml:space="preserve">http://slimages.macys.com/is/image/MCY/3814502 </v>
      </c>
    </row>
    <row r="84" spans="1:13" ht="15.2" customHeight="1" x14ac:dyDescent="0.2">
      <c r="A84" s="26" t="s">
        <v>7727</v>
      </c>
      <c r="B84" s="27" t="s">
        <v>7728</v>
      </c>
      <c r="C84" s="28">
        <v>1</v>
      </c>
      <c r="D84" s="29">
        <v>17</v>
      </c>
      <c r="E84" s="29">
        <v>17</v>
      </c>
      <c r="F84" s="30">
        <v>59</v>
      </c>
      <c r="G84" s="29">
        <v>59</v>
      </c>
      <c r="H84" s="28" t="s">
        <v>7367</v>
      </c>
      <c r="I84" s="27" t="s">
        <v>29</v>
      </c>
      <c r="J84" s="31" t="s">
        <v>52</v>
      </c>
      <c r="K84" s="27" t="s">
        <v>154</v>
      </c>
      <c r="L84" s="27" t="s">
        <v>155</v>
      </c>
      <c r="M84" s="32" t="str">
        <f>HYPERLINK("http://slimages.macys.com/is/image/MCY/3667499 ")</f>
        <v xml:space="preserve">http://slimages.macys.com/is/image/MCY/3667499 </v>
      </c>
    </row>
    <row r="85" spans="1:13" ht="15.2" customHeight="1" x14ac:dyDescent="0.2">
      <c r="A85" s="26" t="s">
        <v>11103</v>
      </c>
      <c r="B85" s="27" t="s">
        <v>11104</v>
      </c>
      <c r="C85" s="28">
        <v>1</v>
      </c>
      <c r="D85" s="29">
        <v>16.75</v>
      </c>
      <c r="E85" s="29">
        <v>16.75</v>
      </c>
      <c r="F85" s="30">
        <v>59</v>
      </c>
      <c r="G85" s="29">
        <v>59</v>
      </c>
      <c r="H85" s="28" t="s">
        <v>11105</v>
      </c>
      <c r="I85" s="27" t="s">
        <v>36</v>
      </c>
      <c r="J85" s="31"/>
      <c r="K85" s="27" t="s">
        <v>37</v>
      </c>
      <c r="L85" s="27" t="s">
        <v>38</v>
      </c>
      <c r="M85" s="32" t="str">
        <f>HYPERLINK("http://slimages.macys.com/is/image/MCY/3667639 ")</f>
        <v xml:space="preserve">http://slimages.macys.com/is/image/MCY/3667639 </v>
      </c>
    </row>
    <row r="86" spans="1:13" ht="15.2" customHeight="1" x14ac:dyDescent="0.2">
      <c r="A86" s="26" t="s">
        <v>11106</v>
      </c>
      <c r="B86" s="27" t="s">
        <v>11107</v>
      </c>
      <c r="C86" s="28">
        <v>1</v>
      </c>
      <c r="D86" s="29">
        <v>16.75</v>
      </c>
      <c r="E86" s="29">
        <v>16.75</v>
      </c>
      <c r="F86" s="30">
        <v>59</v>
      </c>
      <c r="G86" s="29">
        <v>59</v>
      </c>
      <c r="H86" s="28" t="s">
        <v>11108</v>
      </c>
      <c r="I86" s="27" t="s">
        <v>59</v>
      </c>
      <c r="J86" s="31"/>
      <c r="K86" s="27" t="s">
        <v>1089</v>
      </c>
      <c r="L86" s="27" t="s">
        <v>10744</v>
      </c>
      <c r="M86" s="32" t="str">
        <f>HYPERLINK("http://slimages.macys.com/is/image/MCY/3432514 ")</f>
        <v xml:space="preserve">http://slimages.macys.com/is/image/MCY/3432514 </v>
      </c>
    </row>
    <row r="87" spans="1:13" ht="15.2" customHeight="1" x14ac:dyDescent="0.2">
      <c r="A87" s="26" t="s">
        <v>9913</v>
      </c>
      <c r="B87" s="27" t="s">
        <v>9914</v>
      </c>
      <c r="C87" s="28">
        <v>1</v>
      </c>
      <c r="D87" s="29">
        <v>16.53</v>
      </c>
      <c r="E87" s="29">
        <v>16.53</v>
      </c>
      <c r="F87" s="30">
        <v>49.5</v>
      </c>
      <c r="G87" s="29">
        <v>49.5</v>
      </c>
      <c r="H87" s="28" t="s">
        <v>9915</v>
      </c>
      <c r="I87" s="27" t="s">
        <v>82</v>
      </c>
      <c r="J87" s="31" t="s">
        <v>71</v>
      </c>
      <c r="K87" s="27" t="s">
        <v>53</v>
      </c>
      <c r="L87" s="27" t="s">
        <v>54</v>
      </c>
      <c r="M87" s="32" t="str">
        <f>HYPERLINK("http://slimages.macys.com/is/image/MCY/2759255 ")</f>
        <v xml:space="preserve">http://slimages.macys.com/is/image/MCY/2759255 </v>
      </c>
    </row>
    <row r="88" spans="1:13" ht="15.2" customHeight="1" x14ac:dyDescent="0.2">
      <c r="A88" s="26" t="s">
        <v>1159</v>
      </c>
      <c r="B88" s="27" t="s">
        <v>1160</v>
      </c>
      <c r="C88" s="28">
        <v>1</v>
      </c>
      <c r="D88" s="29">
        <v>16.5</v>
      </c>
      <c r="E88" s="29">
        <v>16.5</v>
      </c>
      <c r="F88" s="30">
        <v>39.99</v>
      </c>
      <c r="G88" s="29">
        <v>39.99</v>
      </c>
      <c r="H88" s="28" t="s">
        <v>1161</v>
      </c>
      <c r="I88" s="27" t="s">
        <v>10</v>
      </c>
      <c r="J88" s="31" t="s">
        <v>21</v>
      </c>
      <c r="K88" s="27" t="s">
        <v>70</v>
      </c>
      <c r="L88" s="27" t="s">
        <v>650</v>
      </c>
      <c r="M88" s="32" t="str">
        <f>HYPERLINK("http://slimages.macys.com/is/image/MCY/3773662 ")</f>
        <v xml:space="preserve">http://slimages.macys.com/is/image/MCY/3773662 </v>
      </c>
    </row>
    <row r="89" spans="1:13" ht="15.2" customHeight="1" x14ac:dyDescent="0.2">
      <c r="A89" s="26" t="s">
        <v>6013</v>
      </c>
      <c r="B89" s="27" t="s">
        <v>6014</v>
      </c>
      <c r="C89" s="28">
        <v>1</v>
      </c>
      <c r="D89" s="29">
        <v>16.36</v>
      </c>
      <c r="E89" s="29">
        <v>16.36</v>
      </c>
      <c r="F89" s="30">
        <v>44.5</v>
      </c>
      <c r="G89" s="29">
        <v>44.5</v>
      </c>
      <c r="H89" s="28" t="s">
        <v>1162</v>
      </c>
      <c r="I89" s="27" t="s">
        <v>4</v>
      </c>
      <c r="J89" s="31" t="s">
        <v>52</v>
      </c>
      <c r="K89" s="27" t="s">
        <v>53</v>
      </c>
      <c r="L89" s="27" t="s">
        <v>54</v>
      </c>
      <c r="M89" s="32" t="str">
        <f>HYPERLINK("http://slimages.macys.com/is/image/MCY/3718548 ")</f>
        <v xml:space="preserve">http://slimages.macys.com/is/image/MCY/3718548 </v>
      </c>
    </row>
    <row r="90" spans="1:13" ht="15.2" customHeight="1" x14ac:dyDescent="0.2">
      <c r="A90" s="26" t="s">
        <v>11109</v>
      </c>
      <c r="B90" s="27" t="s">
        <v>11110</v>
      </c>
      <c r="C90" s="28">
        <v>1</v>
      </c>
      <c r="D90" s="29">
        <v>16.329999999999998</v>
      </c>
      <c r="E90" s="29">
        <v>16.329999999999998</v>
      </c>
      <c r="F90" s="30">
        <v>39.5</v>
      </c>
      <c r="G90" s="29">
        <v>39.5</v>
      </c>
      <c r="H90" s="28" t="s">
        <v>9539</v>
      </c>
      <c r="I90" s="27" t="s">
        <v>29</v>
      </c>
      <c r="J90" s="31" t="s">
        <v>71</v>
      </c>
      <c r="K90" s="27" t="s">
        <v>41</v>
      </c>
      <c r="L90" s="27" t="s">
        <v>45</v>
      </c>
      <c r="M90" s="32" t="str">
        <f>HYPERLINK("http://slimages.macys.com/is/image/MCY/3612503 ")</f>
        <v xml:space="preserve">http://slimages.macys.com/is/image/MCY/3612503 </v>
      </c>
    </row>
    <row r="91" spans="1:13" ht="15.2" customHeight="1" x14ac:dyDescent="0.2">
      <c r="A91" s="26" t="s">
        <v>11111</v>
      </c>
      <c r="B91" s="27" t="s">
        <v>11112</v>
      </c>
      <c r="C91" s="28">
        <v>1</v>
      </c>
      <c r="D91" s="29">
        <v>16.25</v>
      </c>
      <c r="E91" s="29">
        <v>16.25</v>
      </c>
      <c r="F91" s="30">
        <v>44.5</v>
      </c>
      <c r="G91" s="29">
        <v>44.5</v>
      </c>
      <c r="H91" s="28" t="s">
        <v>6909</v>
      </c>
      <c r="I91" s="27" t="s">
        <v>4</v>
      </c>
      <c r="J91" s="31" t="s">
        <v>5</v>
      </c>
      <c r="K91" s="27" t="s">
        <v>53</v>
      </c>
      <c r="L91" s="27" t="s">
        <v>54</v>
      </c>
      <c r="M91" s="32" t="str">
        <f>HYPERLINK("http://slimages.macys.com/is/image/MCY/3582142 ")</f>
        <v xml:space="preserve">http://slimages.macys.com/is/image/MCY/3582142 </v>
      </c>
    </row>
    <row r="92" spans="1:13" ht="15.2" customHeight="1" x14ac:dyDescent="0.2">
      <c r="A92" s="26" t="s">
        <v>2112</v>
      </c>
      <c r="B92" s="27" t="s">
        <v>2113</v>
      </c>
      <c r="C92" s="28">
        <v>1</v>
      </c>
      <c r="D92" s="29">
        <v>16.239999999999998</v>
      </c>
      <c r="E92" s="29">
        <v>16.239999999999998</v>
      </c>
      <c r="F92" s="30">
        <v>44.5</v>
      </c>
      <c r="G92" s="29">
        <v>44.5</v>
      </c>
      <c r="H92" s="28">
        <v>40329</v>
      </c>
      <c r="I92" s="27" t="s">
        <v>94</v>
      </c>
      <c r="J92" s="31" t="s">
        <v>5</v>
      </c>
      <c r="K92" s="27" t="s">
        <v>41</v>
      </c>
      <c r="L92" s="27" t="s">
        <v>90</v>
      </c>
      <c r="M92" s="32" t="str">
        <f>HYPERLINK("http://slimages.macys.com/is/image/MCY/3774436 ")</f>
        <v xml:space="preserve">http://slimages.macys.com/is/image/MCY/3774436 </v>
      </c>
    </row>
    <row r="93" spans="1:13" ht="15.2" customHeight="1" x14ac:dyDescent="0.2">
      <c r="A93" s="26" t="s">
        <v>11016</v>
      </c>
      <c r="B93" s="27" t="s">
        <v>11017</v>
      </c>
      <c r="C93" s="28">
        <v>1</v>
      </c>
      <c r="D93" s="29">
        <v>15.75</v>
      </c>
      <c r="E93" s="29">
        <v>15.75</v>
      </c>
      <c r="F93" s="30">
        <v>49</v>
      </c>
      <c r="G93" s="29">
        <v>49</v>
      </c>
      <c r="H93" s="28" t="s">
        <v>1166</v>
      </c>
      <c r="I93" s="27" t="s">
        <v>377</v>
      </c>
      <c r="J93" s="31" t="s">
        <v>21</v>
      </c>
      <c r="K93" s="27" t="s">
        <v>37</v>
      </c>
      <c r="L93" s="27" t="s">
        <v>38</v>
      </c>
      <c r="M93" s="32" t="str">
        <f>HYPERLINK("http://slimages.macys.com/is/image/MCY/3670401 ")</f>
        <v xml:space="preserve">http://slimages.macys.com/is/image/MCY/3670401 </v>
      </c>
    </row>
    <row r="94" spans="1:13" ht="15.2" customHeight="1" x14ac:dyDescent="0.2">
      <c r="A94" s="26" t="s">
        <v>3756</v>
      </c>
      <c r="B94" s="27" t="s">
        <v>3757</v>
      </c>
      <c r="C94" s="28">
        <v>2</v>
      </c>
      <c r="D94" s="29">
        <v>15.75</v>
      </c>
      <c r="E94" s="29">
        <v>31.5</v>
      </c>
      <c r="F94" s="30">
        <v>49</v>
      </c>
      <c r="G94" s="29">
        <v>98</v>
      </c>
      <c r="H94" s="28" t="s">
        <v>145</v>
      </c>
      <c r="I94" s="27" t="s">
        <v>146</v>
      </c>
      <c r="J94" s="31" t="s">
        <v>40</v>
      </c>
      <c r="K94" s="27" t="s">
        <v>37</v>
      </c>
      <c r="L94" s="27" t="s">
        <v>38</v>
      </c>
      <c r="M94" s="32" t="str">
        <f>HYPERLINK("http://slimages.macys.com/is/image/MCY/3667805 ")</f>
        <v xml:space="preserve">http://slimages.macys.com/is/image/MCY/3667805 </v>
      </c>
    </row>
    <row r="95" spans="1:13" ht="15.2" customHeight="1" x14ac:dyDescent="0.2">
      <c r="A95" s="26" t="s">
        <v>8546</v>
      </c>
      <c r="B95" s="27" t="s">
        <v>8547</v>
      </c>
      <c r="C95" s="28">
        <v>1</v>
      </c>
      <c r="D95" s="29">
        <v>15.75</v>
      </c>
      <c r="E95" s="29">
        <v>15.75</v>
      </c>
      <c r="F95" s="30">
        <v>49</v>
      </c>
      <c r="G95" s="29">
        <v>49</v>
      </c>
      <c r="H95" s="28" t="s">
        <v>3208</v>
      </c>
      <c r="I95" s="27" t="s">
        <v>36</v>
      </c>
      <c r="J95" s="31" t="s">
        <v>52</v>
      </c>
      <c r="K95" s="27" t="s">
        <v>37</v>
      </c>
      <c r="L95" s="27" t="s">
        <v>38</v>
      </c>
      <c r="M95" s="32" t="str">
        <f>HYPERLINK("http://slimages.macys.com/is/image/MCY/3667790 ")</f>
        <v xml:space="preserve">http://slimages.macys.com/is/image/MCY/3667790 </v>
      </c>
    </row>
    <row r="96" spans="1:13" ht="15.2" customHeight="1" x14ac:dyDescent="0.2">
      <c r="A96" s="26" t="s">
        <v>6458</v>
      </c>
      <c r="B96" s="27" t="s">
        <v>6459</v>
      </c>
      <c r="C96" s="28">
        <v>1</v>
      </c>
      <c r="D96" s="29">
        <v>15.75</v>
      </c>
      <c r="E96" s="29">
        <v>15.75</v>
      </c>
      <c r="F96" s="30">
        <v>49</v>
      </c>
      <c r="G96" s="29">
        <v>49</v>
      </c>
      <c r="H96" s="28" t="s">
        <v>3208</v>
      </c>
      <c r="I96" s="27" t="s">
        <v>36</v>
      </c>
      <c r="J96" s="31" t="s">
        <v>40</v>
      </c>
      <c r="K96" s="27" t="s">
        <v>37</v>
      </c>
      <c r="L96" s="27" t="s">
        <v>38</v>
      </c>
      <c r="M96" s="32" t="str">
        <f>HYPERLINK("http://slimages.macys.com/is/image/MCY/3667790 ")</f>
        <v xml:space="preserve">http://slimages.macys.com/is/image/MCY/3667790 </v>
      </c>
    </row>
    <row r="97" spans="1:13" ht="15.2" customHeight="1" x14ac:dyDescent="0.2">
      <c r="A97" s="26" t="s">
        <v>7372</v>
      </c>
      <c r="B97" s="27" t="s">
        <v>7373</v>
      </c>
      <c r="C97" s="28">
        <v>1</v>
      </c>
      <c r="D97" s="29">
        <v>15.75</v>
      </c>
      <c r="E97" s="29">
        <v>15.75</v>
      </c>
      <c r="F97" s="30">
        <v>49</v>
      </c>
      <c r="G97" s="29">
        <v>49</v>
      </c>
      <c r="H97" s="28" t="s">
        <v>712</v>
      </c>
      <c r="I97" s="27" t="s">
        <v>94</v>
      </c>
      <c r="J97" s="31" t="s">
        <v>52</v>
      </c>
      <c r="K97" s="27" t="s">
        <v>37</v>
      </c>
      <c r="L97" s="27" t="s">
        <v>38</v>
      </c>
      <c r="M97" s="32" t="str">
        <f>HYPERLINK("http://slimages.macys.com/is/image/MCY/3667771 ")</f>
        <v xml:space="preserve">http://slimages.macys.com/is/image/MCY/3667771 </v>
      </c>
    </row>
    <row r="98" spans="1:13" ht="15.2" customHeight="1" x14ac:dyDescent="0.2">
      <c r="A98" s="26" t="s">
        <v>3211</v>
      </c>
      <c r="B98" s="27" t="s">
        <v>3212</v>
      </c>
      <c r="C98" s="28">
        <v>1</v>
      </c>
      <c r="D98" s="29">
        <v>15.75</v>
      </c>
      <c r="E98" s="29">
        <v>15.75</v>
      </c>
      <c r="F98" s="30">
        <v>49</v>
      </c>
      <c r="G98" s="29">
        <v>49</v>
      </c>
      <c r="H98" s="28" t="s">
        <v>145</v>
      </c>
      <c r="I98" s="27" t="s">
        <v>146</v>
      </c>
      <c r="J98" s="31" t="s">
        <v>52</v>
      </c>
      <c r="K98" s="27" t="s">
        <v>37</v>
      </c>
      <c r="L98" s="27" t="s">
        <v>38</v>
      </c>
      <c r="M98" s="32" t="str">
        <f>HYPERLINK("http://slimages.macys.com/is/image/MCY/3667805 ")</f>
        <v xml:space="preserve">http://slimages.macys.com/is/image/MCY/3667805 </v>
      </c>
    </row>
    <row r="99" spans="1:13" ht="15.2" customHeight="1" x14ac:dyDescent="0.2">
      <c r="A99" s="26" t="s">
        <v>6019</v>
      </c>
      <c r="B99" s="27" t="s">
        <v>6020</v>
      </c>
      <c r="C99" s="28">
        <v>1</v>
      </c>
      <c r="D99" s="29">
        <v>15.2</v>
      </c>
      <c r="E99" s="29">
        <v>15.2</v>
      </c>
      <c r="F99" s="30">
        <v>44</v>
      </c>
      <c r="G99" s="29">
        <v>44</v>
      </c>
      <c r="H99" s="28" t="s">
        <v>6021</v>
      </c>
      <c r="I99" s="27"/>
      <c r="J99" s="31" t="s">
        <v>5</v>
      </c>
      <c r="K99" s="27" t="s">
        <v>42</v>
      </c>
      <c r="L99" s="27" t="s">
        <v>43</v>
      </c>
      <c r="M99" s="32" t="str">
        <f>HYPERLINK("http://slimages.macys.com/is/image/MCY/3611422 ")</f>
        <v xml:space="preserve">http://slimages.macys.com/is/image/MCY/3611422 </v>
      </c>
    </row>
    <row r="100" spans="1:13" ht="15.2" customHeight="1" x14ac:dyDescent="0.2">
      <c r="A100" s="26" t="s">
        <v>11113</v>
      </c>
      <c r="B100" s="27" t="s">
        <v>11114</v>
      </c>
      <c r="C100" s="28">
        <v>1</v>
      </c>
      <c r="D100" s="29">
        <v>15</v>
      </c>
      <c r="E100" s="29">
        <v>15</v>
      </c>
      <c r="F100" s="30">
        <v>27.99</v>
      </c>
      <c r="G100" s="29">
        <v>27.99</v>
      </c>
      <c r="H100" s="28" t="s">
        <v>8773</v>
      </c>
      <c r="I100" s="27" t="s">
        <v>152</v>
      </c>
      <c r="J100" s="31" t="s">
        <v>40</v>
      </c>
      <c r="K100" s="27" t="s">
        <v>224</v>
      </c>
      <c r="L100" s="27" t="s">
        <v>254</v>
      </c>
      <c r="M100" s="32" t="str">
        <f>HYPERLINK("http://slimages.macys.com/is/image/MCY/3905725 ")</f>
        <v xml:space="preserve">http://slimages.macys.com/is/image/MCY/3905725 </v>
      </c>
    </row>
    <row r="101" spans="1:13" ht="15.2" customHeight="1" x14ac:dyDescent="0.2">
      <c r="A101" s="26" t="s">
        <v>10801</v>
      </c>
      <c r="B101" s="27" t="s">
        <v>10802</v>
      </c>
      <c r="C101" s="28">
        <v>1</v>
      </c>
      <c r="D101" s="29">
        <v>15</v>
      </c>
      <c r="E101" s="29">
        <v>15</v>
      </c>
      <c r="F101" s="30">
        <v>39.5</v>
      </c>
      <c r="G101" s="29">
        <v>39.5</v>
      </c>
      <c r="H101" s="28" t="s">
        <v>718</v>
      </c>
      <c r="I101" s="27" t="s">
        <v>285</v>
      </c>
      <c r="J101" s="31" t="s">
        <v>71</v>
      </c>
      <c r="K101" s="27" t="s">
        <v>17</v>
      </c>
      <c r="L101" s="27" t="s">
        <v>18</v>
      </c>
      <c r="M101" s="32" t="str">
        <f>HYPERLINK("http://slimages.macys.com/is/image/MCY/3895640 ")</f>
        <v xml:space="preserve">http://slimages.macys.com/is/image/MCY/3895640 </v>
      </c>
    </row>
    <row r="102" spans="1:13" ht="15.2" customHeight="1" x14ac:dyDescent="0.2">
      <c r="A102" s="26" t="s">
        <v>11115</v>
      </c>
      <c r="B102" s="27" t="s">
        <v>11116</v>
      </c>
      <c r="C102" s="28">
        <v>1</v>
      </c>
      <c r="D102" s="29">
        <v>14.85</v>
      </c>
      <c r="E102" s="29">
        <v>14.85</v>
      </c>
      <c r="F102" s="30">
        <v>49.5</v>
      </c>
      <c r="G102" s="29">
        <v>49.5</v>
      </c>
      <c r="H102" s="28">
        <v>49008655</v>
      </c>
      <c r="I102" s="27" t="s">
        <v>39</v>
      </c>
      <c r="J102" s="31" t="s">
        <v>21</v>
      </c>
      <c r="K102" s="27" t="s">
        <v>6</v>
      </c>
      <c r="L102" s="27" t="s">
        <v>7</v>
      </c>
      <c r="M102" s="32" t="str">
        <f>HYPERLINK("http://slimages.macys.com/is/image/MCY/3900386 ")</f>
        <v xml:space="preserve">http://slimages.macys.com/is/image/MCY/3900386 </v>
      </c>
    </row>
    <row r="103" spans="1:13" ht="15.2" customHeight="1" x14ac:dyDescent="0.2">
      <c r="A103" s="26" t="s">
        <v>11117</v>
      </c>
      <c r="B103" s="27" t="s">
        <v>11118</v>
      </c>
      <c r="C103" s="28">
        <v>1</v>
      </c>
      <c r="D103" s="29">
        <v>14.5</v>
      </c>
      <c r="E103" s="29">
        <v>14.5</v>
      </c>
      <c r="F103" s="30">
        <v>49</v>
      </c>
      <c r="G103" s="29">
        <v>49</v>
      </c>
      <c r="H103" s="28" t="s">
        <v>170</v>
      </c>
      <c r="I103" s="27" t="s">
        <v>4</v>
      </c>
      <c r="J103" s="31" t="s">
        <v>65</v>
      </c>
      <c r="K103" s="27" t="s">
        <v>154</v>
      </c>
      <c r="L103" s="27" t="s">
        <v>155</v>
      </c>
      <c r="M103" s="32" t="str">
        <f>HYPERLINK("http://slimages.macys.com/is/image/MCY/3801863 ")</f>
        <v xml:space="preserve">http://slimages.macys.com/is/image/MCY/3801863 </v>
      </c>
    </row>
    <row r="104" spans="1:13" ht="15.2" customHeight="1" x14ac:dyDescent="0.2">
      <c r="A104" s="26" t="s">
        <v>9792</v>
      </c>
      <c r="B104" s="27" t="s">
        <v>9793</v>
      </c>
      <c r="C104" s="28">
        <v>1</v>
      </c>
      <c r="D104" s="29">
        <v>14.5</v>
      </c>
      <c r="E104" s="29">
        <v>14.5</v>
      </c>
      <c r="F104" s="30">
        <v>39.5</v>
      </c>
      <c r="G104" s="29">
        <v>39.5</v>
      </c>
      <c r="H104" s="28" t="s">
        <v>2849</v>
      </c>
      <c r="I104" s="27" t="s">
        <v>64</v>
      </c>
      <c r="J104" s="31" t="s">
        <v>40</v>
      </c>
      <c r="K104" s="27" t="s">
        <v>53</v>
      </c>
      <c r="L104" s="27" t="s">
        <v>54</v>
      </c>
      <c r="M104" s="32" t="str">
        <f>HYPERLINK("http://slimages.macys.com/is/image/MCY/3578526 ")</f>
        <v xml:space="preserve">http://slimages.macys.com/is/image/MCY/3578526 </v>
      </c>
    </row>
    <row r="105" spans="1:13" ht="15.2" customHeight="1" x14ac:dyDescent="0.2">
      <c r="A105" s="26" t="s">
        <v>11119</v>
      </c>
      <c r="B105" s="27" t="s">
        <v>11120</v>
      </c>
      <c r="C105" s="28">
        <v>1</v>
      </c>
      <c r="D105" s="29">
        <v>14.5</v>
      </c>
      <c r="E105" s="29">
        <v>14.5</v>
      </c>
      <c r="F105" s="30">
        <v>39.5</v>
      </c>
      <c r="G105" s="29">
        <v>39.5</v>
      </c>
      <c r="H105" s="28" t="s">
        <v>2849</v>
      </c>
      <c r="I105" s="27" t="s">
        <v>64</v>
      </c>
      <c r="J105" s="31" t="s">
        <v>52</v>
      </c>
      <c r="K105" s="27" t="s">
        <v>53</v>
      </c>
      <c r="L105" s="27" t="s">
        <v>54</v>
      </c>
      <c r="M105" s="32" t="str">
        <f>HYPERLINK("http://slimages.macys.com/is/image/MCY/3578526 ")</f>
        <v xml:space="preserve">http://slimages.macys.com/is/image/MCY/3578526 </v>
      </c>
    </row>
    <row r="106" spans="1:13" ht="15.2" customHeight="1" x14ac:dyDescent="0.2">
      <c r="A106" s="26" t="s">
        <v>10228</v>
      </c>
      <c r="B106" s="27" t="s">
        <v>10229</v>
      </c>
      <c r="C106" s="28">
        <v>3</v>
      </c>
      <c r="D106" s="29">
        <v>14.5</v>
      </c>
      <c r="E106" s="29">
        <v>43.5</v>
      </c>
      <c r="F106" s="30">
        <v>49</v>
      </c>
      <c r="G106" s="29">
        <v>147</v>
      </c>
      <c r="H106" s="28" t="s">
        <v>170</v>
      </c>
      <c r="I106" s="27" t="s">
        <v>4</v>
      </c>
      <c r="J106" s="31" t="s">
        <v>5</v>
      </c>
      <c r="K106" s="27" t="s">
        <v>154</v>
      </c>
      <c r="L106" s="27" t="s">
        <v>155</v>
      </c>
      <c r="M106" s="32" t="str">
        <f>HYPERLINK("http://slimages.macys.com/is/image/MCY/3801863 ")</f>
        <v xml:space="preserve">http://slimages.macys.com/is/image/MCY/3801863 </v>
      </c>
    </row>
    <row r="107" spans="1:13" ht="15.2" customHeight="1" x14ac:dyDescent="0.2">
      <c r="A107" s="26" t="s">
        <v>168</v>
      </c>
      <c r="B107" s="27" t="s">
        <v>169</v>
      </c>
      <c r="C107" s="28">
        <v>3</v>
      </c>
      <c r="D107" s="29">
        <v>14.5</v>
      </c>
      <c r="E107" s="29">
        <v>43.5</v>
      </c>
      <c r="F107" s="30">
        <v>49</v>
      </c>
      <c r="G107" s="29">
        <v>147</v>
      </c>
      <c r="H107" s="28" t="s">
        <v>170</v>
      </c>
      <c r="I107" s="27" t="s">
        <v>4</v>
      </c>
      <c r="J107" s="31" t="s">
        <v>21</v>
      </c>
      <c r="K107" s="27" t="s">
        <v>154</v>
      </c>
      <c r="L107" s="27" t="s">
        <v>155</v>
      </c>
      <c r="M107" s="32" t="str">
        <f>HYPERLINK("http://slimages.macys.com/is/image/MCY/3801863 ")</f>
        <v xml:space="preserve">http://slimages.macys.com/is/image/MCY/3801863 </v>
      </c>
    </row>
    <row r="108" spans="1:13" ht="15.2" customHeight="1" x14ac:dyDescent="0.2">
      <c r="A108" s="26" t="s">
        <v>7504</v>
      </c>
      <c r="B108" s="27" t="s">
        <v>7505</v>
      </c>
      <c r="C108" s="28">
        <v>1</v>
      </c>
      <c r="D108" s="29">
        <v>14.5</v>
      </c>
      <c r="E108" s="29">
        <v>14.5</v>
      </c>
      <c r="F108" s="30">
        <v>49</v>
      </c>
      <c r="G108" s="29">
        <v>49</v>
      </c>
      <c r="H108" s="28" t="s">
        <v>170</v>
      </c>
      <c r="I108" s="27" t="s">
        <v>4</v>
      </c>
      <c r="J108" s="31" t="s">
        <v>40</v>
      </c>
      <c r="K108" s="27" t="s">
        <v>154</v>
      </c>
      <c r="L108" s="27" t="s">
        <v>155</v>
      </c>
      <c r="M108" s="32" t="str">
        <f>HYPERLINK("http://slimages.macys.com/is/image/MCY/3801863 ")</f>
        <v xml:space="preserve">http://slimages.macys.com/is/image/MCY/3801863 </v>
      </c>
    </row>
    <row r="109" spans="1:13" ht="15.2" customHeight="1" x14ac:dyDescent="0.2">
      <c r="A109" s="26" t="s">
        <v>11121</v>
      </c>
      <c r="B109" s="27" t="s">
        <v>11122</v>
      </c>
      <c r="C109" s="28">
        <v>1</v>
      </c>
      <c r="D109" s="29">
        <v>14.5</v>
      </c>
      <c r="E109" s="29">
        <v>14.5</v>
      </c>
      <c r="F109" s="30">
        <v>34.99</v>
      </c>
      <c r="G109" s="29">
        <v>34.99</v>
      </c>
      <c r="H109" s="28" t="s">
        <v>6479</v>
      </c>
      <c r="I109" s="27" t="s">
        <v>82</v>
      </c>
      <c r="J109" s="31" t="s">
        <v>69</v>
      </c>
      <c r="K109" s="27" t="s">
        <v>200</v>
      </c>
      <c r="L109" s="27" t="s">
        <v>133</v>
      </c>
      <c r="M109" s="32" t="str">
        <f>HYPERLINK("http://slimages.macys.com/is/image/MCY/3866390 ")</f>
        <v xml:space="preserve">http://slimages.macys.com/is/image/MCY/3866390 </v>
      </c>
    </row>
    <row r="110" spans="1:13" ht="15.2" customHeight="1" x14ac:dyDescent="0.2">
      <c r="A110" s="26" t="s">
        <v>7650</v>
      </c>
      <c r="B110" s="27" t="s">
        <v>7651</v>
      </c>
      <c r="C110" s="28">
        <v>1</v>
      </c>
      <c r="D110" s="29">
        <v>14.5</v>
      </c>
      <c r="E110" s="29">
        <v>14.5</v>
      </c>
      <c r="F110" s="30">
        <v>34.99</v>
      </c>
      <c r="G110" s="29">
        <v>34.99</v>
      </c>
      <c r="H110" s="28" t="s">
        <v>732</v>
      </c>
      <c r="I110" s="27" t="s">
        <v>82</v>
      </c>
      <c r="J110" s="31" t="s">
        <v>69</v>
      </c>
      <c r="K110" s="27" t="s">
        <v>200</v>
      </c>
      <c r="L110" s="27" t="s">
        <v>133</v>
      </c>
      <c r="M110" s="32" t="str">
        <f>HYPERLINK("http://slimages.macys.com/is/image/MCY/3206673 ")</f>
        <v xml:space="preserve">http://slimages.macys.com/is/image/MCY/3206673 </v>
      </c>
    </row>
    <row r="111" spans="1:13" ht="15.2" customHeight="1" x14ac:dyDescent="0.2">
      <c r="A111" s="26" t="s">
        <v>9794</v>
      </c>
      <c r="B111" s="27" t="s">
        <v>9795</v>
      </c>
      <c r="C111" s="28">
        <v>1</v>
      </c>
      <c r="D111" s="29">
        <v>14.5</v>
      </c>
      <c r="E111" s="29">
        <v>14.5</v>
      </c>
      <c r="F111" s="30">
        <v>39.5</v>
      </c>
      <c r="G111" s="29">
        <v>39.5</v>
      </c>
      <c r="H111" s="28" t="s">
        <v>2849</v>
      </c>
      <c r="I111" s="27" t="s">
        <v>64</v>
      </c>
      <c r="J111" s="31" t="s">
        <v>71</v>
      </c>
      <c r="K111" s="27" t="s">
        <v>53</v>
      </c>
      <c r="L111" s="27" t="s">
        <v>54</v>
      </c>
      <c r="M111" s="32" t="str">
        <f>HYPERLINK("http://slimages.macys.com/is/image/MCY/3578526 ")</f>
        <v xml:space="preserve">http://slimages.macys.com/is/image/MCY/3578526 </v>
      </c>
    </row>
    <row r="112" spans="1:13" ht="15.2" customHeight="1" x14ac:dyDescent="0.2">
      <c r="A112" s="26" t="s">
        <v>11123</v>
      </c>
      <c r="B112" s="27" t="s">
        <v>11124</v>
      </c>
      <c r="C112" s="28">
        <v>1</v>
      </c>
      <c r="D112" s="29">
        <v>14.42</v>
      </c>
      <c r="E112" s="29">
        <v>14.42</v>
      </c>
      <c r="F112" s="30">
        <v>39.5</v>
      </c>
      <c r="G112" s="29">
        <v>39.5</v>
      </c>
      <c r="H112" s="28" t="s">
        <v>7374</v>
      </c>
      <c r="I112" s="27" t="s">
        <v>215</v>
      </c>
      <c r="J112" s="31" t="s">
        <v>5</v>
      </c>
      <c r="K112" s="27" t="s">
        <v>53</v>
      </c>
      <c r="L112" s="27" t="s">
        <v>54</v>
      </c>
      <c r="M112" s="32" t="str">
        <f>HYPERLINK("http://slimages.macys.com/is/image/MCY/3665366 ")</f>
        <v xml:space="preserve">http://slimages.macys.com/is/image/MCY/3665366 </v>
      </c>
    </row>
    <row r="113" spans="1:13" ht="15.2" customHeight="1" x14ac:dyDescent="0.2">
      <c r="A113" s="26" t="s">
        <v>733</v>
      </c>
      <c r="B113" s="27" t="s">
        <v>734</v>
      </c>
      <c r="C113" s="28">
        <v>1</v>
      </c>
      <c r="D113" s="29">
        <v>14.41</v>
      </c>
      <c r="E113" s="29">
        <v>14.41</v>
      </c>
      <c r="F113" s="30">
        <v>39.5</v>
      </c>
      <c r="G113" s="29">
        <v>39.5</v>
      </c>
      <c r="H113" s="28" t="s">
        <v>735</v>
      </c>
      <c r="I113" s="27" t="s">
        <v>4</v>
      </c>
      <c r="J113" s="31" t="s">
        <v>21</v>
      </c>
      <c r="K113" s="27" t="s">
        <v>41</v>
      </c>
      <c r="L113" s="27" t="s">
        <v>45</v>
      </c>
      <c r="M113" s="32" t="str">
        <f>HYPERLINK("http://slimages.macys.com/is/image/MCY/3810736 ")</f>
        <v xml:space="preserve">http://slimages.macys.com/is/image/MCY/3810736 </v>
      </c>
    </row>
    <row r="114" spans="1:13" ht="15.2" customHeight="1" x14ac:dyDescent="0.2">
      <c r="A114" s="26" t="s">
        <v>11125</v>
      </c>
      <c r="B114" s="27" t="s">
        <v>11126</v>
      </c>
      <c r="C114" s="28">
        <v>1</v>
      </c>
      <c r="D114" s="29">
        <v>14.27</v>
      </c>
      <c r="E114" s="29">
        <v>14.27</v>
      </c>
      <c r="F114" s="30">
        <v>39.5</v>
      </c>
      <c r="G114" s="29">
        <v>39.5</v>
      </c>
      <c r="H114" s="28" t="s">
        <v>11127</v>
      </c>
      <c r="I114" s="27" t="s">
        <v>107</v>
      </c>
      <c r="J114" s="31" t="s">
        <v>71</v>
      </c>
      <c r="K114" s="27" t="s">
        <v>41</v>
      </c>
      <c r="L114" s="27" t="s">
        <v>45</v>
      </c>
      <c r="M114" s="32" t="str">
        <f>HYPERLINK("http://slimages.macys.com/is/image/MCY/3625638 ")</f>
        <v xml:space="preserve">http://slimages.macys.com/is/image/MCY/3625638 </v>
      </c>
    </row>
    <row r="115" spans="1:13" ht="15.2" customHeight="1" x14ac:dyDescent="0.2">
      <c r="A115" s="26" t="s">
        <v>9797</v>
      </c>
      <c r="B115" s="27" t="s">
        <v>9798</v>
      </c>
      <c r="C115" s="28">
        <v>2</v>
      </c>
      <c r="D115" s="29">
        <v>14.14</v>
      </c>
      <c r="E115" s="29">
        <v>28.28</v>
      </c>
      <c r="F115" s="30">
        <v>39.5</v>
      </c>
      <c r="G115" s="29">
        <v>79</v>
      </c>
      <c r="H115" s="28" t="s">
        <v>9796</v>
      </c>
      <c r="I115" s="27" t="s">
        <v>4</v>
      </c>
      <c r="J115" s="31" t="s">
        <v>40</v>
      </c>
      <c r="K115" s="27" t="s">
        <v>53</v>
      </c>
      <c r="L115" s="27" t="s">
        <v>54</v>
      </c>
      <c r="M115" s="32" t="str">
        <f>HYPERLINK("http://slimages.macys.com/is/image/MCY/3836458 ")</f>
        <v xml:space="preserve">http://slimages.macys.com/is/image/MCY/3836458 </v>
      </c>
    </row>
    <row r="116" spans="1:13" ht="15.2" customHeight="1" x14ac:dyDescent="0.2">
      <c r="A116" s="26" t="s">
        <v>8518</v>
      </c>
      <c r="B116" s="27" t="s">
        <v>8519</v>
      </c>
      <c r="C116" s="28">
        <v>1</v>
      </c>
      <c r="D116" s="29">
        <v>14</v>
      </c>
      <c r="E116" s="29">
        <v>14</v>
      </c>
      <c r="F116" s="30">
        <v>44</v>
      </c>
      <c r="G116" s="29">
        <v>44</v>
      </c>
      <c r="H116" s="28" t="s">
        <v>186</v>
      </c>
      <c r="I116" s="27" t="s">
        <v>82</v>
      </c>
      <c r="J116" s="31" t="s">
        <v>52</v>
      </c>
      <c r="K116" s="27" t="s">
        <v>37</v>
      </c>
      <c r="L116" s="27" t="s">
        <v>38</v>
      </c>
      <c r="M116" s="32" t="str">
        <f>HYPERLINK("http://slimages.macys.com/is/image/MCY/3667831 ")</f>
        <v xml:space="preserve">http://slimages.macys.com/is/image/MCY/3667831 </v>
      </c>
    </row>
    <row r="117" spans="1:13" ht="15.2" customHeight="1" x14ac:dyDescent="0.2">
      <c r="A117" s="26" t="s">
        <v>11128</v>
      </c>
      <c r="B117" s="27" t="s">
        <v>11129</v>
      </c>
      <c r="C117" s="28">
        <v>1</v>
      </c>
      <c r="D117" s="29">
        <v>14</v>
      </c>
      <c r="E117" s="29">
        <v>14</v>
      </c>
      <c r="F117" s="30">
        <v>44</v>
      </c>
      <c r="G117" s="29">
        <v>44</v>
      </c>
      <c r="H117" s="28" t="s">
        <v>8520</v>
      </c>
      <c r="I117" s="27" t="s">
        <v>248</v>
      </c>
      <c r="J117" s="31" t="s">
        <v>40</v>
      </c>
      <c r="K117" s="27" t="s">
        <v>37</v>
      </c>
      <c r="L117" s="27" t="s">
        <v>38</v>
      </c>
      <c r="M117" s="32" t="str">
        <f>HYPERLINK("http://slimages.macys.com/is/image/MCY/3717676 ")</f>
        <v xml:space="preserve">http://slimages.macys.com/is/image/MCY/3717676 </v>
      </c>
    </row>
    <row r="118" spans="1:13" ht="15.2" customHeight="1" x14ac:dyDescent="0.2">
      <c r="A118" s="26" t="s">
        <v>5642</v>
      </c>
      <c r="B118" s="27" t="s">
        <v>5643</v>
      </c>
      <c r="C118" s="28">
        <v>1</v>
      </c>
      <c r="D118" s="29">
        <v>14</v>
      </c>
      <c r="E118" s="29">
        <v>14</v>
      </c>
      <c r="F118" s="30">
        <v>44</v>
      </c>
      <c r="G118" s="29">
        <v>44</v>
      </c>
      <c r="H118" s="28" t="s">
        <v>186</v>
      </c>
      <c r="I118" s="27" t="s">
        <v>146</v>
      </c>
      <c r="J118" s="31" t="s">
        <v>52</v>
      </c>
      <c r="K118" s="27" t="s">
        <v>37</v>
      </c>
      <c r="L118" s="27" t="s">
        <v>38</v>
      </c>
      <c r="M118" s="32" t="str">
        <f>HYPERLINK("http://slimages.macys.com/is/image/MCY/3667831 ")</f>
        <v xml:space="preserve">http://slimages.macys.com/is/image/MCY/3667831 </v>
      </c>
    </row>
    <row r="119" spans="1:13" ht="15.2" customHeight="1" x14ac:dyDescent="0.2">
      <c r="A119" s="26" t="s">
        <v>4821</v>
      </c>
      <c r="B119" s="27" t="s">
        <v>4822</v>
      </c>
      <c r="C119" s="28">
        <v>1</v>
      </c>
      <c r="D119" s="29">
        <v>13.5</v>
      </c>
      <c r="E119" s="29">
        <v>13.5</v>
      </c>
      <c r="F119" s="30">
        <v>29.99</v>
      </c>
      <c r="G119" s="29">
        <v>29.99</v>
      </c>
      <c r="H119" s="28" t="s">
        <v>4823</v>
      </c>
      <c r="I119" s="27" t="s">
        <v>280</v>
      </c>
      <c r="J119" s="31" t="s">
        <v>230</v>
      </c>
      <c r="K119" s="27" t="s">
        <v>200</v>
      </c>
      <c r="L119" s="27" t="s">
        <v>287</v>
      </c>
      <c r="M119" s="32" t="str">
        <f>HYPERLINK("http://slimages.macys.com/is/image/MCY/3631723 ")</f>
        <v xml:space="preserve">http://slimages.macys.com/is/image/MCY/3631723 </v>
      </c>
    </row>
    <row r="120" spans="1:13" ht="15.2" customHeight="1" x14ac:dyDescent="0.2">
      <c r="A120" s="26" t="s">
        <v>11130</v>
      </c>
      <c r="B120" s="27" t="s">
        <v>11131</v>
      </c>
      <c r="C120" s="28">
        <v>1</v>
      </c>
      <c r="D120" s="29">
        <v>13.5</v>
      </c>
      <c r="E120" s="29">
        <v>13.5</v>
      </c>
      <c r="F120" s="30">
        <v>29.99</v>
      </c>
      <c r="G120" s="29">
        <v>29.99</v>
      </c>
      <c r="H120" s="28" t="s">
        <v>2860</v>
      </c>
      <c r="I120" s="27" t="s">
        <v>4</v>
      </c>
      <c r="J120" s="31" t="s">
        <v>69</v>
      </c>
      <c r="K120" s="27" t="s">
        <v>200</v>
      </c>
      <c r="L120" s="27" t="s">
        <v>741</v>
      </c>
      <c r="M120" s="32" t="str">
        <f>HYPERLINK("http://slimages.macys.com/is/image/MCY/3732749 ")</f>
        <v xml:space="preserve">http://slimages.macys.com/is/image/MCY/3732749 </v>
      </c>
    </row>
    <row r="121" spans="1:13" ht="15.2" customHeight="1" x14ac:dyDescent="0.2">
      <c r="A121" s="26" t="s">
        <v>11019</v>
      </c>
      <c r="B121" s="27" t="s">
        <v>11020</v>
      </c>
      <c r="C121" s="28">
        <v>1</v>
      </c>
      <c r="D121" s="29">
        <v>13.5</v>
      </c>
      <c r="E121" s="29">
        <v>13.5</v>
      </c>
      <c r="F121" s="30">
        <v>29.99</v>
      </c>
      <c r="G121" s="29">
        <v>29.99</v>
      </c>
      <c r="H121" s="28" t="s">
        <v>4823</v>
      </c>
      <c r="I121" s="27" t="s">
        <v>280</v>
      </c>
      <c r="J121" s="31" t="s">
        <v>113</v>
      </c>
      <c r="K121" s="27" t="s">
        <v>200</v>
      </c>
      <c r="L121" s="27" t="s">
        <v>287</v>
      </c>
      <c r="M121" s="32" t="str">
        <f>HYPERLINK("http://slimages.macys.com/is/image/MCY/3631723 ")</f>
        <v xml:space="preserve">http://slimages.macys.com/is/image/MCY/3631723 </v>
      </c>
    </row>
    <row r="122" spans="1:13" ht="15.2" customHeight="1" x14ac:dyDescent="0.2">
      <c r="A122" s="26" t="s">
        <v>737</v>
      </c>
      <c r="B122" s="27" t="s">
        <v>738</v>
      </c>
      <c r="C122" s="28">
        <v>1</v>
      </c>
      <c r="D122" s="29">
        <v>13.5</v>
      </c>
      <c r="E122" s="29">
        <v>13.5</v>
      </c>
      <c r="F122" s="30">
        <v>29.99</v>
      </c>
      <c r="G122" s="29">
        <v>29.99</v>
      </c>
      <c r="H122" s="28" t="s">
        <v>739</v>
      </c>
      <c r="I122" s="27" t="s">
        <v>189</v>
      </c>
      <c r="J122" s="31" t="s">
        <v>23</v>
      </c>
      <c r="K122" s="27" t="s">
        <v>200</v>
      </c>
      <c r="L122" s="27" t="s">
        <v>133</v>
      </c>
      <c r="M122" s="32" t="str">
        <f>HYPERLINK("http://slimages.macys.com/is/image/MCY/3866347 ")</f>
        <v xml:space="preserve">http://slimages.macys.com/is/image/MCY/3866347 </v>
      </c>
    </row>
    <row r="123" spans="1:13" ht="15.2" customHeight="1" x14ac:dyDescent="0.2">
      <c r="A123" s="26" t="s">
        <v>7655</v>
      </c>
      <c r="B123" s="27" t="s">
        <v>7656</v>
      </c>
      <c r="C123" s="28">
        <v>1</v>
      </c>
      <c r="D123" s="29">
        <v>13.5</v>
      </c>
      <c r="E123" s="29">
        <v>13.5</v>
      </c>
      <c r="F123" s="30">
        <v>33.99</v>
      </c>
      <c r="G123" s="29">
        <v>33.99</v>
      </c>
      <c r="H123" s="28" t="s">
        <v>1778</v>
      </c>
      <c r="I123" s="27" t="s">
        <v>4</v>
      </c>
      <c r="J123" s="31" t="s">
        <v>21</v>
      </c>
      <c r="K123" s="27" t="s">
        <v>70</v>
      </c>
      <c r="L123" s="27" t="s">
        <v>101</v>
      </c>
      <c r="M123" s="32" t="str">
        <f>HYPERLINK("http://slimages.macys.com/is/image/MCY/3832798 ")</f>
        <v xml:space="preserve">http://slimages.macys.com/is/image/MCY/3832798 </v>
      </c>
    </row>
    <row r="124" spans="1:13" ht="15.2" customHeight="1" x14ac:dyDescent="0.2">
      <c r="A124" s="26" t="s">
        <v>11132</v>
      </c>
      <c r="B124" s="27" t="s">
        <v>11133</v>
      </c>
      <c r="C124" s="28">
        <v>1</v>
      </c>
      <c r="D124" s="29">
        <v>13.5</v>
      </c>
      <c r="E124" s="29">
        <v>13.5</v>
      </c>
      <c r="F124" s="30">
        <v>29.99</v>
      </c>
      <c r="G124" s="29">
        <v>29.99</v>
      </c>
      <c r="H124" s="28" t="s">
        <v>8268</v>
      </c>
      <c r="I124" s="27" t="s">
        <v>59</v>
      </c>
      <c r="J124" s="31" t="s">
        <v>69</v>
      </c>
      <c r="K124" s="27" t="s">
        <v>200</v>
      </c>
      <c r="L124" s="27" t="s">
        <v>741</v>
      </c>
      <c r="M124" s="32" t="str">
        <f>HYPERLINK("http://slimages.macys.com/is/image/MCY/3732749 ")</f>
        <v xml:space="preserve">http://slimages.macys.com/is/image/MCY/3732749 </v>
      </c>
    </row>
    <row r="125" spans="1:13" ht="15.2" customHeight="1" x14ac:dyDescent="0.2">
      <c r="A125" s="26" t="s">
        <v>7653</v>
      </c>
      <c r="B125" s="27" t="s">
        <v>7654</v>
      </c>
      <c r="C125" s="28">
        <v>1</v>
      </c>
      <c r="D125" s="29">
        <v>13.5</v>
      </c>
      <c r="E125" s="29">
        <v>13.5</v>
      </c>
      <c r="F125" s="30">
        <v>29.99</v>
      </c>
      <c r="G125" s="29">
        <v>29.99</v>
      </c>
      <c r="H125" s="28" t="s">
        <v>7514</v>
      </c>
      <c r="I125" s="27" t="s">
        <v>59</v>
      </c>
      <c r="J125" s="31" t="s">
        <v>230</v>
      </c>
      <c r="K125" s="27" t="s">
        <v>200</v>
      </c>
      <c r="L125" s="27" t="s">
        <v>741</v>
      </c>
      <c r="M125" s="32" t="str">
        <f>HYPERLINK("http://slimages.macys.com/is/image/MCY/3732749 ")</f>
        <v xml:space="preserve">http://slimages.macys.com/is/image/MCY/3732749 </v>
      </c>
    </row>
    <row r="126" spans="1:13" ht="15.2" customHeight="1" x14ac:dyDescent="0.2">
      <c r="A126" s="26" t="s">
        <v>7736</v>
      </c>
      <c r="B126" s="27" t="s">
        <v>7737</v>
      </c>
      <c r="C126" s="28">
        <v>1</v>
      </c>
      <c r="D126" s="29">
        <v>13.5</v>
      </c>
      <c r="E126" s="29">
        <v>13.5</v>
      </c>
      <c r="F126" s="30">
        <v>29.99</v>
      </c>
      <c r="G126" s="29">
        <v>29.99</v>
      </c>
      <c r="H126" s="28" t="s">
        <v>4823</v>
      </c>
      <c r="I126" s="27" t="s">
        <v>94</v>
      </c>
      <c r="J126" s="31" t="s">
        <v>69</v>
      </c>
      <c r="K126" s="27" t="s">
        <v>200</v>
      </c>
      <c r="L126" s="27" t="s">
        <v>287</v>
      </c>
      <c r="M126" s="32" t="str">
        <f>HYPERLINK("http://slimages.macys.com/is/image/MCY/3631723 ")</f>
        <v xml:space="preserve">http://slimages.macys.com/is/image/MCY/3631723 </v>
      </c>
    </row>
    <row r="127" spans="1:13" ht="15.2" customHeight="1" x14ac:dyDescent="0.2">
      <c r="A127" s="26" t="s">
        <v>11134</v>
      </c>
      <c r="B127" s="27" t="s">
        <v>11135</v>
      </c>
      <c r="C127" s="28">
        <v>1</v>
      </c>
      <c r="D127" s="29">
        <v>13.5</v>
      </c>
      <c r="E127" s="29">
        <v>13.5</v>
      </c>
      <c r="F127" s="30">
        <v>29.99</v>
      </c>
      <c r="G127" s="29">
        <v>29.99</v>
      </c>
      <c r="H127" s="28" t="s">
        <v>2865</v>
      </c>
      <c r="I127" s="27" t="s">
        <v>15</v>
      </c>
      <c r="J127" s="31" t="s">
        <v>52</v>
      </c>
      <c r="K127" s="27" t="s">
        <v>70</v>
      </c>
      <c r="L127" s="27" t="s">
        <v>101</v>
      </c>
      <c r="M127" s="32" t="str">
        <f>HYPERLINK("http://slimages.macys.com/is/image/MCY/3676859 ")</f>
        <v xml:space="preserve">http://slimages.macys.com/is/image/MCY/3676859 </v>
      </c>
    </row>
    <row r="128" spans="1:13" ht="15.2" customHeight="1" x14ac:dyDescent="0.2">
      <c r="A128" s="26" t="s">
        <v>11136</v>
      </c>
      <c r="B128" s="27" t="s">
        <v>11137</v>
      </c>
      <c r="C128" s="28">
        <v>1</v>
      </c>
      <c r="D128" s="29">
        <v>13.5</v>
      </c>
      <c r="E128" s="29">
        <v>13.5</v>
      </c>
      <c r="F128" s="30">
        <v>29.99</v>
      </c>
      <c r="G128" s="29">
        <v>29.99</v>
      </c>
      <c r="H128" s="28" t="s">
        <v>8268</v>
      </c>
      <c r="I128" s="27" t="s">
        <v>59</v>
      </c>
      <c r="J128" s="31" t="s">
        <v>113</v>
      </c>
      <c r="K128" s="27" t="s">
        <v>200</v>
      </c>
      <c r="L128" s="27" t="s">
        <v>741</v>
      </c>
      <c r="M128" s="32" t="str">
        <f>HYPERLINK("http://slimages.macys.com/is/image/MCY/3732749 ")</f>
        <v xml:space="preserve">http://slimages.macys.com/is/image/MCY/3732749 </v>
      </c>
    </row>
    <row r="129" spans="1:13" ht="15.2" customHeight="1" x14ac:dyDescent="0.2">
      <c r="A129" s="26" t="s">
        <v>11138</v>
      </c>
      <c r="B129" s="27" t="s">
        <v>11139</v>
      </c>
      <c r="C129" s="28">
        <v>1</v>
      </c>
      <c r="D129" s="29">
        <v>13</v>
      </c>
      <c r="E129" s="29">
        <v>13</v>
      </c>
      <c r="F129" s="30">
        <v>29.99</v>
      </c>
      <c r="G129" s="29">
        <v>29.99</v>
      </c>
      <c r="H129" s="28" t="s">
        <v>7520</v>
      </c>
      <c r="I129" s="27" t="s">
        <v>94</v>
      </c>
      <c r="J129" s="31" t="s">
        <v>234</v>
      </c>
      <c r="K129" s="27" t="s">
        <v>200</v>
      </c>
      <c r="L129" s="27" t="s">
        <v>1201</v>
      </c>
      <c r="M129" s="32" t="str">
        <f>HYPERLINK("http://slimages.macys.com/is/image/MCY/3683256 ")</f>
        <v xml:space="preserve">http://slimages.macys.com/is/image/MCY/3683256 </v>
      </c>
    </row>
    <row r="130" spans="1:13" ht="15.2" customHeight="1" x14ac:dyDescent="0.2">
      <c r="A130" s="26" t="s">
        <v>6026</v>
      </c>
      <c r="B130" s="27" t="s">
        <v>6027</v>
      </c>
      <c r="C130" s="28">
        <v>1</v>
      </c>
      <c r="D130" s="29">
        <v>13</v>
      </c>
      <c r="E130" s="29">
        <v>13</v>
      </c>
      <c r="F130" s="30">
        <v>31.99</v>
      </c>
      <c r="G130" s="29">
        <v>31.99</v>
      </c>
      <c r="H130" s="28" t="s">
        <v>753</v>
      </c>
      <c r="I130" s="27" t="s">
        <v>377</v>
      </c>
      <c r="J130" s="31" t="s">
        <v>52</v>
      </c>
      <c r="K130" s="27" t="s">
        <v>70</v>
      </c>
      <c r="L130" s="27" t="s">
        <v>128</v>
      </c>
      <c r="M130" s="32" t="str">
        <f>HYPERLINK("http://slimages.macys.com/is/image/MCY/3723559 ")</f>
        <v xml:space="preserve">http://slimages.macys.com/is/image/MCY/3723559 </v>
      </c>
    </row>
    <row r="131" spans="1:13" ht="15.2" customHeight="1" x14ac:dyDescent="0.2">
      <c r="A131" s="26" t="s">
        <v>11140</v>
      </c>
      <c r="B131" s="27" t="s">
        <v>11141</v>
      </c>
      <c r="C131" s="28">
        <v>1</v>
      </c>
      <c r="D131" s="29">
        <v>13</v>
      </c>
      <c r="E131" s="29">
        <v>13</v>
      </c>
      <c r="F131" s="30">
        <v>29.99</v>
      </c>
      <c r="G131" s="29">
        <v>29.99</v>
      </c>
      <c r="H131" s="28" t="s">
        <v>5011</v>
      </c>
      <c r="I131" s="27" t="s">
        <v>8</v>
      </c>
      <c r="J131" s="31" t="s">
        <v>23</v>
      </c>
      <c r="K131" s="27" t="s">
        <v>200</v>
      </c>
      <c r="L131" s="27" t="s">
        <v>1201</v>
      </c>
      <c r="M131" s="32" t="str">
        <f>HYPERLINK("http://slimages.macys.com/is/image/MCY/3625219 ")</f>
        <v xml:space="preserve">http://slimages.macys.com/is/image/MCY/3625219 </v>
      </c>
    </row>
    <row r="132" spans="1:13" ht="15.2" customHeight="1" x14ac:dyDescent="0.2">
      <c r="A132" s="26" t="s">
        <v>9916</v>
      </c>
      <c r="B132" s="27" t="s">
        <v>9917</v>
      </c>
      <c r="C132" s="28">
        <v>1</v>
      </c>
      <c r="D132" s="29">
        <v>13</v>
      </c>
      <c r="E132" s="29">
        <v>13</v>
      </c>
      <c r="F132" s="30">
        <v>29.99</v>
      </c>
      <c r="G132" s="29">
        <v>29.99</v>
      </c>
      <c r="H132" s="28" t="s">
        <v>1207</v>
      </c>
      <c r="I132" s="27" t="s">
        <v>4</v>
      </c>
      <c r="J132" s="31" t="s">
        <v>210</v>
      </c>
      <c r="K132" s="27" t="s">
        <v>200</v>
      </c>
      <c r="L132" s="27" t="s">
        <v>133</v>
      </c>
      <c r="M132" s="32" t="str">
        <f>HYPERLINK("http://slimages.macys.com/is/image/MCY/3874062 ")</f>
        <v xml:space="preserve">http://slimages.macys.com/is/image/MCY/3874062 </v>
      </c>
    </row>
    <row r="133" spans="1:13" ht="15.2" customHeight="1" x14ac:dyDescent="0.2">
      <c r="A133" s="26" t="s">
        <v>11142</v>
      </c>
      <c r="B133" s="27" t="s">
        <v>11143</v>
      </c>
      <c r="C133" s="28">
        <v>1</v>
      </c>
      <c r="D133" s="29">
        <v>12.9</v>
      </c>
      <c r="E133" s="29">
        <v>12.9</v>
      </c>
      <c r="F133" s="30">
        <v>27.99</v>
      </c>
      <c r="G133" s="29">
        <v>27.99</v>
      </c>
      <c r="H133" s="28" t="s">
        <v>11144</v>
      </c>
      <c r="I133" s="27" t="s">
        <v>265</v>
      </c>
      <c r="J133" s="31" t="s">
        <v>21</v>
      </c>
      <c r="K133" s="27" t="s">
        <v>208</v>
      </c>
      <c r="L133" s="27" t="s">
        <v>197</v>
      </c>
      <c r="M133" s="32" t="str">
        <f>HYPERLINK("http://slimages.macys.com/is/image/MCY/3732838 ")</f>
        <v xml:space="preserve">http://slimages.macys.com/is/image/MCY/3732838 </v>
      </c>
    </row>
    <row r="134" spans="1:13" ht="15.2" customHeight="1" x14ac:dyDescent="0.2">
      <c r="A134" s="26" t="s">
        <v>9420</v>
      </c>
      <c r="B134" s="27" t="s">
        <v>9421</v>
      </c>
      <c r="C134" s="28">
        <v>1</v>
      </c>
      <c r="D134" s="29">
        <v>12.85</v>
      </c>
      <c r="E134" s="29">
        <v>12.85</v>
      </c>
      <c r="F134" s="30">
        <v>27.99</v>
      </c>
      <c r="G134" s="29">
        <v>27.99</v>
      </c>
      <c r="H134" s="28" t="s">
        <v>2875</v>
      </c>
      <c r="I134" s="27" t="s">
        <v>189</v>
      </c>
      <c r="J134" s="31" t="s">
        <v>52</v>
      </c>
      <c r="K134" s="27" t="s">
        <v>224</v>
      </c>
      <c r="L134" s="27" t="s">
        <v>256</v>
      </c>
      <c r="M134" s="32" t="str">
        <f>HYPERLINK("http://slimages.macys.com/is/image/MCY/3875983 ")</f>
        <v xml:space="preserve">http://slimages.macys.com/is/image/MCY/3875983 </v>
      </c>
    </row>
    <row r="135" spans="1:13" ht="15.2" customHeight="1" x14ac:dyDescent="0.2">
      <c r="A135" s="26" t="s">
        <v>2876</v>
      </c>
      <c r="B135" s="27" t="s">
        <v>2877</v>
      </c>
      <c r="C135" s="28">
        <v>1</v>
      </c>
      <c r="D135" s="29">
        <v>12.85</v>
      </c>
      <c r="E135" s="29">
        <v>12.85</v>
      </c>
      <c r="F135" s="30">
        <v>27.99</v>
      </c>
      <c r="G135" s="29">
        <v>27.99</v>
      </c>
      <c r="H135" s="28" t="s">
        <v>1209</v>
      </c>
      <c r="I135" s="27" t="s">
        <v>189</v>
      </c>
      <c r="J135" s="31" t="s">
        <v>21</v>
      </c>
      <c r="K135" s="27" t="s">
        <v>224</v>
      </c>
      <c r="L135" s="27" t="s">
        <v>256</v>
      </c>
      <c r="M135" s="32" t="str">
        <f>HYPERLINK("http://slimages.macys.com/is/image/MCY/3890940 ")</f>
        <v xml:space="preserve">http://slimages.macys.com/is/image/MCY/3890940 </v>
      </c>
    </row>
    <row r="136" spans="1:13" ht="15.2" customHeight="1" x14ac:dyDescent="0.2">
      <c r="A136" s="26" t="s">
        <v>8549</v>
      </c>
      <c r="B136" s="27" t="s">
        <v>8550</v>
      </c>
      <c r="C136" s="28">
        <v>1</v>
      </c>
      <c r="D136" s="29">
        <v>12.75</v>
      </c>
      <c r="E136" s="29">
        <v>12.75</v>
      </c>
      <c r="F136" s="30">
        <v>29.99</v>
      </c>
      <c r="G136" s="29">
        <v>29.99</v>
      </c>
      <c r="H136" s="28" t="s">
        <v>1789</v>
      </c>
      <c r="I136" s="27" t="s">
        <v>10</v>
      </c>
      <c r="J136" s="31" t="s">
        <v>71</v>
      </c>
      <c r="K136" s="27" t="s">
        <v>200</v>
      </c>
      <c r="L136" s="27" t="s">
        <v>201</v>
      </c>
      <c r="M136" s="32" t="str">
        <f>HYPERLINK("http://slimages.macys.com/is/image/MCY/3826877 ")</f>
        <v xml:space="preserve">http://slimages.macys.com/is/image/MCY/3826877 </v>
      </c>
    </row>
    <row r="137" spans="1:13" ht="15.2" customHeight="1" x14ac:dyDescent="0.2">
      <c r="A137" s="26" t="s">
        <v>9852</v>
      </c>
      <c r="B137" s="27" t="s">
        <v>9853</v>
      </c>
      <c r="C137" s="28">
        <v>1</v>
      </c>
      <c r="D137" s="29">
        <v>12.75</v>
      </c>
      <c r="E137" s="29">
        <v>12.75</v>
      </c>
      <c r="F137" s="30">
        <v>29.99</v>
      </c>
      <c r="G137" s="29">
        <v>29.99</v>
      </c>
      <c r="H137" s="28" t="s">
        <v>1789</v>
      </c>
      <c r="I137" s="27" t="s">
        <v>10</v>
      </c>
      <c r="J137" s="31" t="s">
        <v>52</v>
      </c>
      <c r="K137" s="27" t="s">
        <v>200</v>
      </c>
      <c r="L137" s="27" t="s">
        <v>201</v>
      </c>
      <c r="M137" s="32" t="str">
        <f>HYPERLINK("http://slimages.macys.com/is/image/MCY/3826877 ")</f>
        <v xml:space="preserve">http://slimages.macys.com/is/image/MCY/3826877 </v>
      </c>
    </row>
    <row r="138" spans="1:13" ht="15.2" customHeight="1" x14ac:dyDescent="0.2">
      <c r="A138" s="26" t="s">
        <v>9918</v>
      </c>
      <c r="B138" s="27" t="s">
        <v>9919</v>
      </c>
      <c r="C138" s="28">
        <v>2</v>
      </c>
      <c r="D138" s="29">
        <v>12.75</v>
      </c>
      <c r="E138" s="29">
        <v>25.5</v>
      </c>
      <c r="F138" s="30">
        <v>29.99</v>
      </c>
      <c r="G138" s="29">
        <v>59.98</v>
      </c>
      <c r="H138" s="28" t="s">
        <v>1789</v>
      </c>
      <c r="I138" s="27" t="s">
        <v>10</v>
      </c>
      <c r="J138" s="31" t="s">
        <v>5</v>
      </c>
      <c r="K138" s="27" t="s">
        <v>200</v>
      </c>
      <c r="L138" s="27" t="s">
        <v>201</v>
      </c>
      <c r="M138" s="32" t="str">
        <f>HYPERLINK("http://slimages.macys.com/is/image/MCY/3826877 ")</f>
        <v xml:space="preserve">http://slimages.macys.com/is/image/MCY/3826877 </v>
      </c>
    </row>
    <row r="139" spans="1:13" ht="15.2" customHeight="1" x14ac:dyDescent="0.2">
      <c r="A139" s="26" t="s">
        <v>1787</v>
      </c>
      <c r="B139" s="27" t="s">
        <v>1788</v>
      </c>
      <c r="C139" s="28">
        <v>1</v>
      </c>
      <c r="D139" s="29">
        <v>12.75</v>
      </c>
      <c r="E139" s="29">
        <v>12.75</v>
      </c>
      <c r="F139" s="30">
        <v>29.99</v>
      </c>
      <c r="G139" s="29">
        <v>29.99</v>
      </c>
      <c r="H139" s="28" t="s">
        <v>759</v>
      </c>
      <c r="I139" s="27" t="s">
        <v>4</v>
      </c>
      <c r="J139" s="31" t="s">
        <v>21</v>
      </c>
      <c r="K139" s="27" t="s">
        <v>200</v>
      </c>
      <c r="L139" s="27" t="s">
        <v>201</v>
      </c>
      <c r="M139" s="32" t="str">
        <f>HYPERLINK("http://slimages.macys.com/is/image/MCY/3798023 ")</f>
        <v xml:space="preserve">http://slimages.macys.com/is/image/MCY/3798023 </v>
      </c>
    </row>
    <row r="140" spans="1:13" ht="15.2" customHeight="1" x14ac:dyDescent="0.2">
      <c r="A140" s="26" t="s">
        <v>9854</v>
      </c>
      <c r="B140" s="27" t="s">
        <v>9855</v>
      </c>
      <c r="C140" s="28">
        <v>4</v>
      </c>
      <c r="D140" s="29">
        <v>12.75</v>
      </c>
      <c r="E140" s="29">
        <v>51</v>
      </c>
      <c r="F140" s="30">
        <v>29.99</v>
      </c>
      <c r="G140" s="29">
        <v>119.96</v>
      </c>
      <c r="H140" s="28" t="s">
        <v>1789</v>
      </c>
      <c r="I140" s="27" t="s">
        <v>10</v>
      </c>
      <c r="J140" s="31" t="s">
        <v>21</v>
      </c>
      <c r="K140" s="27" t="s">
        <v>200</v>
      </c>
      <c r="L140" s="27" t="s">
        <v>201</v>
      </c>
      <c r="M140" s="32" t="str">
        <f>HYPERLINK("http://slimages.macys.com/is/image/MCY/3826877 ")</f>
        <v xml:space="preserve">http://slimages.macys.com/is/image/MCY/3826877 </v>
      </c>
    </row>
    <row r="141" spans="1:13" ht="15.2" customHeight="1" x14ac:dyDescent="0.2">
      <c r="A141" s="26" t="s">
        <v>10282</v>
      </c>
      <c r="B141" s="27" t="s">
        <v>10283</v>
      </c>
      <c r="C141" s="28">
        <v>1</v>
      </c>
      <c r="D141" s="29">
        <v>12.75</v>
      </c>
      <c r="E141" s="29">
        <v>12.75</v>
      </c>
      <c r="F141" s="30">
        <v>29.99</v>
      </c>
      <c r="G141" s="29">
        <v>29.99</v>
      </c>
      <c r="H141" s="28" t="s">
        <v>1789</v>
      </c>
      <c r="I141" s="27" t="s">
        <v>10</v>
      </c>
      <c r="J141" s="31" t="s">
        <v>40</v>
      </c>
      <c r="K141" s="27" t="s">
        <v>200</v>
      </c>
      <c r="L141" s="27" t="s">
        <v>201</v>
      </c>
      <c r="M141" s="32" t="str">
        <f>HYPERLINK("http://slimages.macys.com/is/image/MCY/3826877 ")</f>
        <v xml:space="preserve">http://slimages.macys.com/is/image/MCY/3826877 </v>
      </c>
    </row>
    <row r="142" spans="1:13" ht="15.2" customHeight="1" x14ac:dyDescent="0.2">
      <c r="A142" s="26" t="s">
        <v>2881</v>
      </c>
      <c r="B142" s="27" t="s">
        <v>2882</v>
      </c>
      <c r="C142" s="28">
        <v>1</v>
      </c>
      <c r="D142" s="29">
        <v>12.65</v>
      </c>
      <c r="E142" s="29">
        <v>12.65</v>
      </c>
      <c r="F142" s="30">
        <v>29.99</v>
      </c>
      <c r="G142" s="29">
        <v>29.99</v>
      </c>
      <c r="H142" s="28" t="s">
        <v>766</v>
      </c>
      <c r="I142" s="27" t="s">
        <v>22</v>
      </c>
      <c r="J142" s="31" t="s">
        <v>234</v>
      </c>
      <c r="K142" s="27" t="s">
        <v>200</v>
      </c>
      <c r="L142" s="27" t="s">
        <v>765</v>
      </c>
      <c r="M142" s="32" t="str">
        <f>HYPERLINK("http://slimages.macys.com/is/image/MCY/3797822 ")</f>
        <v xml:space="preserve">http://slimages.macys.com/is/image/MCY/3797822 </v>
      </c>
    </row>
    <row r="143" spans="1:13" ht="15.2" customHeight="1" x14ac:dyDescent="0.2">
      <c r="A143" s="26" t="s">
        <v>11145</v>
      </c>
      <c r="B143" s="27" t="s">
        <v>11146</v>
      </c>
      <c r="C143" s="28">
        <v>1</v>
      </c>
      <c r="D143" s="29">
        <v>12.65</v>
      </c>
      <c r="E143" s="29">
        <v>12.65</v>
      </c>
      <c r="F143" s="30">
        <v>29.99</v>
      </c>
      <c r="G143" s="29">
        <v>29.99</v>
      </c>
      <c r="H143" s="28" t="s">
        <v>9583</v>
      </c>
      <c r="I143" s="27" t="s">
        <v>1</v>
      </c>
      <c r="J143" s="31" t="s">
        <v>69</v>
      </c>
      <c r="K143" s="27" t="s">
        <v>200</v>
      </c>
      <c r="L143" s="27" t="s">
        <v>765</v>
      </c>
      <c r="M143" s="32" t="str">
        <f>HYPERLINK("http://slimages.macys.com/is/image/MCY/3364230 ")</f>
        <v xml:space="preserve">http://slimages.macys.com/is/image/MCY/3364230 </v>
      </c>
    </row>
    <row r="144" spans="1:13" ht="15.2" customHeight="1" x14ac:dyDescent="0.2">
      <c r="A144" s="26" t="s">
        <v>11147</v>
      </c>
      <c r="B144" s="27" t="s">
        <v>11148</v>
      </c>
      <c r="C144" s="28">
        <v>1</v>
      </c>
      <c r="D144" s="29">
        <v>12.65</v>
      </c>
      <c r="E144" s="29">
        <v>12.65</v>
      </c>
      <c r="F144" s="30">
        <v>29.99</v>
      </c>
      <c r="G144" s="29">
        <v>29.99</v>
      </c>
      <c r="H144" s="28" t="s">
        <v>1218</v>
      </c>
      <c r="I144" s="27" t="s">
        <v>1</v>
      </c>
      <c r="J144" s="31" t="s">
        <v>234</v>
      </c>
      <c r="K144" s="27" t="s">
        <v>200</v>
      </c>
      <c r="L144" s="27" t="s">
        <v>765</v>
      </c>
      <c r="M144" s="32" t="str">
        <f>HYPERLINK("http://slimages.macys.com/is/image/MCY/3773751 ")</f>
        <v xml:space="preserve">http://slimages.macys.com/is/image/MCY/3773751 </v>
      </c>
    </row>
    <row r="145" spans="1:13" ht="15.2" customHeight="1" x14ac:dyDescent="0.2">
      <c r="A145" s="26" t="s">
        <v>11149</v>
      </c>
      <c r="B145" s="27" t="s">
        <v>11150</v>
      </c>
      <c r="C145" s="28">
        <v>1</v>
      </c>
      <c r="D145" s="29">
        <v>12.5</v>
      </c>
      <c r="E145" s="29">
        <v>12.5</v>
      </c>
      <c r="F145" s="30">
        <v>29.99</v>
      </c>
      <c r="G145" s="29">
        <v>29.99</v>
      </c>
      <c r="H145" s="28" t="s">
        <v>11151</v>
      </c>
      <c r="I145" s="27" t="s">
        <v>4</v>
      </c>
      <c r="J145" s="31" t="s">
        <v>23</v>
      </c>
      <c r="K145" s="27" t="s">
        <v>200</v>
      </c>
      <c r="L145" s="27" t="s">
        <v>133</v>
      </c>
      <c r="M145" s="32" t="str">
        <f>HYPERLINK("http://slimages.macys.com/is/image/MCY/3010668 ")</f>
        <v xml:space="preserve">http://slimages.macys.com/is/image/MCY/3010668 </v>
      </c>
    </row>
    <row r="146" spans="1:13" ht="15.2" customHeight="1" x14ac:dyDescent="0.2">
      <c r="A146" s="26" t="s">
        <v>2606</v>
      </c>
      <c r="B146" s="27" t="s">
        <v>2607</v>
      </c>
      <c r="C146" s="28">
        <v>1</v>
      </c>
      <c r="D146" s="29">
        <v>12.5</v>
      </c>
      <c r="E146" s="29">
        <v>12.5</v>
      </c>
      <c r="F146" s="30">
        <v>29.99</v>
      </c>
      <c r="G146" s="29">
        <v>29.99</v>
      </c>
      <c r="H146" s="28" t="s">
        <v>2168</v>
      </c>
      <c r="I146" s="27" t="s">
        <v>207</v>
      </c>
      <c r="J146" s="31" t="s">
        <v>214</v>
      </c>
      <c r="K146" s="27" t="s">
        <v>200</v>
      </c>
      <c r="L146" s="27" t="s">
        <v>133</v>
      </c>
      <c r="M146" s="32" t="str">
        <f>HYPERLINK("http://slimages.macys.com/is/image/MCY/3874242 ")</f>
        <v xml:space="preserve">http://slimages.macys.com/is/image/MCY/3874242 </v>
      </c>
    </row>
    <row r="147" spans="1:13" ht="15.2" customHeight="1" x14ac:dyDescent="0.2">
      <c r="A147" s="26" t="s">
        <v>11152</v>
      </c>
      <c r="B147" s="27" t="s">
        <v>11153</v>
      </c>
      <c r="C147" s="28">
        <v>1</v>
      </c>
      <c r="D147" s="29">
        <v>12.5</v>
      </c>
      <c r="E147" s="29">
        <v>12.5</v>
      </c>
      <c r="F147" s="30">
        <v>29.99</v>
      </c>
      <c r="G147" s="29">
        <v>29.99</v>
      </c>
      <c r="H147" s="28" t="s">
        <v>7745</v>
      </c>
      <c r="I147" s="27" t="s">
        <v>1</v>
      </c>
      <c r="J147" s="31" t="s">
        <v>113</v>
      </c>
      <c r="K147" s="27" t="s">
        <v>200</v>
      </c>
      <c r="L147" s="27" t="s">
        <v>741</v>
      </c>
      <c r="M147" s="32" t="str">
        <f>HYPERLINK("http://slimages.macys.com/is/image/MCY/3721252 ")</f>
        <v xml:space="preserve">http://slimages.macys.com/is/image/MCY/3721252 </v>
      </c>
    </row>
    <row r="148" spans="1:13" ht="15.2" customHeight="1" x14ac:dyDescent="0.2">
      <c r="A148" s="26" t="s">
        <v>2175</v>
      </c>
      <c r="B148" s="27" t="s">
        <v>2176</v>
      </c>
      <c r="C148" s="28">
        <v>1</v>
      </c>
      <c r="D148" s="29">
        <v>12.5</v>
      </c>
      <c r="E148" s="29">
        <v>12.5</v>
      </c>
      <c r="F148" s="30">
        <v>29.99</v>
      </c>
      <c r="G148" s="29">
        <v>29.99</v>
      </c>
      <c r="H148" s="28" t="s">
        <v>2168</v>
      </c>
      <c r="I148" s="27" t="s">
        <v>207</v>
      </c>
      <c r="J148" s="31" t="s">
        <v>205</v>
      </c>
      <c r="K148" s="27" t="s">
        <v>200</v>
      </c>
      <c r="L148" s="27" t="s">
        <v>133</v>
      </c>
      <c r="M148" s="32" t="str">
        <f>HYPERLINK("http://slimages.macys.com/is/image/MCY/3874242 ")</f>
        <v xml:space="preserve">http://slimages.macys.com/is/image/MCY/3874242 </v>
      </c>
    </row>
    <row r="149" spans="1:13" ht="15.2" customHeight="1" x14ac:dyDescent="0.2">
      <c r="A149" s="26" t="s">
        <v>10236</v>
      </c>
      <c r="B149" s="27" t="s">
        <v>10237</v>
      </c>
      <c r="C149" s="28">
        <v>1</v>
      </c>
      <c r="D149" s="29">
        <v>12.42</v>
      </c>
      <c r="E149" s="29">
        <v>12.42</v>
      </c>
      <c r="F149" s="30">
        <v>39</v>
      </c>
      <c r="G149" s="29">
        <v>39</v>
      </c>
      <c r="H149" s="28" t="s">
        <v>9588</v>
      </c>
      <c r="I149" s="27" t="s">
        <v>33</v>
      </c>
      <c r="J149" s="31" t="s">
        <v>21</v>
      </c>
      <c r="K149" s="27" t="s">
        <v>42</v>
      </c>
      <c r="L149" s="27" t="s">
        <v>43</v>
      </c>
      <c r="M149" s="32" t="str">
        <f>HYPERLINK("http://slimages.macys.com/is/image/MCY/3777273 ")</f>
        <v xml:space="preserve">http://slimages.macys.com/is/image/MCY/3777273 </v>
      </c>
    </row>
    <row r="150" spans="1:13" ht="15.2" customHeight="1" x14ac:dyDescent="0.2">
      <c r="A150" s="26" t="s">
        <v>3268</v>
      </c>
      <c r="B150" s="27" t="s">
        <v>3269</v>
      </c>
      <c r="C150" s="28">
        <v>1</v>
      </c>
      <c r="D150" s="29">
        <v>12</v>
      </c>
      <c r="E150" s="29">
        <v>12</v>
      </c>
      <c r="F150" s="30">
        <v>29.99</v>
      </c>
      <c r="G150" s="29">
        <v>29.99</v>
      </c>
      <c r="H150" s="28" t="s">
        <v>1233</v>
      </c>
      <c r="I150" s="27" t="s">
        <v>29</v>
      </c>
      <c r="J150" s="31" t="s">
        <v>234</v>
      </c>
      <c r="K150" s="27" t="s">
        <v>200</v>
      </c>
      <c r="L150" s="27" t="s">
        <v>552</v>
      </c>
      <c r="M150" s="32" t="str">
        <f>HYPERLINK("http://slimages.macys.com/is/image/MCY/3777681 ")</f>
        <v xml:space="preserve">http://slimages.macys.com/is/image/MCY/3777681 </v>
      </c>
    </row>
    <row r="151" spans="1:13" ht="15.2" customHeight="1" x14ac:dyDescent="0.2">
      <c r="A151" s="26" t="s">
        <v>10481</v>
      </c>
      <c r="B151" s="27" t="s">
        <v>10482</v>
      </c>
      <c r="C151" s="28">
        <v>1</v>
      </c>
      <c r="D151" s="29">
        <v>12</v>
      </c>
      <c r="E151" s="29">
        <v>12</v>
      </c>
      <c r="F151" s="30">
        <v>25.99</v>
      </c>
      <c r="G151" s="29">
        <v>25.99</v>
      </c>
      <c r="H151" s="28" t="s">
        <v>1234</v>
      </c>
      <c r="I151" s="27" t="s">
        <v>280</v>
      </c>
      <c r="J151" s="31" t="s">
        <v>113</v>
      </c>
      <c r="K151" s="27" t="s">
        <v>200</v>
      </c>
      <c r="L151" s="27" t="s">
        <v>133</v>
      </c>
      <c r="M151" s="32" t="str">
        <f>HYPERLINK("http://slimages.macys.com/is/image/MCY/3813056 ")</f>
        <v xml:space="preserve">http://slimages.macys.com/is/image/MCY/3813056 </v>
      </c>
    </row>
    <row r="152" spans="1:13" ht="15.2" customHeight="1" x14ac:dyDescent="0.2">
      <c r="A152" s="26" t="s">
        <v>11154</v>
      </c>
      <c r="B152" s="27" t="s">
        <v>11155</v>
      </c>
      <c r="C152" s="28">
        <v>1</v>
      </c>
      <c r="D152" s="29">
        <v>12</v>
      </c>
      <c r="E152" s="29">
        <v>12</v>
      </c>
      <c r="F152" s="30">
        <v>24.99</v>
      </c>
      <c r="G152" s="29">
        <v>24.99</v>
      </c>
      <c r="H152" s="28" t="s">
        <v>11156</v>
      </c>
      <c r="I152" s="27" t="s">
        <v>59</v>
      </c>
      <c r="J152" s="31" t="s">
        <v>5</v>
      </c>
      <c r="K152" s="27" t="s">
        <v>70</v>
      </c>
      <c r="L152" s="27" t="s">
        <v>999</v>
      </c>
      <c r="M152" s="32" t="str">
        <f>HYPERLINK("http://slimages.macys.com/is/image/MCY/3517538 ")</f>
        <v xml:space="preserve">http://slimages.macys.com/is/image/MCY/3517538 </v>
      </c>
    </row>
    <row r="153" spans="1:13" ht="15.2" customHeight="1" x14ac:dyDescent="0.2">
      <c r="A153" s="26" t="s">
        <v>8784</v>
      </c>
      <c r="B153" s="27" t="s">
        <v>8785</v>
      </c>
      <c r="C153" s="28">
        <v>1</v>
      </c>
      <c r="D153" s="29">
        <v>12</v>
      </c>
      <c r="E153" s="29">
        <v>12</v>
      </c>
      <c r="F153" s="30">
        <v>29.99</v>
      </c>
      <c r="G153" s="29">
        <v>29.99</v>
      </c>
      <c r="H153" s="28" t="s">
        <v>1797</v>
      </c>
      <c r="I153" s="27" t="s">
        <v>1472</v>
      </c>
      <c r="J153" s="31" t="s">
        <v>234</v>
      </c>
      <c r="K153" s="27" t="s">
        <v>200</v>
      </c>
      <c r="L153" s="27" t="s">
        <v>765</v>
      </c>
      <c r="M153" s="32" t="str">
        <f>HYPERLINK("http://slimages.macys.com/is/image/MCY/3797822 ")</f>
        <v xml:space="preserve">http://slimages.macys.com/is/image/MCY/3797822 </v>
      </c>
    </row>
    <row r="154" spans="1:13" ht="15.2" customHeight="1" x14ac:dyDescent="0.2">
      <c r="A154" s="26" t="s">
        <v>7386</v>
      </c>
      <c r="B154" s="27" t="s">
        <v>7387</v>
      </c>
      <c r="C154" s="28">
        <v>1</v>
      </c>
      <c r="D154" s="29">
        <v>12</v>
      </c>
      <c r="E154" s="29">
        <v>12</v>
      </c>
      <c r="F154" s="30">
        <v>39</v>
      </c>
      <c r="G154" s="29">
        <v>39</v>
      </c>
      <c r="H154" s="28" t="s">
        <v>7385</v>
      </c>
      <c r="I154" s="27" t="s">
        <v>4</v>
      </c>
      <c r="J154" s="31" t="s">
        <v>52</v>
      </c>
      <c r="K154" s="27" t="s">
        <v>154</v>
      </c>
      <c r="L154" s="27" t="s">
        <v>155</v>
      </c>
      <c r="M154" s="32" t="str">
        <f>HYPERLINK("http://slimages.macys.com/is/image/MCY/3702323 ")</f>
        <v xml:space="preserve">http://slimages.macys.com/is/image/MCY/3702323 </v>
      </c>
    </row>
    <row r="155" spans="1:13" ht="15.2" customHeight="1" x14ac:dyDescent="0.2">
      <c r="A155" s="26" t="s">
        <v>2885</v>
      </c>
      <c r="B155" s="27" t="s">
        <v>2886</v>
      </c>
      <c r="C155" s="28">
        <v>1</v>
      </c>
      <c r="D155" s="29">
        <v>12</v>
      </c>
      <c r="E155" s="29">
        <v>12</v>
      </c>
      <c r="F155" s="30">
        <v>29.99</v>
      </c>
      <c r="G155" s="29">
        <v>29.99</v>
      </c>
      <c r="H155" s="28" t="s">
        <v>2887</v>
      </c>
      <c r="I155" s="27" t="s">
        <v>10</v>
      </c>
      <c r="J155" s="31" t="s">
        <v>21</v>
      </c>
      <c r="K155" s="27" t="s">
        <v>70</v>
      </c>
      <c r="L155" s="27" t="s">
        <v>128</v>
      </c>
      <c r="M155" s="32" t="str">
        <f>HYPERLINK("http://slimages.macys.com/is/image/MCY/3676843 ")</f>
        <v xml:space="preserve">http://slimages.macys.com/is/image/MCY/3676843 </v>
      </c>
    </row>
    <row r="156" spans="1:13" ht="15.2" customHeight="1" x14ac:dyDescent="0.2">
      <c r="A156" s="26" t="s">
        <v>1251</v>
      </c>
      <c r="B156" s="27" t="s">
        <v>1252</v>
      </c>
      <c r="C156" s="28">
        <v>1</v>
      </c>
      <c r="D156" s="29">
        <v>11.75</v>
      </c>
      <c r="E156" s="29">
        <v>11.75</v>
      </c>
      <c r="F156" s="30">
        <v>59</v>
      </c>
      <c r="G156" s="29">
        <v>59</v>
      </c>
      <c r="H156" s="28" t="s">
        <v>1253</v>
      </c>
      <c r="I156" s="27" t="s">
        <v>152</v>
      </c>
      <c r="J156" s="31" t="s">
        <v>216</v>
      </c>
      <c r="K156" s="27" t="s">
        <v>24</v>
      </c>
      <c r="L156" s="27" t="s">
        <v>999</v>
      </c>
      <c r="M156" s="32" t="str">
        <f>HYPERLINK("http://slimages.macys.com/is/image/MCY/2745963 ")</f>
        <v xml:space="preserve">http://slimages.macys.com/is/image/MCY/2745963 </v>
      </c>
    </row>
    <row r="157" spans="1:13" ht="15.2" customHeight="1" x14ac:dyDescent="0.2">
      <c r="A157" s="26" t="s">
        <v>7537</v>
      </c>
      <c r="B157" s="27" t="s">
        <v>7538</v>
      </c>
      <c r="C157" s="28">
        <v>1</v>
      </c>
      <c r="D157" s="29">
        <v>11.75</v>
      </c>
      <c r="E157" s="29">
        <v>11.75</v>
      </c>
      <c r="F157" s="30">
        <v>59</v>
      </c>
      <c r="G157" s="29">
        <v>59</v>
      </c>
      <c r="H157" s="28" t="s">
        <v>1253</v>
      </c>
      <c r="I157" s="27" t="s">
        <v>152</v>
      </c>
      <c r="J157" s="31" t="s">
        <v>230</v>
      </c>
      <c r="K157" s="27" t="s">
        <v>24</v>
      </c>
      <c r="L157" s="27" t="s">
        <v>999</v>
      </c>
      <c r="M157" s="32" t="str">
        <f>HYPERLINK("http://slimages.macys.com/is/image/MCY/2745963 ")</f>
        <v xml:space="preserve">http://slimages.macys.com/is/image/MCY/2745963 </v>
      </c>
    </row>
    <row r="158" spans="1:13" ht="15.2" customHeight="1" x14ac:dyDescent="0.2">
      <c r="A158" s="26" t="s">
        <v>11157</v>
      </c>
      <c r="B158" s="27" t="s">
        <v>11158</v>
      </c>
      <c r="C158" s="28">
        <v>1</v>
      </c>
      <c r="D158" s="29">
        <v>11.75</v>
      </c>
      <c r="E158" s="29">
        <v>11.75</v>
      </c>
      <c r="F158" s="30">
        <v>27.99</v>
      </c>
      <c r="G158" s="29">
        <v>27.99</v>
      </c>
      <c r="H158" s="28" t="s">
        <v>11023</v>
      </c>
      <c r="I158" s="27" t="s">
        <v>22</v>
      </c>
      <c r="J158" s="31" t="s">
        <v>40</v>
      </c>
      <c r="K158" s="27" t="s">
        <v>224</v>
      </c>
      <c r="L158" s="27" t="s">
        <v>254</v>
      </c>
      <c r="M158" s="32" t="str">
        <f>HYPERLINK("http://slimages.macys.com/is/image/MCY/3931050 ")</f>
        <v xml:space="preserve">http://slimages.macys.com/is/image/MCY/3931050 </v>
      </c>
    </row>
    <row r="159" spans="1:13" ht="15.2" customHeight="1" x14ac:dyDescent="0.2">
      <c r="A159" s="26" t="s">
        <v>7389</v>
      </c>
      <c r="B159" s="27" t="s">
        <v>7390</v>
      </c>
      <c r="C159" s="28">
        <v>1</v>
      </c>
      <c r="D159" s="29">
        <v>11.75</v>
      </c>
      <c r="E159" s="29">
        <v>11.75</v>
      </c>
      <c r="F159" s="30">
        <v>59</v>
      </c>
      <c r="G159" s="29">
        <v>59</v>
      </c>
      <c r="H159" s="28" t="s">
        <v>1253</v>
      </c>
      <c r="I159" s="27" t="s">
        <v>152</v>
      </c>
      <c r="J159" s="31" t="s">
        <v>205</v>
      </c>
      <c r="K159" s="27" t="s">
        <v>24</v>
      </c>
      <c r="L159" s="27" t="s">
        <v>999</v>
      </c>
      <c r="M159" s="32" t="str">
        <f>HYPERLINK("http://slimages.macys.com/is/image/MCY/2745963 ")</f>
        <v xml:space="preserve">http://slimages.macys.com/is/image/MCY/2745963 </v>
      </c>
    </row>
    <row r="160" spans="1:13" ht="15.2" customHeight="1" x14ac:dyDescent="0.2">
      <c r="A160" s="26" t="s">
        <v>11024</v>
      </c>
      <c r="B160" s="27" t="s">
        <v>11025</v>
      </c>
      <c r="C160" s="28">
        <v>1</v>
      </c>
      <c r="D160" s="29">
        <v>11.75</v>
      </c>
      <c r="E160" s="29">
        <v>11.75</v>
      </c>
      <c r="F160" s="30">
        <v>59</v>
      </c>
      <c r="G160" s="29">
        <v>59</v>
      </c>
      <c r="H160" s="28" t="s">
        <v>1253</v>
      </c>
      <c r="I160" s="27" t="s">
        <v>152</v>
      </c>
      <c r="J160" s="31" t="s">
        <v>23</v>
      </c>
      <c r="K160" s="27" t="s">
        <v>24</v>
      </c>
      <c r="L160" s="27" t="s">
        <v>999</v>
      </c>
      <c r="M160" s="32" t="str">
        <f>HYPERLINK("http://slimages.macys.com/is/image/MCY/2745963 ")</f>
        <v xml:space="preserve">http://slimages.macys.com/is/image/MCY/2745963 </v>
      </c>
    </row>
    <row r="161" spans="1:13" ht="15.2" customHeight="1" x14ac:dyDescent="0.2">
      <c r="A161" s="26" t="s">
        <v>11159</v>
      </c>
      <c r="B161" s="27" t="s">
        <v>11160</v>
      </c>
      <c r="C161" s="28">
        <v>1</v>
      </c>
      <c r="D161" s="29">
        <v>11.65</v>
      </c>
      <c r="E161" s="29">
        <v>11.65</v>
      </c>
      <c r="F161" s="30">
        <v>27.99</v>
      </c>
      <c r="G161" s="29">
        <v>27.99</v>
      </c>
      <c r="H161" s="28" t="s">
        <v>217</v>
      </c>
      <c r="I161" s="27" t="s">
        <v>4</v>
      </c>
      <c r="J161" s="31" t="s">
        <v>52</v>
      </c>
      <c r="K161" s="27" t="s">
        <v>159</v>
      </c>
      <c r="L161" s="27" t="s">
        <v>160</v>
      </c>
      <c r="M161" s="32" t="str">
        <f>HYPERLINK("http://slimages.macys.com/is/image/MCY/3597473 ")</f>
        <v xml:space="preserve">http://slimages.macys.com/is/image/MCY/3597473 </v>
      </c>
    </row>
    <row r="162" spans="1:13" ht="15.2" customHeight="1" x14ac:dyDescent="0.2">
      <c r="A162" s="26" t="s">
        <v>11161</v>
      </c>
      <c r="B162" s="27" t="s">
        <v>11162</v>
      </c>
      <c r="C162" s="28">
        <v>1</v>
      </c>
      <c r="D162" s="29">
        <v>11.65</v>
      </c>
      <c r="E162" s="29">
        <v>11.65</v>
      </c>
      <c r="F162" s="30">
        <v>29.99</v>
      </c>
      <c r="G162" s="29">
        <v>29.99</v>
      </c>
      <c r="H162" s="28" t="s">
        <v>2185</v>
      </c>
      <c r="I162" s="27" t="s">
        <v>4</v>
      </c>
      <c r="J162" s="31" t="s">
        <v>113</v>
      </c>
      <c r="K162" s="27" t="s">
        <v>200</v>
      </c>
      <c r="L162" s="27" t="s">
        <v>552</v>
      </c>
      <c r="M162" s="32" t="str">
        <f>HYPERLINK("http://slimages.macys.com/is/image/MCY/3683142 ")</f>
        <v xml:space="preserve">http://slimages.macys.com/is/image/MCY/3683142 </v>
      </c>
    </row>
    <row r="163" spans="1:13" ht="15.2" customHeight="1" x14ac:dyDescent="0.2">
      <c r="A163" s="26" t="s">
        <v>11163</v>
      </c>
      <c r="B163" s="27" t="s">
        <v>11164</v>
      </c>
      <c r="C163" s="28">
        <v>1</v>
      </c>
      <c r="D163" s="29">
        <v>11.5</v>
      </c>
      <c r="E163" s="29">
        <v>11.5</v>
      </c>
      <c r="F163" s="30">
        <v>39</v>
      </c>
      <c r="G163" s="29">
        <v>39</v>
      </c>
      <c r="H163" s="28" t="s">
        <v>10321</v>
      </c>
      <c r="I163" s="27"/>
      <c r="J163" s="31" t="s">
        <v>71</v>
      </c>
      <c r="K163" s="27" t="s">
        <v>154</v>
      </c>
      <c r="L163" s="27" t="s">
        <v>155</v>
      </c>
      <c r="M163" s="32" t="str">
        <f>HYPERLINK("http://slimages.macys.com/is/image/MCY/3820557 ")</f>
        <v xml:space="preserve">http://slimages.macys.com/is/image/MCY/3820557 </v>
      </c>
    </row>
    <row r="164" spans="1:13" ht="15.2" customHeight="1" x14ac:dyDescent="0.2">
      <c r="A164" s="26" t="s">
        <v>8615</v>
      </c>
      <c r="B164" s="27" t="s">
        <v>8616</v>
      </c>
      <c r="C164" s="28">
        <v>2</v>
      </c>
      <c r="D164" s="29">
        <v>11.5</v>
      </c>
      <c r="E164" s="29">
        <v>23</v>
      </c>
      <c r="F164" s="30">
        <v>27.99</v>
      </c>
      <c r="G164" s="29">
        <v>55.98</v>
      </c>
      <c r="H164" s="28" t="s">
        <v>223</v>
      </c>
      <c r="I164" s="27" t="s">
        <v>36</v>
      </c>
      <c r="J164" s="31" t="s">
        <v>71</v>
      </c>
      <c r="K164" s="27" t="s">
        <v>224</v>
      </c>
      <c r="L164" s="27" t="s">
        <v>225</v>
      </c>
      <c r="M164" s="32" t="str">
        <f>HYPERLINK("http://slimages.macys.com/is/image/MCY/3777812 ")</f>
        <v xml:space="preserve">http://slimages.macys.com/is/image/MCY/3777812 </v>
      </c>
    </row>
    <row r="165" spans="1:13" ht="15.2" customHeight="1" x14ac:dyDescent="0.2">
      <c r="A165" s="26" t="s">
        <v>11165</v>
      </c>
      <c r="B165" s="27" t="s">
        <v>11166</v>
      </c>
      <c r="C165" s="28">
        <v>2</v>
      </c>
      <c r="D165" s="29">
        <v>11.5</v>
      </c>
      <c r="E165" s="29">
        <v>23</v>
      </c>
      <c r="F165" s="30">
        <v>39</v>
      </c>
      <c r="G165" s="29">
        <v>78</v>
      </c>
      <c r="H165" s="28" t="s">
        <v>10321</v>
      </c>
      <c r="I165" s="27"/>
      <c r="J165" s="31" t="s">
        <v>5</v>
      </c>
      <c r="K165" s="27" t="s">
        <v>154</v>
      </c>
      <c r="L165" s="27" t="s">
        <v>155</v>
      </c>
      <c r="M165" s="32" t="str">
        <f>HYPERLINK("http://slimages.macys.com/is/image/MCY/3820557 ")</f>
        <v xml:space="preserve">http://slimages.macys.com/is/image/MCY/3820557 </v>
      </c>
    </row>
    <row r="166" spans="1:13" ht="15.2" customHeight="1" x14ac:dyDescent="0.2">
      <c r="A166" s="26" t="s">
        <v>8790</v>
      </c>
      <c r="B166" s="27" t="s">
        <v>8791</v>
      </c>
      <c r="C166" s="28">
        <v>1</v>
      </c>
      <c r="D166" s="29">
        <v>11.5</v>
      </c>
      <c r="E166" s="29">
        <v>11.5</v>
      </c>
      <c r="F166" s="30">
        <v>29.99</v>
      </c>
      <c r="G166" s="29">
        <v>29.99</v>
      </c>
      <c r="H166" s="28" t="s">
        <v>3822</v>
      </c>
      <c r="I166" s="27" t="s">
        <v>1</v>
      </c>
      <c r="J166" s="31" t="s">
        <v>230</v>
      </c>
      <c r="K166" s="27" t="s">
        <v>200</v>
      </c>
      <c r="L166" s="27" t="s">
        <v>765</v>
      </c>
      <c r="M166" s="32" t="str">
        <f>HYPERLINK("http://slimages.macys.com/is/image/MCY/3581689 ")</f>
        <v xml:space="preserve">http://slimages.macys.com/is/image/MCY/3581689 </v>
      </c>
    </row>
    <row r="167" spans="1:13" ht="15.2" customHeight="1" x14ac:dyDescent="0.2">
      <c r="A167" s="26" t="s">
        <v>8445</v>
      </c>
      <c r="B167" s="27" t="s">
        <v>8446</v>
      </c>
      <c r="C167" s="28">
        <v>1</v>
      </c>
      <c r="D167" s="29">
        <v>11.5</v>
      </c>
      <c r="E167" s="29">
        <v>11.5</v>
      </c>
      <c r="F167" s="30">
        <v>29.99</v>
      </c>
      <c r="G167" s="29">
        <v>29.99</v>
      </c>
      <c r="H167" s="28" t="s">
        <v>233</v>
      </c>
      <c r="I167" s="27" t="s">
        <v>26</v>
      </c>
      <c r="J167" s="31" t="s">
        <v>230</v>
      </c>
      <c r="K167" s="27" t="s">
        <v>200</v>
      </c>
      <c r="L167" s="27" t="s">
        <v>201</v>
      </c>
      <c r="M167" s="32" t="str">
        <f>HYPERLINK("http://slimages.macys.com/is/image/MCY/3899624 ")</f>
        <v xml:space="preserve">http://slimages.macys.com/is/image/MCY/3899624 </v>
      </c>
    </row>
    <row r="168" spans="1:13" ht="15.2" customHeight="1" x14ac:dyDescent="0.2">
      <c r="A168" s="26" t="s">
        <v>2186</v>
      </c>
      <c r="B168" s="27" t="s">
        <v>2187</v>
      </c>
      <c r="C168" s="28">
        <v>1</v>
      </c>
      <c r="D168" s="29">
        <v>11.5</v>
      </c>
      <c r="E168" s="29">
        <v>11.5</v>
      </c>
      <c r="F168" s="30">
        <v>29.99</v>
      </c>
      <c r="G168" s="29">
        <v>29.99</v>
      </c>
      <c r="H168" s="28" t="s">
        <v>220</v>
      </c>
      <c r="I168" s="27" t="s">
        <v>189</v>
      </c>
      <c r="J168" s="31" t="s">
        <v>214</v>
      </c>
      <c r="K168" s="27" t="s">
        <v>200</v>
      </c>
      <c r="L168" s="27" t="s">
        <v>201</v>
      </c>
      <c r="M168" s="32" t="str">
        <f>HYPERLINK("http://slimages.macys.com/is/image/MCY/3899641 ")</f>
        <v xml:space="preserve">http://slimages.macys.com/is/image/MCY/3899641 </v>
      </c>
    </row>
    <row r="169" spans="1:13" ht="15.2" customHeight="1" x14ac:dyDescent="0.2">
      <c r="A169" s="26" t="s">
        <v>2198</v>
      </c>
      <c r="B169" s="27" t="s">
        <v>2199</v>
      </c>
      <c r="C169" s="28">
        <v>1</v>
      </c>
      <c r="D169" s="29">
        <v>11.5</v>
      </c>
      <c r="E169" s="29">
        <v>11.5</v>
      </c>
      <c r="F169" s="30">
        <v>29.99</v>
      </c>
      <c r="G169" s="29">
        <v>29.99</v>
      </c>
      <c r="H169" s="28" t="s">
        <v>233</v>
      </c>
      <c r="I169" s="27" t="s">
        <v>4</v>
      </c>
      <c r="J169" s="31" t="s">
        <v>230</v>
      </c>
      <c r="K169" s="27" t="s">
        <v>200</v>
      </c>
      <c r="L169" s="27" t="s">
        <v>201</v>
      </c>
      <c r="M169" s="32" t="str">
        <f>HYPERLINK("http://slimages.macys.com/is/image/MCY/3899544 ")</f>
        <v xml:space="preserve">http://slimages.macys.com/is/image/MCY/3899544 </v>
      </c>
    </row>
    <row r="170" spans="1:13" ht="15.2" customHeight="1" x14ac:dyDescent="0.2">
      <c r="A170" s="26" t="s">
        <v>8381</v>
      </c>
      <c r="B170" s="27" t="s">
        <v>8382</v>
      </c>
      <c r="C170" s="28">
        <v>1</v>
      </c>
      <c r="D170" s="29">
        <v>11.25</v>
      </c>
      <c r="E170" s="29">
        <v>11.25</v>
      </c>
      <c r="F170" s="30">
        <v>25.99</v>
      </c>
      <c r="G170" s="29">
        <v>25.99</v>
      </c>
      <c r="H170" s="28" t="s">
        <v>5538</v>
      </c>
      <c r="I170" s="27" t="s">
        <v>4</v>
      </c>
      <c r="J170" s="31" t="s">
        <v>216</v>
      </c>
      <c r="K170" s="27" t="s">
        <v>200</v>
      </c>
      <c r="L170" s="27" t="s">
        <v>552</v>
      </c>
      <c r="M170" s="32" t="str">
        <f>HYPERLINK("http://slimages.macys.com/is/image/MCY/3755250 ")</f>
        <v xml:space="preserve">http://slimages.macys.com/is/image/MCY/3755250 </v>
      </c>
    </row>
    <row r="171" spans="1:13" ht="15.2" customHeight="1" x14ac:dyDescent="0.2">
      <c r="A171" s="26" t="s">
        <v>11167</v>
      </c>
      <c r="B171" s="27" t="s">
        <v>11168</v>
      </c>
      <c r="C171" s="28">
        <v>1</v>
      </c>
      <c r="D171" s="29">
        <v>11.25</v>
      </c>
      <c r="E171" s="29">
        <v>11.25</v>
      </c>
      <c r="F171" s="30">
        <v>25.99</v>
      </c>
      <c r="G171" s="29">
        <v>25.99</v>
      </c>
      <c r="H171" s="28" t="s">
        <v>783</v>
      </c>
      <c r="I171" s="27" t="s">
        <v>10</v>
      </c>
      <c r="J171" s="31" t="s">
        <v>214</v>
      </c>
      <c r="K171" s="27" t="s">
        <v>200</v>
      </c>
      <c r="L171" s="27" t="s">
        <v>552</v>
      </c>
      <c r="M171" s="32" t="str">
        <f>HYPERLINK("http://slimages.macys.com/is/image/MCY/3755250 ")</f>
        <v xml:space="preserve">http://slimages.macys.com/is/image/MCY/3755250 </v>
      </c>
    </row>
    <row r="172" spans="1:13" ht="15.2" customHeight="1" x14ac:dyDescent="0.2">
      <c r="A172" s="26" t="s">
        <v>11169</v>
      </c>
      <c r="B172" s="27" t="s">
        <v>11170</v>
      </c>
      <c r="C172" s="28">
        <v>1</v>
      </c>
      <c r="D172" s="29">
        <v>11</v>
      </c>
      <c r="E172" s="29">
        <v>11</v>
      </c>
      <c r="F172" s="30">
        <v>24.98</v>
      </c>
      <c r="G172" s="29">
        <v>24.98</v>
      </c>
      <c r="H172" s="28" t="s">
        <v>11171</v>
      </c>
      <c r="I172" s="27" t="s">
        <v>271</v>
      </c>
      <c r="J172" s="31" t="s">
        <v>71</v>
      </c>
      <c r="K172" s="27" t="s">
        <v>154</v>
      </c>
      <c r="L172" s="27" t="s">
        <v>155</v>
      </c>
      <c r="M172" s="32" t="str">
        <f>HYPERLINK("http://slimages.macys.com/is/image/MCY/2939200 ")</f>
        <v xml:space="preserve">http://slimages.macys.com/is/image/MCY/2939200 </v>
      </c>
    </row>
    <row r="173" spans="1:13" ht="15.2" customHeight="1" x14ac:dyDescent="0.2">
      <c r="A173" s="26" t="s">
        <v>1277</v>
      </c>
      <c r="B173" s="27" t="s">
        <v>1278</v>
      </c>
      <c r="C173" s="28">
        <v>1</v>
      </c>
      <c r="D173" s="29">
        <v>11</v>
      </c>
      <c r="E173" s="29">
        <v>11</v>
      </c>
      <c r="F173" s="30">
        <v>27.99</v>
      </c>
      <c r="G173" s="29">
        <v>27.99</v>
      </c>
      <c r="H173" s="28" t="s">
        <v>1279</v>
      </c>
      <c r="I173" s="27" t="s">
        <v>1280</v>
      </c>
      <c r="J173" s="31" t="s">
        <v>40</v>
      </c>
      <c r="K173" s="27" t="s">
        <v>224</v>
      </c>
      <c r="L173" s="27" t="s">
        <v>563</v>
      </c>
      <c r="M173" s="32" t="str">
        <f>HYPERLINK("http://slimages.macys.com/is/image/MCY/3852990 ")</f>
        <v xml:space="preserve">http://slimages.macys.com/is/image/MCY/3852990 </v>
      </c>
    </row>
    <row r="174" spans="1:13" ht="15.2" customHeight="1" x14ac:dyDescent="0.2">
      <c r="A174" s="26" t="s">
        <v>1284</v>
      </c>
      <c r="B174" s="27" t="s">
        <v>1285</v>
      </c>
      <c r="C174" s="28">
        <v>1</v>
      </c>
      <c r="D174" s="29">
        <v>11</v>
      </c>
      <c r="E174" s="29">
        <v>11</v>
      </c>
      <c r="F174" s="30">
        <v>29.99</v>
      </c>
      <c r="G174" s="29">
        <v>29.99</v>
      </c>
      <c r="H174" s="28" t="s">
        <v>1286</v>
      </c>
      <c r="I174" s="27" t="s">
        <v>1</v>
      </c>
      <c r="J174" s="31" t="s">
        <v>205</v>
      </c>
      <c r="K174" s="27" t="s">
        <v>200</v>
      </c>
      <c r="L174" s="27" t="s">
        <v>765</v>
      </c>
      <c r="M174" s="32" t="str">
        <f>HYPERLINK("http://slimages.macys.com/is/image/MCY/3364230 ")</f>
        <v xml:space="preserve">http://slimages.macys.com/is/image/MCY/3364230 </v>
      </c>
    </row>
    <row r="175" spans="1:13" ht="15.2" customHeight="1" x14ac:dyDescent="0.2">
      <c r="A175" s="26" t="s">
        <v>11172</v>
      </c>
      <c r="B175" s="27" t="s">
        <v>11173</v>
      </c>
      <c r="C175" s="28">
        <v>1</v>
      </c>
      <c r="D175" s="29">
        <v>11</v>
      </c>
      <c r="E175" s="29">
        <v>11</v>
      </c>
      <c r="F175" s="30">
        <v>26.99</v>
      </c>
      <c r="G175" s="29">
        <v>26.99</v>
      </c>
      <c r="H175" s="28" t="s">
        <v>11174</v>
      </c>
      <c r="I175" s="27" t="s">
        <v>189</v>
      </c>
      <c r="J175" s="31" t="s">
        <v>5</v>
      </c>
      <c r="K175" s="27" t="s">
        <v>70</v>
      </c>
      <c r="L175" s="27" t="s">
        <v>999</v>
      </c>
      <c r="M175" s="32" t="str">
        <f>HYPERLINK("http://slimages.macys.com/is/image/MCY/3692942 ")</f>
        <v xml:space="preserve">http://slimages.macys.com/is/image/MCY/3692942 </v>
      </c>
    </row>
    <row r="176" spans="1:13" ht="15.2" customHeight="1" x14ac:dyDescent="0.2">
      <c r="A176" s="26" t="s">
        <v>11175</v>
      </c>
      <c r="B176" s="27" t="s">
        <v>11176</v>
      </c>
      <c r="C176" s="28">
        <v>1</v>
      </c>
      <c r="D176" s="29">
        <v>11</v>
      </c>
      <c r="E176" s="29">
        <v>11</v>
      </c>
      <c r="F176" s="30">
        <v>27.99</v>
      </c>
      <c r="G176" s="29">
        <v>27.99</v>
      </c>
      <c r="H176" s="28" t="s">
        <v>1807</v>
      </c>
      <c r="I176" s="27" t="s">
        <v>36</v>
      </c>
      <c r="J176" s="31" t="s">
        <v>5</v>
      </c>
      <c r="K176" s="27" t="s">
        <v>224</v>
      </c>
      <c r="L176" s="27" t="s">
        <v>254</v>
      </c>
      <c r="M176" s="32" t="str">
        <f>HYPERLINK("http://slimages.macys.com/is/image/MCY/3798041 ")</f>
        <v xml:space="preserve">http://slimages.macys.com/is/image/MCY/3798041 </v>
      </c>
    </row>
    <row r="177" spans="1:13" ht="15.2" customHeight="1" x14ac:dyDescent="0.2">
      <c r="A177" s="26" t="s">
        <v>8798</v>
      </c>
      <c r="B177" s="27" t="s">
        <v>8799</v>
      </c>
      <c r="C177" s="28">
        <v>1</v>
      </c>
      <c r="D177" s="29">
        <v>11</v>
      </c>
      <c r="E177" s="29">
        <v>11</v>
      </c>
      <c r="F177" s="30">
        <v>27.99</v>
      </c>
      <c r="G177" s="29">
        <v>27.99</v>
      </c>
      <c r="H177" s="28" t="s">
        <v>1279</v>
      </c>
      <c r="I177" s="27" t="s">
        <v>1280</v>
      </c>
      <c r="J177" s="31" t="s">
        <v>21</v>
      </c>
      <c r="K177" s="27" t="s">
        <v>224</v>
      </c>
      <c r="L177" s="27" t="s">
        <v>563</v>
      </c>
      <c r="M177" s="32" t="str">
        <f>HYPERLINK("http://slimages.macys.com/is/image/MCY/3852990 ")</f>
        <v xml:space="preserve">http://slimages.macys.com/is/image/MCY/3852990 </v>
      </c>
    </row>
    <row r="178" spans="1:13" ht="15.2" customHeight="1" x14ac:dyDescent="0.2">
      <c r="A178" s="26" t="s">
        <v>11177</v>
      </c>
      <c r="B178" s="27" t="s">
        <v>11178</v>
      </c>
      <c r="C178" s="28">
        <v>1</v>
      </c>
      <c r="D178" s="29">
        <v>10.85</v>
      </c>
      <c r="E178" s="29">
        <v>10.85</v>
      </c>
      <c r="F178" s="30">
        <v>27.99</v>
      </c>
      <c r="G178" s="29">
        <v>27.99</v>
      </c>
      <c r="H178" s="28" t="s">
        <v>5712</v>
      </c>
      <c r="I178" s="27" t="s">
        <v>189</v>
      </c>
      <c r="J178" s="31" t="s">
        <v>5</v>
      </c>
      <c r="K178" s="27" t="s">
        <v>224</v>
      </c>
      <c r="L178" s="27" t="s">
        <v>197</v>
      </c>
      <c r="M178" s="32" t="str">
        <f>HYPERLINK("http://slimages.macys.com/is/image/MCY/3777906 ")</f>
        <v xml:space="preserve">http://slimages.macys.com/is/image/MCY/3777906 </v>
      </c>
    </row>
    <row r="179" spans="1:13" ht="15.2" customHeight="1" x14ac:dyDescent="0.2">
      <c r="A179" s="26" t="s">
        <v>11179</v>
      </c>
      <c r="B179" s="27" t="s">
        <v>11180</v>
      </c>
      <c r="C179" s="28">
        <v>1</v>
      </c>
      <c r="D179" s="29">
        <v>10.85</v>
      </c>
      <c r="E179" s="29">
        <v>10.85</v>
      </c>
      <c r="F179" s="30">
        <v>27.99</v>
      </c>
      <c r="G179" s="29">
        <v>27.99</v>
      </c>
      <c r="H179" s="28" t="s">
        <v>7547</v>
      </c>
      <c r="I179" s="27" t="s">
        <v>82</v>
      </c>
      <c r="J179" s="31" t="s">
        <v>52</v>
      </c>
      <c r="K179" s="27" t="s">
        <v>224</v>
      </c>
      <c r="L179" s="27" t="s">
        <v>197</v>
      </c>
      <c r="M179" s="32" t="str">
        <f>HYPERLINK("http://slimages.macys.com/is/image/MCY/3719944 ")</f>
        <v xml:space="preserve">http://slimages.macys.com/is/image/MCY/3719944 </v>
      </c>
    </row>
    <row r="180" spans="1:13" ht="15.2" customHeight="1" x14ac:dyDescent="0.2">
      <c r="A180" s="26" t="s">
        <v>8298</v>
      </c>
      <c r="B180" s="27" t="s">
        <v>8299</v>
      </c>
      <c r="C180" s="28">
        <v>1</v>
      </c>
      <c r="D180" s="29">
        <v>10.65</v>
      </c>
      <c r="E180" s="29">
        <v>10.65</v>
      </c>
      <c r="F180" s="30">
        <v>27.99</v>
      </c>
      <c r="G180" s="29">
        <v>27.99</v>
      </c>
      <c r="H180" s="28" t="s">
        <v>1290</v>
      </c>
      <c r="I180" s="27" t="s">
        <v>49</v>
      </c>
      <c r="J180" s="31" t="s">
        <v>52</v>
      </c>
      <c r="K180" s="27" t="s">
        <v>224</v>
      </c>
      <c r="L180" s="27" t="s">
        <v>237</v>
      </c>
      <c r="M180" s="32" t="str">
        <f>HYPERLINK("http://slimages.macys.com/is/image/MCY/3787610 ")</f>
        <v xml:space="preserve">http://slimages.macys.com/is/image/MCY/3787610 </v>
      </c>
    </row>
    <row r="181" spans="1:13" ht="15.2" customHeight="1" x14ac:dyDescent="0.2">
      <c r="A181" s="26" t="s">
        <v>786</v>
      </c>
      <c r="B181" s="27" t="s">
        <v>787</v>
      </c>
      <c r="C181" s="28">
        <v>1</v>
      </c>
      <c r="D181" s="29">
        <v>10.51</v>
      </c>
      <c r="E181" s="29">
        <v>10.51</v>
      </c>
      <c r="F181" s="30">
        <v>24.99</v>
      </c>
      <c r="G181" s="29">
        <v>24.99</v>
      </c>
      <c r="H181" s="28" t="s">
        <v>249</v>
      </c>
      <c r="I181" s="27" t="s">
        <v>103</v>
      </c>
      <c r="J181" s="31" t="s">
        <v>21</v>
      </c>
      <c r="K181" s="27" t="s">
        <v>159</v>
      </c>
      <c r="L181" s="27" t="s">
        <v>160</v>
      </c>
      <c r="M181" s="32" t="str">
        <f>HYPERLINK("http://slimages.macys.com/is/image/MCY/3632938 ")</f>
        <v xml:space="preserve">http://slimages.macys.com/is/image/MCY/3632938 </v>
      </c>
    </row>
    <row r="182" spans="1:13" ht="15.2" customHeight="1" x14ac:dyDescent="0.2">
      <c r="A182" s="26" t="s">
        <v>7548</v>
      </c>
      <c r="B182" s="27" t="s">
        <v>7549</v>
      </c>
      <c r="C182" s="28">
        <v>1</v>
      </c>
      <c r="D182" s="29">
        <v>10.51</v>
      </c>
      <c r="E182" s="29">
        <v>10.51</v>
      </c>
      <c r="F182" s="30">
        <v>24.99</v>
      </c>
      <c r="G182" s="29">
        <v>24.99</v>
      </c>
      <c r="H182" s="28" t="s">
        <v>2210</v>
      </c>
      <c r="I182" s="27" t="s">
        <v>4</v>
      </c>
      <c r="J182" s="31" t="s">
        <v>21</v>
      </c>
      <c r="K182" s="27" t="s">
        <v>159</v>
      </c>
      <c r="L182" s="27" t="s">
        <v>160</v>
      </c>
      <c r="M182" s="32" t="str">
        <f>HYPERLINK("http://slimages.macys.com/is/image/MCY/3632938 ")</f>
        <v xml:space="preserve">http://slimages.macys.com/is/image/MCY/3632938 </v>
      </c>
    </row>
    <row r="183" spans="1:13" ht="15.2" customHeight="1" x14ac:dyDescent="0.2">
      <c r="A183" s="26" t="s">
        <v>1813</v>
      </c>
      <c r="B183" s="27" t="s">
        <v>1814</v>
      </c>
      <c r="C183" s="28">
        <v>1</v>
      </c>
      <c r="D183" s="29">
        <v>10.5</v>
      </c>
      <c r="E183" s="29">
        <v>10.5</v>
      </c>
      <c r="F183" s="30">
        <v>27.99</v>
      </c>
      <c r="G183" s="29">
        <v>27.99</v>
      </c>
      <c r="H183" s="28" t="s">
        <v>253</v>
      </c>
      <c r="I183" s="27" t="s">
        <v>4</v>
      </c>
      <c r="J183" s="31" t="s">
        <v>40</v>
      </c>
      <c r="K183" s="27" t="s">
        <v>224</v>
      </c>
      <c r="L183" s="27" t="s">
        <v>254</v>
      </c>
      <c r="M183" s="32" t="str">
        <f>HYPERLINK("http://slimages.macys.com/is/image/MCY/3798053 ")</f>
        <v xml:space="preserve">http://slimages.macys.com/is/image/MCY/3798053 </v>
      </c>
    </row>
    <row r="184" spans="1:13" ht="15.2" customHeight="1" x14ac:dyDescent="0.2">
      <c r="A184" s="26" t="s">
        <v>10246</v>
      </c>
      <c r="B184" s="27" t="s">
        <v>10247</v>
      </c>
      <c r="C184" s="28">
        <v>1</v>
      </c>
      <c r="D184" s="29">
        <v>10.5</v>
      </c>
      <c r="E184" s="29">
        <v>10.5</v>
      </c>
      <c r="F184" s="30">
        <v>25.99</v>
      </c>
      <c r="G184" s="29">
        <v>25.99</v>
      </c>
      <c r="H184" s="28" t="s">
        <v>1305</v>
      </c>
      <c r="I184" s="27" t="s">
        <v>36</v>
      </c>
      <c r="J184" s="31" t="s">
        <v>230</v>
      </c>
      <c r="K184" s="27" t="s">
        <v>200</v>
      </c>
      <c r="L184" s="27" t="s">
        <v>133</v>
      </c>
      <c r="M184" s="32" t="str">
        <f>HYPERLINK("http://slimages.macys.com/is/image/MCY/3773860 ")</f>
        <v xml:space="preserve">http://slimages.macys.com/is/image/MCY/3773860 </v>
      </c>
    </row>
    <row r="185" spans="1:13" ht="15.2" customHeight="1" x14ac:dyDescent="0.2">
      <c r="A185" s="26" t="s">
        <v>1295</v>
      </c>
      <c r="B185" s="27" t="s">
        <v>1296</v>
      </c>
      <c r="C185" s="28">
        <v>1</v>
      </c>
      <c r="D185" s="29">
        <v>10.5</v>
      </c>
      <c r="E185" s="29">
        <v>10.5</v>
      </c>
      <c r="F185" s="30">
        <v>27.99</v>
      </c>
      <c r="G185" s="29">
        <v>27.99</v>
      </c>
      <c r="H185" s="28" t="s">
        <v>253</v>
      </c>
      <c r="I185" s="27" t="s">
        <v>10</v>
      </c>
      <c r="J185" s="31" t="s">
        <v>5</v>
      </c>
      <c r="K185" s="27" t="s">
        <v>224</v>
      </c>
      <c r="L185" s="27" t="s">
        <v>254</v>
      </c>
      <c r="M185" s="32" t="str">
        <f>HYPERLINK("http://slimages.macys.com/is/image/MCY/3798053 ")</f>
        <v xml:space="preserve">http://slimages.macys.com/is/image/MCY/3798053 </v>
      </c>
    </row>
    <row r="186" spans="1:13" ht="15.2" customHeight="1" x14ac:dyDescent="0.2">
      <c r="A186" s="26" t="s">
        <v>2904</v>
      </c>
      <c r="B186" s="27" t="s">
        <v>2905</v>
      </c>
      <c r="C186" s="28">
        <v>1</v>
      </c>
      <c r="D186" s="29">
        <v>10.5</v>
      </c>
      <c r="E186" s="29">
        <v>10.5</v>
      </c>
      <c r="F186" s="30">
        <v>25.99</v>
      </c>
      <c r="G186" s="29">
        <v>25.99</v>
      </c>
      <c r="H186" s="28" t="s">
        <v>1305</v>
      </c>
      <c r="I186" s="27" t="s">
        <v>207</v>
      </c>
      <c r="J186" s="31" t="s">
        <v>69</v>
      </c>
      <c r="K186" s="27" t="s">
        <v>200</v>
      </c>
      <c r="L186" s="27" t="s">
        <v>133</v>
      </c>
      <c r="M186" s="32" t="str">
        <f>HYPERLINK("http://slimages.macys.com/is/image/MCY/3773860 ")</f>
        <v xml:space="preserve">http://slimages.macys.com/is/image/MCY/3773860 </v>
      </c>
    </row>
    <row r="187" spans="1:13" ht="15.2" customHeight="1" x14ac:dyDescent="0.2">
      <c r="A187" s="26" t="s">
        <v>8551</v>
      </c>
      <c r="B187" s="27" t="s">
        <v>8552</v>
      </c>
      <c r="C187" s="28">
        <v>2</v>
      </c>
      <c r="D187" s="29">
        <v>10</v>
      </c>
      <c r="E187" s="29">
        <v>20</v>
      </c>
      <c r="F187" s="30">
        <v>27.99</v>
      </c>
      <c r="G187" s="29">
        <v>55.98</v>
      </c>
      <c r="H187" s="28" t="s">
        <v>279</v>
      </c>
      <c r="I187" s="27" t="s">
        <v>4</v>
      </c>
      <c r="J187" s="31" t="s">
        <v>5</v>
      </c>
      <c r="K187" s="27" t="s">
        <v>224</v>
      </c>
      <c r="L187" s="27" t="s">
        <v>237</v>
      </c>
      <c r="M187" s="32" t="str">
        <f>HYPERLINK("http://slimages.macys.com/is/image/MCY/3820977 ")</f>
        <v xml:space="preserve">http://slimages.macys.com/is/image/MCY/3820977 </v>
      </c>
    </row>
    <row r="188" spans="1:13" ht="15.2" customHeight="1" x14ac:dyDescent="0.2">
      <c r="A188" s="26" t="s">
        <v>11181</v>
      </c>
      <c r="B188" s="27" t="s">
        <v>11182</v>
      </c>
      <c r="C188" s="28">
        <v>1</v>
      </c>
      <c r="D188" s="29">
        <v>10</v>
      </c>
      <c r="E188" s="29">
        <v>10</v>
      </c>
      <c r="F188" s="30">
        <v>27.99</v>
      </c>
      <c r="G188" s="29">
        <v>27.99</v>
      </c>
      <c r="H188" s="28" t="s">
        <v>8397</v>
      </c>
      <c r="I188" s="27" t="s">
        <v>383</v>
      </c>
      <c r="J188" s="31" t="s">
        <v>52</v>
      </c>
      <c r="K188" s="27" t="s">
        <v>224</v>
      </c>
      <c r="L188" s="27" t="s">
        <v>260</v>
      </c>
      <c r="M188" s="32" t="str">
        <f>HYPERLINK("http://slimages.macys.com/is/image/MCY/3834627 ")</f>
        <v xml:space="preserve">http://slimages.macys.com/is/image/MCY/3834627 </v>
      </c>
    </row>
    <row r="189" spans="1:13" ht="15.2" customHeight="1" x14ac:dyDescent="0.2">
      <c r="A189" s="26" t="s">
        <v>2910</v>
      </c>
      <c r="B189" s="27" t="s">
        <v>2911</v>
      </c>
      <c r="C189" s="28">
        <v>3</v>
      </c>
      <c r="D189" s="29">
        <v>10</v>
      </c>
      <c r="E189" s="29">
        <v>30</v>
      </c>
      <c r="F189" s="30">
        <v>27.99</v>
      </c>
      <c r="G189" s="29">
        <v>83.97</v>
      </c>
      <c r="H189" s="28" t="s">
        <v>279</v>
      </c>
      <c r="I189" s="27" t="s">
        <v>4</v>
      </c>
      <c r="J189" s="31" t="s">
        <v>21</v>
      </c>
      <c r="K189" s="27" t="s">
        <v>224</v>
      </c>
      <c r="L189" s="27" t="s">
        <v>237</v>
      </c>
      <c r="M189" s="32" t="str">
        <f>HYPERLINK("http://slimages.macys.com/is/image/MCY/3820977 ")</f>
        <v xml:space="preserve">http://slimages.macys.com/is/image/MCY/3820977 </v>
      </c>
    </row>
    <row r="190" spans="1:13" ht="15.2" customHeight="1" x14ac:dyDescent="0.2">
      <c r="A190" s="26" t="s">
        <v>8398</v>
      </c>
      <c r="B190" s="27" t="s">
        <v>8399</v>
      </c>
      <c r="C190" s="28">
        <v>2</v>
      </c>
      <c r="D190" s="29">
        <v>10</v>
      </c>
      <c r="E190" s="29">
        <v>20</v>
      </c>
      <c r="F190" s="30">
        <v>27.99</v>
      </c>
      <c r="G190" s="29">
        <v>55.98</v>
      </c>
      <c r="H190" s="28" t="s">
        <v>279</v>
      </c>
      <c r="I190" s="27" t="s">
        <v>127</v>
      </c>
      <c r="J190" s="31" t="s">
        <v>5</v>
      </c>
      <c r="K190" s="27" t="s">
        <v>224</v>
      </c>
      <c r="L190" s="27" t="s">
        <v>237</v>
      </c>
      <c r="M190" s="32" t="str">
        <f>HYPERLINK("http://slimages.macys.com/is/image/MCY/3820964 ")</f>
        <v xml:space="preserve">http://slimages.macys.com/is/image/MCY/3820964 </v>
      </c>
    </row>
    <row r="191" spans="1:13" ht="15.2" customHeight="1" x14ac:dyDescent="0.2">
      <c r="A191" s="26" t="s">
        <v>1319</v>
      </c>
      <c r="B191" s="27" t="s">
        <v>1320</v>
      </c>
      <c r="C191" s="28">
        <v>1</v>
      </c>
      <c r="D191" s="29">
        <v>10</v>
      </c>
      <c r="E191" s="29">
        <v>10</v>
      </c>
      <c r="F191" s="30">
        <v>24.98</v>
      </c>
      <c r="G191" s="29">
        <v>24.98</v>
      </c>
      <c r="H191" s="28" t="s">
        <v>1321</v>
      </c>
      <c r="I191" s="27" t="s">
        <v>4</v>
      </c>
      <c r="J191" s="31" t="s">
        <v>230</v>
      </c>
      <c r="K191" s="27" t="s">
        <v>154</v>
      </c>
      <c r="L191" s="27" t="s">
        <v>155</v>
      </c>
      <c r="M191" s="32" t="str">
        <f>HYPERLINK("http://slimages.macys.com/is/image/MCY/2035405 ")</f>
        <v xml:space="preserve">http://slimages.macys.com/is/image/MCY/2035405 </v>
      </c>
    </row>
    <row r="192" spans="1:13" ht="15.2" customHeight="1" x14ac:dyDescent="0.2">
      <c r="A192" s="26" t="s">
        <v>11183</v>
      </c>
      <c r="B192" s="27" t="s">
        <v>11184</v>
      </c>
      <c r="C192" s="28">
        <v>1</v>
      </c>
      <c r="D192" s="29">
        <v>10</v>
      </c>
      <c r="E192" s="29">
        <v>10</v>
      </c>
      <c r="F192" s="30">
        <v>27.99</v>
      </c>
      <c r="G192" s="29">
        <v>27.99</v>
      </c>
      <c r="H192" s="28" t="s">
        <v>8397</v>
      </c>
      <c r="I192" s="27" t="s">
        <v>26</v>
      </c>
      <c r="J192" s="31" t="s">
        <v>71</v>
      </c>
      <c r="K192" s="27" t="s">
        <v>224</v>
      </c>
      <c r="L192" s="27" t="s">
        <v>260</v>
      </c>
      <c r="M192" s="32" t="str">
        <f>HYPERLINK("http://slimages.macys.com/is/image/MCY/3834627 ")</f>
        <v xml:space="preserve">http://slimages.macys.com/is/image/MCY/3834627 </v>
      </c>
    </row>
    <row r="193" spans="1:13" ht="15.2" customHeight="1" x14ac:dyDescent="0.2">
      <c r="A193" s="26" t="s">
        <v>11185</v>
      </c>
      <c r="B193" s="27" t="s">
        <v>11186</v>
      </c>
      <c r="C193" s="28">
        <v>2</v>
      </c>
      <c r="D193" s="29">
        <v>10</v>
      </c>
      <c r="E193" s="29">
        <v>20</v>
      </c>
      <c r="F193" s="30">
        <v>22.99</v>
      </c>
      <c r="G193" s="29">
        <v>45.98</v>
      </c>
      <c r="H193" s="28" t="s">
        <v>8805</v>
      </c>
      <c r="I193" s="27" t="s">
        <v>59</v>
      </c>
      <c r="J193" s="31" t="s">
        <v>40</v>
      </c>
      <c r="K193" s="27" t="s">
        <v>196</v>
      </c>
      <c r="L193" s="27" t="s">
        <v>256</v>
      </c>
      <c r="M193" s="32" t="str">
        <f>HYPERLINK("http://slimages.macys.com/is/image/MCY/3755144 ")</f>
        <v xml:space="preserve">http://slimages.macys.com/is/image/MCY/3755144 </v>
      </c>
    </row>
    <row r="194" spans="1:13" ht="15.2" customHeight="1" x14ac:dyDescent="0.2">
      <c r="A194" s="26" t="s">
        <v>8639</v>
      </c>
      <c r="B194" s="27" t="s">
        <v>8640</v>
      </c>
      <c r="C194" s="28">
        <v>1</v>
      </c>
      <c r="D194" s="29">
        <v>9.9</v>
      </c>
      <c r="E194" s="29">
        <v>9.9</v>
      </c>
      <c r="F194" s="30">
        <v>22.99</v>
      </c>
      <c r="G194" s="29">
        <v>22.99</v>
      </c>
      <c r="H194" s="28">
        <v>520609</v>
      </c>
      <c r="I194" s="27" t="s">
        <v>152</v>
      </c>
      <c r="J194" s="31" t="s">
        <v>21</v>
      </c>
      <c r="K194" s="27" t="s">
        <v>196</v>
      </c>
      <c r="L194" s="27" t="s">
        <v>1808</v>
      </c>
      <c r="M194" s="32" t="str">
        <f>HYPERLINK("http://slimages.macys.com/is/image/MCY/3755148 ")</f>
        <v xml:space="preserve">http://slimages.macys.com/is/image/MCY/3755148 </v>
      </c>
    </row>
    <row r="195" spans="1:13" ht="15.2" customHeight="1" x14ac:dyDescent="0.2">
      <c r="A195" s="26" t="s">
        <v>11187</v>
      </c>
      <c r="B195" s="27" t="s">
        <v>11188</v>
      </c>
      <c r="C195" s="28">
        <v>1</v>
      </c>
      <c r="D195" s="29">
        <v>9.8000000000000007</v>
      </c>
      <c r="E195" s="29">
        <v>9.8000000000000007</v>
      </c>
      <c r="F195" s="30">
        <v>29</v>
      </c>
      <c r="G195" s="29">
        <v>29</v>
      </c>
      <c r="H195" s="28" t="s">
        <v>4476</v>
      </c>
      <c r="I195" s="27" t="s">
        <v>280</v>
      </c>
      <c r="J195" s="31" t="s">
        <v>52</v>
      </c>
      <c r="K195" s="27" t="s">
        <v>42</v>
      </c>
      <c r="L195" s="27" t="s">
        <v>43</v>
      </c>
      <c r="M195" s="32" t="str">
        <f>HYPERLINK("http://slimages.macys.com/is/image/MCY/3611260 ")</f>
        <v xml:space="preserve">http://slimages.macys.com/is/image/MCY/3611260 </v>
      </c>
    </row>
    <row r="196" spans="1:13" ht="15.2" customHeight="1" x14ac:dyDescent="0.2">
      <c r="A196" s="26" t="s">
        <v>8304</v>
      </c>
      <c r="B196" s="27" t="s">
        <v>8305</v>
      </c>
      <c r="C196" s="28">
        <v>1</v>
      </c>
      <c r="D196" s="29">
        <v>9.75</v>
      </c>
      <c r="E196" s="29">
        <v>9.75</v>
      </c>
      <c r="F196" s="30">
        <v>27.99</v>
      </c>
      <c r="G196" s="29">
        <v>27.99</v>
      </c>
      <c r="H196" s="28" t="s">
        <v>8303</v>
      </c>
      <c r="I196" s="27" t="s">
        <v>94</v>
      </c>
      <c r="J196" s="31" t="s">
        <v>21</v>
      </c>
      <c r="K196" s="27" t="s">
        <v>224</v>
      </c>
      <c r="L196" s="27" t="s">
        <v>563</v>
      </c>
      <c r="M196" s="32" t="str">
        <f>HYPERLINK("http://slimages.macys.com/is/image/MCY/3954242 ")</f>
        <v xml:space="preserve">http://slimages.macys.com/is/image/MCY/3954242 </v>
      </c>
    </row>
    <row r="197" spans="1:13" ht="15.2" customHeight="1" x14ac:dyDescent="0.2">
      <c r="A197" s="26" t="s">
        <v>9807</v>
      </c>
      <c r="B197" s="27" t="s">
        <v>9808</v>
      </c>
      <c r="C197" s="28">
        <v>1</v>
      </c>
      <c r="D197" s="29">
        <v>9.75</v>
      </c>
      <c r="E197" s="29">
        <v>9.75</v>
      </c>
      <c r="F197" s="30">
        <v>24.99</v>
      </c>
      <c r="G197" s="29">
        <v>24.99</v>
      </c>
      <c r="H197" s="28" t="s">
        <v>4347</v>
      </c>
      <c r="I197" s="27" t="s">
        <v>82</v>
      </c>
      <c r="J197" s="31" t="s">
        <v>5</v>
      </c>
      <c r="K197" s="27" t="s">
        <v>224</v>
      </c>
      <c r="L197" s="27" t="s">
        <v>197</v>
      </c>
      <c r="M197" s="32" t="str">
        <f>HYPERLINK("http://slimages.macys.com/is/image/MCY/3820961 ")</f>
        <v xml:space="preserve">http://slimages.macys.com/is/image/MCY/3820961 </v>
      </c>
    </row>
    <row r="198" spans="1:13" ht="15.2" customHeight="1" x14ac:dyDescent="0.2">
      <c r="A198" s="26" t="s">
        <v>9429</v>
      </c>
      <c r="B198" s="27" t="s">
        <v>9430</v>
      </c>
      <c r="C198" s="28">
        <v>3</v>
      </c>
      <c r="D198" s="29">
        <v>9.75</v>
      </c>
      <c r="E198" s="29">
        <v>29.25</v>
      </c>
      <c r="F198" s="30">
        <v>27.99</v>
      </c>
      <c r="G198" s="29">
        <v>83.97</v>
      </c>
      <c r="H198" s="28" t="s">
        <v>8303</v>
      </c>
      <c r="I198" s="27" t="s">
        <v>94</v>
      </c>
      <c r="J198" s="31" t="s">
        <v>40</v>
      </c>
      <c r="K198" s="27" t="s">
        <v>224</v>
      </c>
      <c r="L198" s="27" t="s">
        <v>563</v>
      </c>
      <c r="M198" s="32" t="str">
        <f>HYPERLINK("http://slimages.macys.com/is/image/MCY/3954242 ")</f>
        <v xml:space="preserve">http://slimages.macys.com/is/image/MCY/3954242 </v>
      </c>
    </row>
    <row r="199" spans="1:13" ht="15.2" customHeight="1" x14ac:dyDescent="0.2">
      <c r="A199" s="26" t="s">
        <v>9129</v>
      </c>
      <c r="B199" s="27" t="s">
        <v>9130</v>
      </c>
      <c r="C199" s="28">
        <v>1</v>
      </c>
      <c r="D199" s="29">
        <v>9.75</v>
      </c>
      <c r="E199" s="29">
        <v>9.75</v>
      </c>
      <c r="F199" s="30">
        <v>27.99</v>
      </c>
      <c r="G199" s="29">
        <v>27.99</v>
      </c>
      <c r="H199" s="28" t="s">
        <v>8303</v>
      </c>
      <c r="I199" s="27" t="s">
        <v>94</v>
      </c>
      <c r="J199" s="31" t="s">
        <v>52</v>
      </c>
      <c r="K199" s="27" t="s">
        <v>224</v>
      </c>
      <c r="L199" s="27" t="s">
        <v>563</v>
      </c>
      <c r="M199" s="32" t="str">
        <f>HYPERLINK("http://slimages.macys.com/is/image/MCY/3954242 ")</f>
        <v xml:space="preserve">http://slimages.macys.com/is/image/MCY/3954242 </v>
      </c>
    </row>
    <row r="200" spans="1:13" ht="15.2" customHeight="1" x14ac:dyDescent="0.2">
      <c r="A200" s="26" t="s">
        <v>8648</v>
      </c>
      <c r="B200" s="27" t="s">
        <v>8649</v>
      </c>
      <c r="C200" s="28">
        <v>1</v>
      </c>
      <c r="D200" s="29">
        <v>9.75</v>
      </c>
      <c r="E200" s="29">
        <v>9.75</v>
      </c>
      <c r="F200" s="30">
        <v>27.99</v>
      </c>
      <c r="G200" s="29">
        <v>27.99</v>
      </c>
      <c r="H200" s="28" t="s">
        <v>8303</v>
      </c>
      <c r="I200" s="27" t="s">
        <v>94</v>
      </c>
      <c r="J200" s="31" t="s">
        <v>5</v>
      </c>
      <c r="K200" s="27" t="s">
        <v>224</v>
      </c>
      <c r="L200" s="27" t="s">
        <v>563</v>
      </c>
      <c r="M200" s="32" t="str">
        <f>HYPERLINK("http://slimages.macys.com/is/image/MCY/3954242 ")</f>
        <v xml:space="preserve">http://slimages.macys.com/is/image/MCY/3954242 </v>
      </c>
    </row>
    <row r="201" spans="1:13" ht="15.2" customHeight="1" x14ac:dyDescent="0.2">
      <c r="A201" s="26" t="s">
        <v>2224</v>
      </c>
      <c r="B201" s="27" t="s">
        <v>2225</v>
      </c>
      <c r="C201" s="28">
        <v>1</v>
      </c>
      <c r="D201" s="29">
        <v>9.5299999999999994</v>
      </c>
      <c r="E201" s="29">
        <v>9.5299999999999994</v>
      </c>
      <c r="F201" s="30">
        <v>21.99</v>
      </c>
      <c r="G201" s="29">
        <v>21.99</v>
      </c>
      <c r="H201" s="28" t="s">
        <v>2226</v>
      </c>
      <c r="I201" s="27" t="s">
        <v>4</v>
      </c>
      <c r="J201" s="31" t="s">
        <v>52</v>
      </c>
      <c r="K201" s="27" t="s">
        <v>159</v>
      </c>
      <c r="L201" s="27" t="s">
        <v>160</v>
      </c>
      <c r="M201" s="32" t="str">
        <f>HYPERLINK("http://slimages.macys.com/is/image/MCY/3735072 ")</f>
        <v xml:space="preserve">http://slimages.macys.com/is/image/MCY/3735072 </v>
      </c>
    </row>
    <row r="202" spans="1:13" ht="15.2" customHeight="1" x14ac:dyDescent="0.2">
      <c r="A202" s="26" t="s">
        <v>8525</v>
      </c>
      <c r="B202" s="27" t="s">
        <v>8526</v>
      </c>
      <c r="C202" s="28">
        <v>1</v>
      </c>
      <c r="D202" s="29">
        <v>9.5299999999999994</v>
      </c>
      <c r="E202" s="29">
        <v>9.5299999999999994</v>
      </c>
      <c r="F202" s="30">
        <v>21.99</v>
      </c>
      <c r="G202" s="29">
        <v>21.99</v>
      </c>
      <c r="H202" s="28" t="s">
        <v>2226</v>
      </c>
      <c r="I202" s="27" t="s">
        <v>4</v>
      </c>
      <c r="J202" s="31" t="s">
        <v>71</v>
      </c>
      <c r="K202" s="27" t="s">
        <v>159</v>
      </c>
      <c r="L202" s="27" t="s">
        <v>160</v>
      </c>
      <c r="M202" s="32" t="str">
        <f>HYPERLINK("http://slimages.macys.com/is/image/MCY/3735072 ")</f>
        <v xml:space="preserve">http://slimages.macys.com/is/image/MCY/3735072 </v>
      </c>
    </row>
    <row r="203" spans="1:13" ht="15.2" customHeight="1" x14ac:dyDescent="0.2">
      <c r="A203" s="26" t="s">
        <v>3847</v>
      </c>
      <c r="B203" s="27" t="s">
        <v>3848</v>
      </c>
      <c r="C203" s="28">
        <v>3</v>
      </c>
      <c r="D203" s="29">
        <v>9.5299999999999994</v>
      </c>
      <c r="E203" s="29">
        <v>28.59</v>
      </c>
      <c r="F203" s="30">
        <v>21.99</v>
      </c>
      <c r="G203" s="29">
        <v>65.97</v>
      </c>
      <c r="H203" s="28" t="s">
        <v>2226</v>
      </c>
      <c r="I203" s="27" t="s">
        <v>4</v>
      </c>
      <c r="J203" s="31" t="s">
        <v>21</v>
      </c>
      <c r="K203" s="27" t="s">
        <v>159</v>
      </c>
      <c r="L203" s="27" t="s">
        <v>160</v>
      </c>
      <c r="M203" s="32" t="str">
        <f>HYPERLINK("http://slimages.macys.com/is/image/MCY/3735072 ")</f>
        <v xml:space="preserve">http://slimages.macys.com/is/image/MCY/3735072 </v>
      </c>
    </row>
    <row r="204" spans="1:13" ht="15.2" customHeight="1" x14ac:dyDescent="0.2">
      <c r="A204" s="26" t="s">
        <v>11189</v>
      </c>
      <c r="B204" s="27" t="s">
        <v>11190</v>
      </c>
      <c r="C204" s="28">
        <v>1</v>
      </c>
      <c r="D204" s="29">
        <v>9.5299999999999994</v>
      </c>
      <c r="E204" s="29">
        <v>9.5299999999999994</v>
      </c>
      <c r="F204" s="30">
        <v>21.99</v>
      </c>
      <c r="G204" s="29">
        <v>21.99</v>
      </c>
      <c r="H204" s="28" t="s">
        <v>2226</v>
      </c>
      <c r="I204" s="27" t="s">
        <v>4</v>
      </c>
      <c r="J204" s="31" t="s">
        <v>172</v>
      </c>
      <c r="K204" s="27" t="s">
        <v>159</v>
      </c>
      <c r="L204" s="27" t="s">
        <v>160</v>
      </c>
      <c r="M204" s="32" t="str">
        <f>HYPERLINK("http://slimages.macys.com/is/image/MCY/3735072 ")</f>
        <v xml:space="preserve">http://slimages.macys.com/is/image/MCY/3735072 </v>
      </c>
    </row>
    <row r="205" spans="1:13" ht="15.2" customHeight="1" x14ac:dyDescent="0.2">
      <c r="A205" s="26" t="s">
        <v>7399</v>
      </c>
      <c r="B205" s="27" t="s">
        <v>7400</v>
      </c>
      <c r="C205" s="28">
        <v>1</v>
      </c>
      <c r="D205" s="29">
        <v>9.5</v>
      </c>
      <c r="E205" s="29">
        <v>9.5</v>
      </c>
      <c r="F205" s="30">
        <v>22.99</v>
      </c>
      <c r="G205" s="29">
        <v>22.99</v>
      </c>
      <c r="H205" s="28" t="s">
        <v>286</v>
      </c>
      <c r="I205" s="27"/>
      <c r="J205" s="31" t="s">
        <v>71</v>
      </c>
      <c r="K205" s="27" t="s">
        <v>200</v>
      </c>
      <c r="L205" s="27" t="s">
        <v>133</v>
      </c>
      <c r="M205" s="32" t="str">
        <f>HYPERLINK("http://slimages.macys.com/is/image/MCY/3773700 ")</f>
        <v xml:space="preserve">http://slimages.macys.com/is/image/MCY/3773700 </v>
      </c>
    </row>
    <row r="206" spans="1:13" ht="15.2" customHeight="1" x14ac:dyDescent="0.2">
      <c r="A206" s="26" t="s">
        <v>11191</v>
      </c>
      <c r="B206" s="27" t="s">
        <v>11192</v>
      </c>
      <c r="C206" s="28">
        <v>1</v>
      </c>
      <c r="D206" s="29">
        <v>9.5</v>
      </c>
      <c r="E206" s="29">
        <v>9.5</v>
      </c>
      <c r="F206" s="30">
        <v>22.99</v>
      </c>
      <c r="G206" s="29">
        <v>22.99</v>
      </c>
      <c r="H206" s="28" t="s">
        <v>7550</v>
      </c>
      <c r="I206" s="27" t="s">
        <v>4</v>
      </c>
      <c r="J206" s="31" t="s">
        <v>52</v>
      </c>
      <c r="K206" s="27" t="s">
        <v>200</v>
      </c>
      <c r="L206" s="27" t="s">
        <v>133</v>
      </c>
      <c r="M206" s="32" t="str">
        <f>HYPERLINK("http://slimages.macys.com/is/image/MCY/3755512 ")</f>
        <v xml:space="preserve">http://slimages.macys.com/is/image/MCY/3755512 </v>
      </c>
    </row>
    <row r="207" spans="1:13" ht="15.2" customHeight="1" x14ac:dyDescent="0.2">
      <c r="A207" s="26" t="s">
        <v>7665</v>
      </c>
      <c r="B207" s="27" t="s">
        <v>7666</v>
      </c>
      <c r="C207" s="28">
        <v>1</v>
      </c>
      <c r="D207" s="29">
        <v>9.5</v>
      </c>
      <c r="E207" s="29">
        <v>9.5</v>
      </c>
      <c r="F207" s="30">
        <v>24.99</v>
      </c>
      <c r="G207" s="29">
        <v>24.99</v>
      </c>
      <c r="H207" s="28" t="s">
        <v>288</v>
      </c>
      <c r="I207" s="27" t="s">
        <v>285</v>
      </c>
      <c r="J207" s="31" t="s">
        <v>52</v>
      </c>
      <c r="K207" s="27" t="s">
        <v>224</v>
      </c>
      <c r="L207" s="27" t="s">
        <v>239</v>
      </c>
      <c r="M207" s="32" t="str">
        <f>HYPERLINK("http://slimages.macys.com/is/image/MCY/3719840 ")</f>
        <v xml:space="preserve">http://slimages.macys.com/is/image/MCY/3719840 </v>
      </c>
    </row>
    <row r="208" spans="1:13" ht="15.2" customHeight="1" x14ac:dyDescent="0.2">
      <c r="A208" s="26" t="s">
        <v>2633</v>
      </c>
      <c r="B208" s="27" t="s">
        <v>2634</v>
      </c>
      <c r="C208" s="28">
        <v>2</v>
      </c>
      <c r="D208" s="29">
        <v>9.5</v>
      </c>
      <c r="E208" s="29">
        <v>19</v>
      </c>
      <c r="F208" s="30">
        <v>24.99</v>
      </c>
      <c r="G208" s="29">
        <v>49.98</v>
      </c>
      <c r="H208" s="28" t="s">
        <v>288</v>
      </c>
      <c r="I208" s="27" t="s">
        <v>285</v>
      </c>
      <c r="J208" s="31" t="s">
        <v>5</v>
      </c>
      <c r="K208" s="27" t="s">
        <v>224</v>
      </c>
      <c r="L208" s="27" t="s">
        <v>239</v>
      </c>
      <c r="M208" s="32" t="str">
        <f>HYPERLINK("http://slimages.macys.com/is/image/MCY/3719840 ")</f>
        <v xml:space="preserve">http://slimages.macys.com/is/image/MCY/3719840 </v>
      </c>
    </row>
    <row r="209" spans="1:13" ht="15.2" customHeight="1" x14ac:dyDescent="0.2">
      <c r="A209" s="26" t="s">
        <v>7667</v>
      </c>
      <c r="B209" s="27" t="s">
        <v>7668</v>
      </c>
      <c r="C209" s="28">
        <v>1</v>
      </c>
      <c r="D209" s="29">
        <v>9.5</v>
      </c>
      <c r="E209" s="29">
        <v>9.5</v>
      </c>
      <c r="F209" s="30">
        <v>24.99</v>
      </c>
      <c r="G209" s="29">
        <v>24.99</v>
      </c>
      <c r="H209" s="28" t="s">
        <v>288</v>
      </c>
      <c r="I209" s="27" t="s">
        <v>1</v>
      </c>
      <c r="J209" s="31" t="s">
        <v>5</v>
      </c>
      <c r="K209" s="27" t="s">
        <v>224</v>
      </c>
      <c r="L209" s="27" t="s">
        <v>239</v>
      </c>
      <c r="M209" s="32" t="str">
        <f>HYPERLINK("http://slimages.macys.com/is/image/MCY/3719840 ")</f>
        <v xml:space="preserve">http://slimages.macys.com/is/image/MCY/3719840 </v>
      </c>
    </row>
    <row r="210" spans="1:13" ht="15.2" customHeight="1" x14ac:dyDescent="0.2">
      <c r="A210" s="26" t="s">
        <v>1326</v>
      </c>
      <c r="B210" s="27" t="s">
        <v>1327</v>
      </c>
      <c r="C210" s="28">
        <v>2</v>
      </c>
      <c r="D210" s="29">
        <v>9.5</v>
      </c>
      <c r="E210" s="29">
        <v>19</v>
      </c>
      <c r="F210" s="30">
        <v>22.99</v>
      </c>
      <c r="G210" s="29">
        <v>45.98</v>
      </c>
      <c r="H210" s="28" t="s">
        <v>1328</v>
      </c>
      <c r="I210" s="27" t="s">
        <v>144</v>
      </c>
      <c r="J210" s="31" t="s">
        <v>40</v>
      </c>
      <c r="K210" s="27" t="s">
        <v>196</v>
      </c>
      <c r="L210" s="27" t="s">
        <v>1329</v>
      </c>
      <c r="M210" s="32" t="str">
        <f>HYPERLINK("http://slimages.macys.com/is/image/MCY/3732859 ")</f>
        <v xml:space="preserve">http://slimages.macys.com/is/image/MCY/3732859 </v>
      </c>
    </row>
    <row r="211" spans="1:13" ht="15.2" customHeight="1" x14ac:dyDescent="0.2">
      <c r="A211" s="26" t="s">
        <v>1324</v>
      </c>
      <c r="B211" s="27" t="s">
        <v>1325</v>
      </c>
      <c r="C211" s="28">
        <v>1</v>
      </c>
      <c r="D211" s="29">
        <v>9.5</v>
      </c>
      <c r="E211" s="29">
        <v>9.5</v>
      </c>
      <c r="F211" s="30">
        <v>24.99</v>
      </c>
      <c r="G211" s="29">
        <v>24.99</v>
      </c>
      <c r="H211" s="28" t="s">
        <v>288</v>
      </c>
      <c r="I211" s="27"/>
      <c r="J211" s="31" t="s">
        <v>52</v>
      </c>
      <c r="K211" s="27" t="s">
        <v>224</v>
      </c>
      <c r="L211" s="27" t="s">
        <v>239</v>
      </c>
      <c r="M211" s="32" t="str">
        <f>HYPERLINK("http://slimages.macys.com/is/image/MCY/3719840 ")</f>
        <v xml:space="preserve">http://slimages.macys.com/is/image/MCY/3719840 </v>
      </c>
    </row>
    <row r="212" spans="1:13" ht="15.2" customHeight="1" x14ac:dyDescent="0.2">
      <c r="A212" s="26" t="s">
        <v>2926</v>
      </c>
      <c r="B212" s="27" t="s">
        <v>2927</v>
      </c>
      <c r="C212" s="28">
        <v>1</v>
      </c>
      <c r="D212" s="29">
        <v>9.5</v>
      </c>
      <c r="E212" s="29">
        <v>9.5</v>
      </c>
      <c r="F212" s="30">
        <v>24.99</v>
      </c>
      <c r="G212" s="29">
        <v>24.99</v>
      </c>
      <c r="H212" s="28" t="s">
        <v>288</v>
      </c>
      <c r="I212" s="27"/>
      <c r="J212" s="31" t="s">
        <v>40</v>
      </c>
      <c r="K212" s="27" t="s">
        <v>224</v>
      </c>
      <c r="L212" s="27" t="s">
        <v>239</v>
      </c>
      <c r="M212" s="32" t="str">
        <f>HYPERLINK("http://slimages.macys.com/is/image/MCY/3719840 ")</f>
        <v xml:space="preserve">http://slimages.macys.com/is/image/MCY/3719840 </v>
      </c>
    </row>
    <row r="213" spans="1:13" ht="15.2" customHeight="1" x14ac:dyDescent="0.2">
      <c r="A213" s="26" t="s">
        <v>806</v>
      </c>
      <c r="B213" s="27" t="s">
        <v>807</v>
      </c>
      <c r="C213" s="28">
        <v>1</v>
      </c>
      <c r="D213" s="29">
        <v>9.25</v>
      </c>
      <c r="E213" s="29">
        <v>9.25</v>
      </c>
      <c r="F213" s="30">
        <v>19.989999999999998</v>
      </c>
      <c r="G213" s="29">
        <v>19.989999999999998</v>
      </c>
      <c r="H213" s="28" t="s">
        <v>808</v>
      </c>
      <c r="I213" s="27" t="s">
        <v>4</v>
      </c>
      <c r="J213" s="31" t="s">
        <v>5</v>
      </c>
      <c r="K213" s="27" t="s">
        <v>282</v>
      </c>
      <c r="L213" s="27" t="s">
        <v>283</v>
      </c>
      <c r="M213" s="32" t="str">
        <f>HYPERLINK("http://slimages.macys.com/is/image/MCY/3835617 ")</f>
        <v xml:space="preserve">http://slimages.macys.com/is/image/MCY/3835617 </v>
      </c>
    </row>
    <row r="214" spans="1:13" ht="15.2" customHeight="1" x14ac:dyDescent="0.2">
      <c r="A214" s="26" t="s">
        <v>9431</v>
      </c>
      <c r="B214" s="27" t="s">
        <v>9432</v>
      </c>
      <c r="C214" s="28">
        <v>1</v>
      </c>
      <c r="D214" s="29">
        <v>9.25</v>
      </c>
      <c r="E214" s="29">
        <v>9.25</v>
      </c>
      <c r="F214" s="30">
        <v>19.989999999999998</v>
      </c>
      <c r="G214" s="29">
        <v>19.989999999999998</v>
      </c>
      <c r="H214" s="28">
        <v>60394972</v>
      </c>
      <c r="I214" s="27" t="s">
        <v>22</v>
      </c>
      <c r="J214" s="31" t="s">
        <v>21</v>
      </c>
      <c r="K214" s="27" t="s">
        <v>224</v>
      </c>
      <c r="L214" s="27" t="s">
        <v>255</v>
      </c>
      <c r="M214" s="32" t="str">
        <f>HYPERLINK("http://slimages.macys.com/is/image/MCY/2469382 ")</f>
        <v xml:space="preserve">http://slimages.macys.com/is/image/MCY/2469382 </v>
      </c>
    </row>
    <row r="215" spans="1:13" ht="15.2" customHeight="1" x14ac:dyDescent="0.2">
      <c r="A215" s="26" t="s">
        <v>5966</v>
      </c>
      <c r="B215" s="27" t="s">
        <v>5967</v>
      </c>
      <c r="C215" s="28">
        <v>1</v>
      </c>
      <c r="D215" s="29">
        <v>9.25</v>
      </c>
      <c r="E215" s="29">
        <v>9.25</v>
      </c>
      <c r="F215" s="30">
        <v>22.99</v>
      </c>
      <c r="G215" s="29">
        <v>22.99</v>
      </c>
      <c r="H215" s="28" t="s">
        <v>2939</v>
      </c>
      <c r="I215" s="27" t="s">
        <v>189</v>
      </c>
      <c r="J215" s="31" t="s">
        <v>21</v>
      </c>
      <c r="K215" s="27" t="s">
        <v>70</v>
      </c>
      <c r="L215" s="27" t="s">
        <v>260</v>
      </c>
      <c r="M215" s="32" t="str">
        <f>HYPERLINK("http://slimages.macys.com/is/image/MCY/3723523 ")</f>
        <v xml:space="preserve">http://slimages.macys.com/is/image/MCY/3723523 </v>
      </c>
    </row>
    <row r="216" spans="1:13" ht="15.2" customHeight="1" x14ac:dyDescent="0.2">
      <c r="A216" s="26" t="s">
        <v>9813</v>
      </c>
      <c r="B216" s="27" t="s">
        <v>9814</v>
      </c>
      <c r="C216" s="28">
        <v>1</v>
      </c>
      <c r="D216" s="29">
        <v>9.15</v>
      </c>
      <c r="E216" s="29">
        <v>9.15</v>
      </c>
      <c r="F216" s="30">
        <v>21.99</v>
      </c>
      <c r="G216" s="29">
        <v>21.99</v>
      </c>
      <c r="H216" s="28" t="s">
        <v>8654</v>
      </c>
      <c r="I216" s="27" t="s">
        <v>4</v>
      </c>
      <c r="J216" s="31" t="s">
        <v>5</v>
      </c>
      <c r="K216" s="27" t="s">
        <v>159</v>
      </c>
      <c r="L216" s="27" t="s">
        <v>160</v>
      </c>
      <c r="M216" s="32" t="str">
        <f>HYPERLINK("http://slimages.macys.com/is/image/MCY/3600433 ")</f>
        <v xml:space="preserve">http://slimages.macys.com/is/image/MCY/3600433 </v>
      </c>
    </row>
    <row r="217" spans="1:13" ht="15.2" customHeight="1" x14ac:dyDescent="0.2">
      <c r="A217" s="26" t="s">
        <v>11193</v>
      </c>
      <c r="B217" s="27" t="s">
        <v>11194</v>
      </c>
      <c r="C217" s="28">
        <v>1</v>
      </c>
      <c r="D217" s="29">
        <v>9</v>
      </c>
      <c r="E217" s="29">
        <v>9</v>
      </c>
      <c r="F217" s="30">
        <v>24.99</v>
      </c>
      <c r="G217" s="29">
        <v>24.99</v>
      </c>
      <c r="H217" s="28" t="s">
        <v>1855</v>
      </c>
      <c r="I217" s="27" t="s">
        <v>189</v>
      </c>
      <c r="J217" s="31" t="s">
        <v>21</v>
      </c>
      <c r="K217" s="27" t="s">
        <v>224</v>
      </c>
      <c r="L217" s="27" t="s">
        <v>260</v>
      </c>
      <c r="M217" s="32" t="str">
        <f>HYPERLINK("http://slimages.macys.com/is/image/MCY/3734925 ")</f>
        <v xml:space="preserve">http://slimages.macys.com/is/image/MCY/3734925 </v>
      </c>
    </row>
    <row r="218" spans="1:13" ht="15.2" customHeight="1" x14ac:dyDescent="0.2">
      <c r="A218" s="26" t="s">
        <v>11195</v>
      </c>
      <c r="B218" s="27" t="s">
        <v>11196</v>
      </c>
      <c r="C218" s="28">
        <v>1</v>
      </c>
      <c r="D218" s="29">
        <v>9</v>
      </c>
      <c r="E218" s="29">
        <v>9</v>
      </c>
      <c r="F218" s="30">
        <v>24.99</v>
      </c>
      <c r="G218" s="29">
        <v>24.99</v>
      </c>
      <c r="H218" s="28" t="s">
        <v>1855</v>
      </c>
      <c r="I218" s="27" t="s">
        <v>33</v>
      </c>
      <c r="J218" s="31" t="s">
        <v>21</v>
      </c>
      <c r="K218" s="27" t="s">
        <v>224</v>
      </c>
      <c r="L218" s="27" t="s">
        <v>260</v>
      </c>
      <c r="M218" s="32" t="str">
        <f>HYPERLINK("http://slimages.macys.com/is/image/MCY/3734925 ")</f>
        <v xml:space="preserve">http://slimages.macys.com/is/image/MCY/3734925 </v>
      </c>
    </row>
    <row r="219" spans="1:13" ht="15.2" customHeight="1" x14ac:dyDescent="0.2">
      <c r="A219" s="26" t="s">
        <v>1360</v>
      </c>
      <c r="B219" s="27" t="s">
        <v>1361</v>
      </c>
      <c r="C219" s="28">
        <v>1</v>
      </c>
      <c r="D219" s="29">
        <v>8.9</v>
      </c>
      <c r="E219" s="29">
        <v>8.9</v>
      </c>
      <c r="F219" s="30">
        <v>19.989999999999998</v>
      </c>
      <c r="G219" s="29">
        <v>19.989999999999998</v>
      </c>
      <c r="H219" s="28" t="s">
        <v>1362</v>
      </c>
      <c r="I219" s="27" t="s">
        <v>4</v>
      </c>
      <c r="J219" s="31" t="s">
        <v>5</v>
      </c>
      <c r="K219" s="27" t="s">
        <v>224</v>
      </c>
      <c r="L219" s="27" t="s">
        <v>276</v>
      </c>
      <c r="M219" s="32" t="str">
        <f>HYPERLINK("http://slimages.macys.com/is/image/MCY/3814584 ")</f>
        <v xml:space="preserve">http://slimages.macys.com/is/image/MCY/3814584 </v>
      </c>
    </row>
    <row r="220" spans="1:13" ht="15.2" customHeight="1" x14ac:dyDescent="0.2">
      <c r="A220" s="26" t="s">
        <v>11197</v>
      </c>
      <c r="B220" s="27" t="s">
        <v>11198</v>
      </c>
      <c r="C220" s="28">
        <v>1</v>
      </c>
      <c r="D220" s="29">
        <v>8.75</v>
      </c>
      <c r="E220" s="29">
        <v>8.75</v>
      </c>
      <c r="F220" s="30">
        <v>19.989999999999998</v>
      </c>
      <c r="G220" s="29">
        <v>19.989999999999998</v>
      </c>
      <c r="H220" s="28" t="s">
        <v>11199</v>
      </c>
      <c r="I220" s="27" t="s">
        <v>10</v>
      </c>
      <c r="J220" s="31" t="s">
        <v>21</v>
      </c>
      <c r="K220" s="27" t="s">
        <v>196</v>
      </c>
      <c r="L220" s="27" t="s">
        <v>260</v>
      </c>
      <c r="M220" s="32" t="str">
        <f>HYPERLINK("http://slimages.macys.com/is/image/MCY/3422341 ")</f>
        <v xml:space="preserve">http://slimages.macys.com/is/image/MCY/3422341 </v>
      </c>
    </row>
    <row r="221" spans="1:13" ht="15.2" customHeight="1" x14ac:dyDescent="0.2">
      <c r="A221" s="26" t="s">
        <v>5441</v>
      </c>
      <c r="B221" s="27" t="s">
        <v>5442</v>
      </c>
      <c r="C221" s="28">
        <v>1</v>
      </c>
      <c r="D221" s="29">
        <v>8.5</v>
      </c>
      <c r="E221" s="29">
        <v>8.5</v>
      </c>
      <c r="F221" s="30">
        <v>19.989999999999998</v>
      </c>
      <c r="G221" s="29">
        <v>19.989999999999998</v>
      </c>
      <c r="H221" s="28" t="s">
        <v>323</v>
      </c>
      <c r="I221" s="27" t="s">
        <v>274</v>
      </c>
      <c r="J221" s="31" t="s">
        <v>21</v>
      </c>
      <c r="K221" s="27" t="s">
        <v>196</v>
      </c>
      <c r="L221" s="27" t="s">
        <v>239</v>
      </c>
      <c r="M221" s="32" t="str">
        <f>HYPERLINK("http://slimages.macys.com/is/image/MCY/3890900 ")</f>
        <v xml:space="preserve">http://slimages.macys.com/is/image/MCY/3890900 </v>
      </c>
    </row>
    <row r="222" spans="1:13" ht="15.2" customHeight="1" x14ac:dyDescent="0.2">
      <c r="A222" s="26" t="s">
        <v>1876</v>
      </c>
      <c r="B222" s="27" t="s">
        <v>1877</v>
      </c>
      <c r="C222" s="28">
        <v>2</v>
      </c>
      <c r="D222" s="29">
        <v>8.5</v>
      </c>
      <c r="E222" s="29">
        <v>17</v>
      </c>
      <c r="F222" s="30">
        <v>19.989999999999998</v>
      </c>
      <c r="G222" s="29">
        <v>39.979999999999997</v>
      </c>
      <c r="H222" s="28" t="s">
        <v>334</v>
      </c>
      <c r="I222" s="27" t="s">
        <v>33</v>
      </c>
      <c r="J222" s="31" t="s">
        <v>5</v>
      </c>
      <c r="K222" s="27" t="s">
        <v>196</v>
      </c>
      <c r="L222" s="27" t="s">
        <v>239</v>
      </c>
      <c r="M222" s="32" t="str">
        <f>HYPERLINK("http://slimages.macys.com/is/image/MCY/3890886 ")</f>
        <v xml:space="preserve">http://slimages.macys.com/is/image/MCY/3890886 </v>
      </c>
    </row>
    <row r="223" spans="1:13" ht="15.2" customHeight="1" x14ac:dyDescent="0.2">
      <c r="A223" s="26" t="s">
        <v>2657</v>
      </c>
      <c r="B223" s="27" t="s">
        <v>2658</v>
      </c>
      <c r="C223" s="28">
        <v>4</v>
      </c>
      <c r="D223" s="29">
        <v>8.5</v>
      </c>
      <c r="E223" s="29">
        <v>34</v>
      </c>
      <c r="F223" s="30">
        <v>19.989999999999998</v>
      </c>
      <c r="G223" s="29">
        <v>79.959999999999994</v>
      </c>
      <c r="H223" s="28" t="s">
        <v>334</v>
      </c>
      <c r="I223" s="27" t="s">
        <v>33</v>
      </c>
      <c r="J223" s="31" t="s">
        <v>40</v>
      </c>
      <c r="K223" s="27" t="s">
        <v>196</v>
      </c>
      <c r="L223" s="27" t="s">
        <v>239</v>
      </c>
      <c r="M223" s="32" t="str">
        <f>HYPERLINK("http://slimages.macys.com/is/image/MCY/3890886 ")</f>
        <v xml:space="preserve">http://slimages.macys.com/is/image/MCY/3890886 </v>
      </c>
    </row>
    <row r="224" spans="1:13" ht="15.2" customHeight="1" x14ac:dyDescent="0.2">
      <c r="A224" s="26" t="s">
        <v>2659</v>
      </c>
      <c r="B224" s="27" t="s">
        <v>2660</v>
      </c>
      <c r="C224" s="28">
        <v>4</v>
      </c>
      <c r="D224" s="29">
        <v>8.5</v>
      </c>
      <c r="E224" s="29">
        <v>34</v>
      </c>
      <c r="F224" s="30">
        <v>19.989999999999998</v>
      </c>
      <c r="G224" s="29">
        <v>79.959999999999994</v>
      </c>
      <c r="H224" s="28" t="s">
        <v>334</v>
      </c>
      <c r="I224" s="27" t="s">
        <v>33</v>
      </c>
      <c r="J224" s="31" t="s">
        <v>21</v>
      </c>
      <c r="K224" s="27" t="s">
        <v>196</v>
      </c>
      <c r="L224" s="27" t="s">
        <v>239</v>
      </c>
      <c r="M224" s="32" t="str">
        <f>HYPERLINK("http://slimages.macys.com/is/image/MCY/3890886 ")</f>
        <v xml:space="preserve">http://slimages.macys.com/is/image/MCY/3890886 </v>
      </c>
    </row>
    <row r="225" spans="1:13" ht="15.2" customHeight="1" x14ac:dyDescent="0.2">
      <c r="A225" s="26" t="s">
        <v>2268</v>
      </c>
      <c r="B225" s="27" t="s">
        <v>2269</v>
      </c>
      <c r="C225" s="28">
        <v>1</v>
      </c>
      <c r="D225" s="29">
        <v>8.5</v>
      </c>
      <c r="E225" s="29">
        <v>8.5</v>
      </c>
      <c r="F225" s="30">
        <v>19.989999999999998</v>
      </c>
      <c r="G225" s="29">
        <v>19.989999999999998</v>
      </c>
      <c r="H225" s="28" t="s">
        <v>323</v>
      </c>
      <c r="I225" s="27" t="s">
        <v>189</v>
      </c>
      <c r="J225" s="31" t="s">
        <v>5</v>
      </c>
      <c r="K225" s="27" t="s">
        <v>196</v>
      </c>
      <c r="L225" s="27" t="s">
        <v>239</v>
      </c>
      <c r="M225" s="32" t="str">
        <f>HYPERLINK("http://slimages.macys.com/is/image/MCY/3890900 ")</f>
        <v xml:space="preserve">http://slimages.macys.com/is/image/MCY/3890900 </v>
      </c>
    </row>
    <row r="226" spans="1:13" ht="15.2" customHeight="1" x14ac:dyDescent="0.2">
      <c r="A226" s="26" t="s">
        <v>1863</v>
      </c>
      <c r="B226" s="27" t="s">
        <v>1864</v>
      </c>
      <c r="C226" s="28">
        <v>2</v>
      </c>
      <c r="D226" s="29">
        <v>8.5</v>
      </c>
      <c r="E226" s="29">
        <v>17</v>
      </c>
      <c r="F226" s="30">
        <v>19.989999999999998</v>
      </c>
      <c r="G226" s="29">
        <v>39.979999999999997</v>
      </c>
      <c r="H226" s="28" t="s">
        <v>830</v>
      </c>
      <c r="I226" s="27" t="s">
        <v>4</v>
      </c>
      <c r="J226" s="31" t="s">
        <v>40</v>
      </c>
      <c r="K226" s="27" t="s">
        <v>282</v>
      </c>
      <c r="L226" s="27" t="s">
        <v>312</v>
      </c>
      <c r="M226" s="32" t="str">
        <f>HYPERLINK("http://slimages.macys.com/is/image/MCY/3853693 ")</f>
        <v xml:space="preserve">http://slimages.macys.com/is/image/MCY/3853693 </v>
      </c>
    </row>
    <row r="227" spans="1:13" ht="15.2" customHeight="1" x14ac:dyDescent="0.2">
      <c r="A227" s="26" t="s">
        <v>2971</v>
      </c>
      <c r="B227" s="27" t="s">
        <v>2972</v>
      </c>
      <c r="C227" s="28">
        <v>1</v>
      </c>
      <c r="D227" s="29">
        <v>8.5</v>
      </c>
      <c r="E227" s="29">
        <v>8.5</v>
      </c>
      <c r="F227" s="30">
        <v>19.989999999999998</v>
      </c>
      <c r="G227" s="29">
        <v>19.989999999999998</v>
      </c>
      <c r="H227" s="28" t="s">
        <v>830</v>
      </c>
      <c r="I227" s="27" t="s">
        <v>4</v>
      </c>
      <c r="J227" s="31" t="s">
        <v>71</v>
      </c>
      <c r="K227" s="27" t="s">
        <v>282</v>
      </c>
      <c r="L227" s="27" t="s">
        <v>312</v>
      </c>
      <c r="M227" s="32" t="str">
        <f>HYPERLINK("http://slimages.macys.com/is/image/MCY/3853693 ")</f>
        <v xml:space="preserve">http://slimages.macys.com/is/image/MCY/3853693 </v>
      </c>
    </row>
    <row r="228" spans="1:13" ht="15.2" customHeight="1" x14ac:dyDescent="0.2">
      <c r="A228" s="26" t="s">
        <v>1868</v>
      </c>
      <c r="B228" s="27" t="s">
        <v>1869</v>
      </c>
      <c r="C228" s="28">
        <v>2</v>
      </c>
      <c r="D228" s="29">
        <v>8.5</v>
      </c>
      <c r="E228" s="29">
        <v>17</v>
      </c>
      <c r="F228" s="30">
        <v>19.989999999999998</v>
      </c>
      <c r="G228" s="29">
        <v>39.979999999999997</v>
      </c>
      <c r="H228" s="28" t="s">
        <v>1867</v>
      </c>
      <c r="I228" s="27" t="s">
        <v>343</v>
      </c>
      <c r="J228" s="31" t="s">
        <v>40</v>
      </c>
      <c r="K228" s="27" t="s">
        <v>282</v>
      </c>
      <c r="L228" s="27" t="s">
        <v>312</v>
      </c>
      <c r="M228" s="32" t="str">
        <f>HYPERLINK("http://slimages.macys.com/is/image/MCY/3905651 ")</f>
        <v xml:space="preserve">http://slimages.macys.com/is/image/MCY/3905651 </v>
      </c>
    </row>
    <row r="229" spans="1:13" ht="15.2" customHeight="1" x14ac:dyDescent="0.2">
      <c r="A229" s="26" t="s">
        <v>2273</v>
      </c>
      <c r="B229" s="27" t="s">
        <v>2274</v>
      </c>
      <c r="C229" s="28">
        <v>1</v>
      </c>
      <c r="D229" s="29">
        <v>8.5</v>
      </c>
      <c r="E229" s="29">
        <v>8.5</v>
      </c>
      <c r="F229" s="30">
        <v>19.989999999999998</v>
      </c>
      <c r="G229" s="29">
        <v>19.989999999999998</v>
      </c>
      <c r="H229" s="28" t="s">
        <v>830</v>
      </c>
      <c r="I229" s="27" t="s">
        <v>4</v>
      </c>
      <c r="J229" s="31" t="s">
        <v>21</v>
      </c>
      <c r="K229" s="27" t="s">
        <v>282</v>
      </c>
      <c r="L229" s="27" t="s">
        <v>312</v>
      </c>
      <c r="M229" s="32" t="str">
        <f>HYPERLINK("http://slimages.macys.com/is/image/MCY/3853693 ")</f>
        <v xml:space="preserve">http://slimages.macys.com/is/image/MCY/3853693 </v>
      </c>
    </row>
    <row r="230" spans="1:13" ht="15.2" customHeight="1" x14ac:dyDescent="0.2">
      <c r="A230" s="26" t="s">
        <v>824</v>
      </c>
      <c r="B230" s="27" t="s">
        <v>825</v>
      </c>
      <c r="C230" s="28">
        <v>1</v>
      </c>
      <c r="D230" s="29">
        <v>8.5</v>
      </c>
      <c r="E230" s="29">
        <v>8.5</v>
      </c>
      <c r="F230" s="30">
        <v>19.989999999999998</v>
      </c>
      <c r="G230" s="29">
        <v>19.989999999999998</v>
      </c>
      <c r="H230" s="28" t="s">
        <v>826</v>
      </c>
      <c r="I230" s="27" t="s">
        <v>4</v>
      </c>
      <c r="J230" s="31" t="s">
        <v>21</v>
      </c>
      <c r="K230" s="27" t="s">
        <v>282</v>
      </c>
      <c r="L230" s="27" t="s">
        <v>312</v>
      </c>
      <c r="M230" s="32" t="str">
        <f>HYPERLINK("http://slimages.macys.com/is/image/MCY/3853697 ")</f>
        <v xml:space="preserve">http://slimages.macys.com/is/image/MCY/3853697 </v>
      </c>
    </row>
    <row r="231" spans="1:13" ht="15.2" customHeight="1" x14ac:dyDescent="0.2">
      <c r="A231" s="26" t="s">
        <v>316</v>
      </c>
      <c r="B231" s="27" t="s">
        <v>317</v>
      </c>
      <c r="C231" s="28">
        <v>1</v>
      </c>
      <c r="D231" s="29">
        <v>8.5</v>
      </c>
      <c r="E231" s="29">
        <v>8.5</v>
      </c>
      <c r="F231" s="30">
        <v>19.989999999999998</v>
      </c>
      <c r="G231" s="29">
        <v>19.989999999999998</v>
      </c>
      <c r="H231" s="28" t="s">
        <v>318</v>
      </c>
      <c r="I231" s="27" t="s">
        <v>59</v>
      </c>
      <c r="J231" s="31" t="s">
        <v>21</v>
      </c>
      <c r="K231" s="27" t="s">
        <v>282</v>
      </c>
      <c r="L231" s="27" t="s">
        <v>312</v>
      </c>
      <c r="M231" s="32" t="str">
        <f>HYPERLINK("http://slimages.macys.com/is/image/MCY/3905653 ")</f>
        <v xml:space="preserve">http://slimages.macys.com/is/image/MCY/3905653 </v>
      </c>
    </row>
    <row r="232" spans="1:13" ht="15.2" customHeight="1" x14ac:dyDescent="0.2">
      <c r="A232" s="26" t="s">
        <v>8664</v>
      </c>
      <c r="B232" s="27" t="s">
        <v>8665</v>
      </c>
      <c r="C232" s="28">
        <v>2</v>
      </c>
      <c r="D232" s="29">
        <v>8.5</v>
      </c>
      <c r="E232" s="29">
        <v>17</v>
      </c>
      <c r="F232" s="30">
        <v>19.989999999999998</v>
      </c>
      <c r="G232" s="29">
        <v>39.979999999999997</v>
      </c>
      <c r="H232" s="28" t="s">
        <v>1374</v>
      </c>
      <c r="I232" s="27" t="s">
        <v>82</v>
      </c>
      <c r="J232" s="31" t="s">
        <v>5</v>
      </c>
      <c r="K232" s="27" t="s">
        <v>196</v>
      </c>
      <c r="L232" s="27" t="s">
        <v>322</v>
      </c>
      <c r="M232" s="32" t="str">
        <f t="shared" ref="M232:M237" si="1">HYPERLINK("http://slimages.macys.com/is/image/MCY/3915487 ")</f>
        <v xml:space="preserve">http://slimages.macys.com/is/image/MCY/3915487 </v>
      </c>
    </row>
    <row r="233" spans="1:13" ht="15.2" customHeight="1" x14ac:dyDescent="0.2">
      <c r="A233" s="26" t="s">
        <v>8310</v>
      </c>
      <c r="B233" s="27" t="s">
        <v>8311</v>
      </c>
      <c r="C233" s="28">
        <v>1</v>
      </c>
      <c r="D233" s="29">
        <v>8.5</v>
      </c>
      <c r="E233" s="29">
        <v>8.5</v>
      </c>
      <c r="F233" s="30">
        <v>19.989999999999998</v>
      </c>
      <c r="G233" s="29">
        <v>19.989999999999998</v>
      </c>
      <c r="H233" s="28" t="s">
        <v>1374</v>
      </c>
      <c r="I233" s="27" t="s">
        <v>271</v>
      </c>
      <c r="J233" s="31" t="s">
        <v>71</v>
      </c>
      <c r="K233" s="27" t="s">
        <v>196</v>
      </c>
      <c r="L233" s="27" t="s">
        <v>322</v>
      </c>
      <c r="M233" s="32" t="str">
        <f t="shared" si="1"/>
        <v xml:space="preserve">http://slimages.macys.com/is/image/MCY/3915487 </v>
      </c>
    </row>
    <row r="234" spans="1:13" ht="15.2" customHeight="1" x14ac:dyDescent="0.2">
      <c r="A234" s="26" t="s">
        <v>8670</v>
      </c>
      <c r="B234" s="27" t="s">
        <v>8671</v>
      </c>
      <c r="C234" s="28">
        <v>1</v>
      </c>
      <c r="D234" s="29">
        <v>8.5</v>
      </c>
      <c r="E234" s="29">
        <v>8.5</v>
      </c>
      <c r="F234" s="30">
        <v>19.989999999999998</v>
      </c>
      <c r="G234" s="29">
        <v>19.989999999999998</v>
      </c>
      <c r="H234" s="28" t="s">
        <v>1374</v>
      </c>
      <c r="I234" s="27" t="s">
        <v>271</v>
      </c>
      <c r="J234" s="31" t="s">
        <v>5</v>
      </c>
      <c r="K234" s="27" t="s">
        <v>196</v>
      </c>
      <c r="L234" s="27" t="s">
        <v>322</v>
      </c>
      <c r="M234" s="32" t="str">
        <f t="shared" si="1"/>
        <v xml:space="preserve">http://slimages.macys.com/is/image/MCY/3915487 </v>
      </c>
    </row>
    <row r="235" spans="1:13" ht="15.2" customHeight="1" x14ac:dyDescent="0.2">
      <c r="A235" s="26" t="s">
        <v>8668</v>
      </c>
      <c r="B235" s="27" t="s">
        <v>8669</v>
      </c>
      <c r="C235" s="28">
        <v>1</v>
      </c>
      <c r="D235" s="29">
        <v>8.5</v>
      </c>
      <c r="E235" s="29">
        <v>8.5</v>
      </c>
      <c r="F235" s="30">
        <v>19.989999999999998</v>
      </c>
      <c r="G235" s="29">
        <v>19.989999999999998</v>
      </c>
      <c r="H235" s="28" t="s">
        <v>2970</v>
      </c>
      <c r="I235" s="27" t="s">
        <v>26</v>
      </c>
      <c r="J235" s="31" t="s">
        <v>52</v>
      </c>
      <c r="K235" s="27" t="s">
        <v>196</v>
      </c>
      <c r="L235" s="27" t="s">
        <v>322</v>
      </c>
      <c r="M235" s="32" t="str">
        <f t="shared" si="1"/>
        <v xml:space="preserve">http://slimages.macys.com/is/image/MCY/3915487 </v>
      </c>
    </row>
    <row r="236" spans="1:13" ht="15.2" customHeight="1" x14ac:dyDescent="0.2">
      <c r="A236" s="26" t="s">
        <v>4635</v>
      </c>
      <c r="B236" s="27" t="s">
        <v>4636</v>
      </c>
      <c r="C236" s="28">
        <v>1</v>
      </c>
      <c r="D236" s="29">
        <v>8.5</v>
      </c>
      <c r="E236" s="29">
        <v>8.5</v>
      </c>
      <c r="F236" s="30">
        <v>19.989999999999998</v>
      </c>
      <c r="G236" s="29">
        <v>19.989999999999998</v>
      </c>
      <c r="H236" s="28" t="s">
        <v>1374</v>
      </c>
      <c r="I236" s="27" t="s">
        <v>82</v>
      </c>
      <c r="J236" s="31" t="s">
        <v>21</v>
      </c>
      <c r="K236" s="27" t="s">
        <v>196</v>
      </c>
      <c r="L236" s="27" t="s">
        <v>322</v>
      </c>
      <c r="M236" s="32" t="str">
        <f t="shared" si="1"/>
        <v xml:space="preserve">http://slimages.macys.com/is/image/MCY/3915487 </v>
      </c>
    </row>
    <row r="237" spans="1:13" ht="15.2" customHeight="1" x14ac:dyDescent="0.2">
      <c r="A237" s="26" t="s">
        <v>8657</v>
      </c>
      <c r="B237" s="27" t="s">
        <v>8658</v>
      </c>
      <c r="C237" s="28">
        <v>1</v>
      </c>
      <c r="D237" s="29">
        <v>8.5</v>
      </c>
      <c r="E237" s="29">
        <v>8.5</v>
      </c>
      <c r="F237" s="30">
        <v>19.989999999999998</v>
      </c>
      <c r="G237" s="29">
        <v>19.989999999999998</v>
      </c>
      <c r="H237" s="28" t="s">
        <v>2970</v>
      </c>
      <c r="I237" s="27" t="s">
        <v>26</v>
      </c>
      <c r="J237" s="31" t="s">
        <v>71</v>
      </c>
      <c r="K237" s="27" t="s">
        <v>196</v>
      </c>
      <c r="L237" s="27" t="s">
        <v>322</v>
      </c>
      <c r="M237" s="32" t="str">
        <f t="shared" si="1"/>
        <v xml:space="preserve">http://slimages.macys.com/is/image/MCY/3915487 </v>
      </c>
    </row>
    <row r="238" spans="1:13" ht="15.2" customHeight="1" x14ac:dyDescent="0.2">
      <c r="A238" s="26" t="s">
        <v>11200</v>
      </c>
      <c r="B238" s="27" t="s">
        <v>11201</v>
      </c>
      <c r="C238" s="28">
        <v>1</v>
      </c>
      <c r="D238" s="29">
        <v>8.5</v>
      </c>
      <c r="E238" s="29">
        <v>8.5</v>
      </c>
      <c r="F238" s="30">
        <v>19.989999999999998</v>
      </c>
      <c r="G238" s="29">
        <v>19.989999999999998</v>
      </c>
      <c r="H238" s="28" t="s">
        <v>827</v>
      </c>
      <c r="I238" s="27" t="s">
        <v>144</v>
      </c>
      <c r="J238" s="31" t="s">
        <v>52</v>
      </c>
      <c r="K238" s="27" t="s">
        <v>196</v>
      </c>
      <c r="L238" s="27" t="s">
        <v>260</v>
      </c>
      <c r="M238" s="32" t="str">
        <f>HYPERLINK("http://slimages.macys.com/is/image/MCY/3910806 ")</f>
        <v xml:space="preserve">http://slimages.macys.com/is/image/MCY/3910806 </v>
      </c>
    </row>
    <row r="239" spans="1:13" ht="15.2" customHeight="1" x14ac:dyDescent="0.2">
      <c r="A239" s="26" t="s">
        <v>828</v>
      </c>
      <c r="B239" s="27" t="s">
        <v>829</v>
      </c>
      <c r="C239" s="28">
        <v>2</v>
      </c>
      <c r="D239" s="29">
        <v>8.5</v>
      </c>
      <c r="E239" s="29">
        <v>17</v>
      </c>
      <c r="F239" s="30">
        <v>19.989999999999998</v>
      </c>
      <c r="G239" s="29">
        <v>39.979999999999997</v>
      </c>
      <c r="H239" s="28" t="s">
        <v>830</v>
      </c>
      <c r="I239" s="27" t="s">
        <v>4</v>
      </c>
      <c r="J239" s="31" t="s">
        <v>5</v>
      </c>
      <c r="K239" s="27" t="s">
        <v>282</v>
      </c>
      <c r="L239" s="27" t="s">
        <v>312</v>
      </c>
      <c r="M239" s="32" t="str">
        <f>HYPERLINK("http://slimages.macys.com/is/image/MCY/3853693 ")</f>
        <v xml:space="preserve">http://slimages.macys.com/is/image/MCY/3853693 </v>
      </c>
    </row>
    <row r="240" spans="1:13" ht="15.2" customHeight="1" x14ac:dyDescent="0.2">
      <c r="A240" s="26" t="s">
        <v>2973</v>
      </c>
      <c r="B240" s="27" t="s">
        <v>2974</v>
      </c>
      <c r="C240" s="28">
        <v>2</v>
      </c>
      <c r="D240" s="29">
        <v>8.5</v>
      </c>
      <c r="E240" s="29">
        <v>17</v>
      </c>
      <c r="F240" s="30">
        <v>19.989999999999998</v>
      </c>
      <c r="G240" s="29">
        <v>39.979999999999997</v>
      </c>
      <c r="H240" s="28" t="s">
        <v>830</v>
      </c>
      <c r="I240" s="27" t="s">
        <v>4</v>
      </c>
      <c r="J240" s="31" t="s">
        <v>52</v>
      </c>
      <c r="K240" s="27" t="s">
        <v>282</v>
      </c>
      <c r="L240" s="27" t="s">
        <v>312</v>
      </c>
      <c r="M240" s="32" t="str">
        <f>HYPERLINK("http://slimages.macys.com/is/image/MCY/3853693 ")</f>
        <v xml:space="preserve">http://slimages.macys.com/is/image/MCY/3853693 </v>
      </c>
    </row>
    <row r="241" spans="1:13" ht="15.2" customHeight="1" x14ac:dyDescent="0.2">
      <c r="A241" s="26" t="s">
        <v>7409</v>
      </c>
      <c r="B241" s="27" t="s">
        <v>7410</v>
      </c>
      <c r="C241" s="28">
        <v>1</v>
      </c>
      <c r="D241" s="29">
        <v>8.5</v>
      </c>
      <c r="E241" s="29">
        <v>8.5</v>
      </c>
      <c r="F241" s="30">
        <v>19.989999999999998</v>
      </c>
      <c r="G241" s="29">
        <v>19.989999999999998</v>
      </c>
      <c r="H241" s="28" t="s">
        <v>1867</v>
      </c>
      <c r="I241" s="27" t="s">
        <v>343</v>
      </c>
      <c r="J241" s="31" t="s">
        <v>71</v>
      </c>
      <c r="K241" s="27" t="s">
        <v>282</v>
      </c>
      <c r="L241" s="27" t="s">
        <v>312</v>
      </c>
      <c r="M241" s="32" t="str">
        <f>HYPERLINK("http://slimages.macys.com/is/image/MCY/3905651 ")</f>
        <v xml:space="preserve">http://slimages.macys.com/is/image/MCY/3905651 </v>
      </c>
    </row>
    <row r="242" spans="1:13" ht="15.2" customHeight="1" x14ac:dyDescent="0.2">
      <c r="A242" s="26" t="s">
        <v>7407</v>
      </c>
      <c r="B242" s="27" t="s">
        <v>7408</v>
      </c>
      <c r="C242" s="28">
        <v>1</v>
      </c>
      <c r="D242" s="29">
        <v>8.5</v>
      </c>
      <c r="E242" s="29">
        <v>8.5</v>
      </c>
      <c r="F242" s="30">
        <v>19.989999999999998</v>
      </c>
      <c r="G242" s="29">
        <v>19.989999999999998</v>
      </c>
      <c r="H242" s="28" t="s">
        <v>826</v>
      </c>
      <c r="I242" s="27" t="s">
        <v>4</v>
      </c>
      <c r="J242" s="31" t="s">
        <v>71</v>
      </c>
      <c r="K242" s="27" t="s">
        <v>282</v>
      </c>
      <c r="L242" s="27" t="s">
        <v>312</v>
      </c>
      <c r="M242" s="32" t="str">
        <f>HYPERLINK("http://slimages.macys.com/is/image/MCY/3853697 ")</f>
        <v xml:space="preserve">http://slimages.macys.com/is/image/MCY/3853697 </v>
      </c>
    </row>
    <row r="243" spans="1:13" ht="15.2" customHeight="1" x14ac:dyDescent="0.2">
      <c r="A243" s="26" t="s">
        <v>1865</v>
      </c>
      <c r="B243" s="27" t="s">
        <v>1866</v>
      </c>
      <c r="C243" s="28">
        <v>1</v>
      </c>
      <c r="D243" s="29">
        <v>8.5</v>
      </c>
      <c r="E243" s="29">
        <v>8.5</v>
      </c>
      <c r="F243" s="30">
        <v>19.989999999999998</v>
      </c>
      <c r="G243" s="29">
        <v>19.989999999999998</v>
      </c>
      <c r="H243" s="28" t="s">
        <v>1867</v>
      </c>
      <c r="I243" s="27" t="s">
        <v>343</v>
      </c>
      <c r="J243" s="31" t="s">
        <v>21</v>
      </c>
      <c r="K243" s="27" t="s">
        <v>282</v>
      </c>
      <c r="L243" s="27" t="s">
        <v>312</v>
      </c>
      <c r="M243" s="32" t="str">
        <f>HYPERLINK("http://slimages.macys.com/is/image/MCY/3905651 ")</f>
        <v xml:space="preserve">http://slimages.macys.com/is/image/MCY/3905651 </v>
      </c>
    </row>
    <row r="244" spans="1:13" ht="15.2" customHeight="1" x14ac:dyDescent="0.2">
      <c r="A244" s="26" t="s">
        <v>8312</v>
      </c>
      <c r="B244" s="27" t="s">
        <v>8313</v>
      </c>
      <c r="C244" s="28">
        <v>1</v>
      </c>
      <c r="D244" s="29">
        <v>8.4</v>
      </c>
      <c r="E244" s="29">
        <v>8.4</v>
      </c>
      <c r="F244" s="30">
        <v>19.989999999999998</v>
      </c>
      <c r="G244" s="29">
        <v>19.989999999999998</v>
      </c>
      <c r="H244" s="28" t="s">
        <v>7673</v>
      </c>
      <c r="I244" s="27" t="s">
        <v>4</v>
      </c>
      <c r="J244" s="31" t="s">
        <v>52</v>
      </c>
      <c r="K244" s="27" t="s">
        <v>159</v>
      </c>
      <c r="L244" s="27" t="s">
        <v>160</v>
      </c>
      <c r="M244" s="32" t="str">
        <f>HYPERLINK("http://slimages.macys.com/is/image/MCY/2995039 ")</f>
        <v xml:space="preserve">http://slimages.macys.com/is/image/MCY/2995039 </v>
      </c>
    </row>
    <row r="245" spans="1:13" ht="15.2" customHeight="1" x14ac:dyDescent="0.2">
      <c r="A245" s="26" t="s">
        <v>9927</v>
      </c>
      <c r="B245" s="27" t="s">
        <v>9928</v>
      </c>
      <c r="C245" s="28">
        <v>1</v>
      </c>
      <c r="D245" s="29">
        <v>8.4</v>
      </c>
      <c r="E245" s="29">
        <v>8.4</v>
      </c>
      <c r="F245" s="30">
        <v>19.989999999999998</v>
      </c>
      <c r="G245" s="29">
        <v>19.989999999999998</v>
      </c>
      <c r="H245" s="28" t="s">
        <v>837</v>
      </c>
      <c r="I245" s="27" t="s">
        <v>10</v>
      </c>
      <c r="J245" s="31" t="s">
        <v>21</v>
      </c>
      <c r="K245" s="27" t="s">
        <v>196</v>
      </c>
      <c r="L245" s="27" t="s">
        <v>239</v>
      </c>
      <c r="M245" s="32" t="str">
        <f>HYPERLINK("http://slimages.macys.com/is/image/MCY/3815202 ")</f>
        <v xml:space="preserve">http://slimages.macys.com/is/image/MCY/3815202 </v>
      </c>
    </row>
    <row r="246" spans="1:13" ht="15.2" customHeight="1" x14ac:dyDescent="0.2">
      <c r="A246" s="26" t="s">
        <v>11202</v>
      </c>
      <c r="B246" s="27" t="s">
        <v>11203</v>
      </c>
      <c r="C246" s="28">
        <v>1</v>
      </c>
      <c r="D246" s="29">
        <v>8.25</v>
      </c>
      <c r="E246" s="29">
        <v>8.25</v>
      </c>
      <c r="F246" s="30">
        <v>19.989999999999998</v>
      </c>
      <c r="G246" s="29">
        <v>19.989999999999998</v>
      </c>
      <c r="H246" s="28" t="s">
        <v>8675</v>
      </c>
      <c r="I246" s="27" t="s">
        <v>377</v>
      </c>
      <c r="J246" s="31" t="s">
        <v>40</v>
      </c>
      <c r="K246" s="27" t="s">
        <v>196</v>
      </c>
      <c r="L246" s="27" t="s">
        <v>225</v>
      </c>
      <c r="M246" s="32" t="str">
        <f>HYPERLINK("http://slimages.macys.com/is/image/MCY/3832889 ")</f>
        <v xml:space="preserve">http://slimages.macys.com/is/image/MCY/3832889 </v>
      </c>
    </row>
    <row r="247" spans="1:13" ht="15.2" customHeight="1" x14ac:dyDescent="0.2">
      <c r="A247" s="26" t="s">
        <v>11204</v>
      </c>
      <c r="B247" s="27" t="s">
        <v>11205</v>
      </c>
      <c r="C247" s="28">
        <v>1</v>
      </c>
      <c r="D247" s="29">
        <v>8.25</v>
      </c>
      <c r="E247" s="29">
        <v>8.25</v>
      </c>
      <c r="F247" s="30">
        <v>19.989999999999998</v>
      </c>
      <c r="G247" s="29">
        <v>19.989999999999998</v>
      </c>
      <c r="H247" s="28" t="s">
        <v>3882</v>
      </c>
      <c r="I247" s="27" t="s">
        <v>26</v>
      </c>
      <c r="J247" s="31" t="s">
        <v>71</v>
      </c>
      <c r="K247" s="27" t="s">
        <v>196</v>
      </c>
      <c r="L247" s="27" t="s">
        <v>256</v>
      </c>
      <c r="M247" s="32" t="str">
        <f>HYPERLINK("http://slimages.macys.com/is/image/MCY/3683136 ")</f>
        <v xml:space="preserve">http://slimages.macys.com/is/image/MCY/3683136 </v>
      </c>
    </row>
    <row r="248" spans="1:13" ht="15.2" customHeight="1" x14ac:dyDescent="0.2">
      <c r="A248" s="26" t="s">
        <v>8505</v>
      </c>
      <c r="B248" s="27" t="s">
        <v>8506</v>
      </c>
      <c r="C248" s="28">
        <v>1</v>
      </c>
      <c r="D248" s="29">
        <v>8.25</v>
      </c>
      <c r="E248" s="29">
        <v>8.25</v>
      </c>
      <c r="F248" s="30">
        <v>19.989999999999998</v>
      </c>
      <c r="G248" s="29">
        <v>19.989999999999998</v>
      </c>
      <c r="H248" s="28">
        <v>60444969</v>
      </c>
      <c r="I248" s="27" t="s">
        <v>75</v>
      </c>
      <c r="J248" s="31" t="s">
        <v>52</v>
      </c>
      <c r="K248" s="27" t="s">
        <v>208</v>
      </c>
      <c r="L248" s="27" t="s">
        <v>255</v>
      </c>
      <c r="M248" s="32" t="str">
        <f>HYPERLINK("http://slimages.macys.com/is/image/MCY/3834629 ")</f>
        <v xml:space="preserve">http://slimages.macys.com/is/image/MCY/3834629 </v>
      </c>
    </row>
    <row r="249" spans="1:13" ht="15.2" customHeight="1" x14ac:dyDescent="0.2">
      <c r="A249" s="26" t="s">
        <v>7775</v>
      </c>
      <c r="B249" s="27" t="s">
        <v>7776</v>
      </c>
      <c r="C249" s="28">
        <v>1</v>
      </c>
      <c r="D249" s="29">
        <v>8.25</v>
      </c>
      <c r="E249" s="29">
        <v>8.25</v>
      </c>
      <c r="F249" s="30">
        <v>19.989999999999998</v>
      </c>
      <c r="G249" s="29">
        <v>19.989999999999998</v>
      </c>
      <c r="H249" s="28" t="s">
        <v>1388</v>
      </c>
      <c r="I249" s="27" t="s">
        <v>4</v>
      </c>
      <c r="J249" s="31" t="s">
        <v>21</v>
      </c>
      <c r="K249" s="27" t="s">
        <v>282</v>
      </c>
      <c r="L249" s="27" t="s">
        <v>283</v>
      </c>
      <c r="M249" s="32" t="str">
        <f>HYPERLINK("http://slimages.macys.com/is/image/MCY/3773924 ")</f>
        <v xml:space="preserve">http://slimages.macys.com/is/image/MCY/3773924 </v>
      </c>
    </row>
    <row r="250" spans="1:13" ht="15.2" customHeight="1" x14ac:dyDescent="0.2">
      <c r="A250" s="26" t="s">
        <v>11206</v>
      </c>
      <c r="B250" s="27" t="s">
        <v>11207</v>
      </c>
      <c r="C250" s="28">
        <v>1</v>
      </c>
      <c r="D250" s="29">
        <v>8.25</v>
      </c>
      <c r="E250" s="29">
        <v>8.25</v>
      </c>
      <c r="F250" s="30">
        <v>19.989999999999998</v>
      </c>
      <c r="G250" s="29">
        <v>19.989999999999998</v>
      </c>
      <c r="H250" s="28" t="s">
        <v>2290</v>
      </c>
      <c r="I250" s="27" t="s">
        <v>59</v>
      </c>
      <c r="J250" s="31" t="s">
        <v>40</v>
      </c>
      <c r="K250" s="27" t="s">
        <v>196</v>
      </c>
      <c r="L250" s="27" t="s">
        <v>225</v>
      </c>
      <c r="M250" s="32" t="str">
        <f>HYPERLINK("http://slimages.macys.com/is/image/MCY/3875563 ")</f>
        <v xml:space="preserve">http://slimages.macys.com/is/image/MCY/3875563 </v>
      </c>
    </row>
    <row r="251" spans="1:13" ht="15.2" customHeight="1" x14ac:dyDescent="0.2">
      <c r="A251" s="26" t="s">
        <v>6548</v>
      </c>
      <c r="B251" s="27" t="s">
        <v>6549</v>
      </c>
      <c r="C251" s="28">
        <v>1</v>
      </c>
      <c r="D251" s="29">
        <v>8.25</v>
      </c>
      <c r="E251" s="29">
        <v>8.25</v>
      </c>
      <c r="F251" s="30">
        <v>16.989999999999998</v>
      </c>
      <c r="G251" s="29">
        <v>16.989999999999998</v>
      </c>
      <c r="H251" s="28" t="s">
        <v>6550</v>
      </c>
      <c r="I251" s="27" t="s">
        <v>478</v>
      </c>
      <c r="J251" s="31" t="s">
        <v>760</v>
      </c>
      <c r="K251" s="27" t="s">
        <v>224</v>
      </c>
      <c r="L251" s="27" t="s">
        <v>254</v>
      </c>
      <c r="M251" s="32" t="str">
        <f>HYPERLINK("http://slimages.macys.com/is/image/MCY/3931083 ")</f>
        <v xml:space="preserve">http://slimages.macys.com/is/image/MCY/3931083 </v>
      </c>
    </row>
    <row r="252" spans="1:13" ht="15.2" customHeight="1" x14ac:dyDescent="0.2">
      <c r="A252" s="26" t="s">
        <v>11208</v>
      </c>
      <c r="B252" s="27" t="s">
        <v>11209</v>
      </c>
      <c r="C252" s="28">
        <v>1</v>
      </c>
      <c r="D252" s="29">
        <v>8.1999999999999993</v>
      </c>
      <c r="E252" s="29">
        <v>8.1999999999999993</v>
      </c>
      <c r="F252" s="30">
        <v>19.989999999999998</v>
      </c>
      <c r="G252" s="29">
        <v>19.989999999999998</v>
      </c>
      <c r="H252" s="28" t="s">
        <v>10328</v>
      </c>
      <c r="I252" s="27" t="s">
        <v>4</v>
      </c>
      <c r="J252" s="31" t="s">
        <v>71</v>
      </c>
      <c r="K252" s="27" t="s">
        <v>196</v>
      </c>
      <c r="L252" s="27" t="s">
        <v>322</v>
      </c>
      <c r="M252" s="32" t="str">
        <f>HYPERLINK("http://slimages.macys.com/is/image/MCY/3685398 ")</f>
        <v xml:space="preserve">http://slimages.macys.com/is/image/MCY/3685398 </v>
      </c>
    </row>
    <row r="253" spans="1:13" ht="15.2" customHeight="1" x14ac:dyDescent="0.2">
      <c r="A253" s="26" t="s">
        <v>2295</v>
      </c>
      <c r="B253" s="27" t="s">
        <v>2296</v>
      </c>
      <c r="C253" s="28">
        <v>1</v>
      </c>
      <c r="D253" s="29">
        <v>8.1</v>
      </c>
      <c r="E253" s="29">
        <v>8.1</v>
      </c>
      <c r="F253" s="30">
        <v>22.5</v>
      </c>
      <c r="G253" s="29">
        <v>22.5</v>
      </c>
      <c r="H253" s="28" t="s">
        <v>2294</v>
      </c>
      <c r="I253" s="27" t="s">
        <v>4</v>
      </c>
      <c r="J253" s="31" t="s">
        <v>21</v>
      </c>
      <c r="K253" s="27" t="s">
        <v>53</v>
      </c>
      <c r="L253" s="27" t="s">
        <v>372</v>
      </c>
      <c r="M253" s="32" t="str">
        <f>HYPERLINK("http://slimages.macys.com/is/image/MCY/3708566 ")</f>
        <v xml:space="preserve">http://slimages.macys.com/is/image/MCY/3708566 </v>
      </c>
    </row>
    <row r="254" spans="1:13" ht="15.2" customHeight="1" x14ac:dyDescent="0.2">
      <c r="A254" s="26" t="s">
        <v>4848</v>
      </c>
      <c r="B254" s="27" t="s">
        <v>4849</v>
      </c>
      <c r="C254" s="28">
        <v>1</v>
      </c>
      <c r="D254" s="29">
        <v>8.1</v>
      </c>
      <c r="E254" s="29">
        <v>8.1</v>
      </c>
      <c r="F254" s="30">
        <v>22.5</v>
      </c>
      <c r="G254" s="29">
        <v>22.5</v>
      </c>
      <c r="H254" s="28" t="s">
        <v>2294</v>
      </c>
      <c r="I254" s="27" t="s">
        <v>4</v>
      </c>
      <c r="J254" s="31" t="s">
        <v>40</v>
      </c>
      <c r="K254" s="27" t="s">
        <v>53</v>
      </c>
      <c r="L254" s="27" t="s">
        <v>372</v>
      </c>
      <c r="M254" s="32" t="str">
        <f>HYPERLINK("http://slimages.macys.com/is/image/MCY/3708566 ")</f>
        <v xml:space="preserve">http://slimages.macys.com/is/image/MCY/3708566 </v>
      </c>
    </row>
    <row r="255" spans="1:13" ht="15.2" customHeight="1" x14ac:dyDescent="0.2">
      <c r="A255" s="26" t="s">
        <v>8453</v>
      </c>
      <c r="B255" s="27" t="s">
        <v>8454</v>
      </c>
      <c r="C255" s="28">
        <v>1</v>
      </c>
      <c r="D255" s="29">
        <v>8</v>
      </c>
      <c r="E255" s="29">
        <v>8</v>
      </c>
      <c r="F255" s="30">
        <v>19.989999999999998</v>
      </c>
      <c r="G255" s="29">
        <v>19.989999999999998</v>
      </c>
      <c r="H255" s="28" t="s">
        <v>1888</v>
      </c>
      <c r="I255" s="27" t="s">
        <v>690</v>
      </c>
      <c r="J255" s="31" t="s">
        <v>5</v>
      </c>
      <c r="K255" s="27" t="s">
        <v>196</v>
      </c>
      <c r="L255" s="27" t="s">
        <v>239</v>
      </c>
      <c r="M255" s="32" t="str">
        <f>HYPERLINK("http://slimages.macys.com/is/image/MCY/3853021 ")</f>
        <v xml:space="preserve">http://slimages.macys.com/is/image/MCY/3853021 </v>
      </c>
    </row>
    <row r="256" spans="1:13" ht="15.2" customHeight="1" x14ac:dyDescent="0.2">
      <c r="A256" s="26" t="s">
        <v>8557</v>
      </c>
      <c r="B256" s="27" t="s">
        <v>8558</v>
      </c>
      <c r="C256" s="28">
        <v>2</v>
      </c>
      <c r="D256" s="29">
        <v>8</v>
      </c>
      <c r="E256" s="29">
        <v>16</v>
      </c>
      <c r="F256" s="30">
        <v>19.989999999999998</v>
      </c>
      <c r="G256" s="29">
        <v>39.979999999999997</v>
      </c>
      <c r="H256" s="28" t="s">
        <v>1885</v>
      </c>
      <c r="I256" s="27" t="s">
        <v>94</v>
      </c>
      <c r="J256" s="31" t="s">
        <v>40</v>
      </c>
      <c r="K256" s="27" t="s">
        <v>196</v>
      </c>
      <c r="L256" s="27" t="s">
        <v>239</v>
      </c>
      <c r="M256" s="32" t="str">
        <f>HYPERLINK("http://slimages.macys.com/is/image/MCY/3834521 ")</f>
        <v xml:space="preserve">http://slimages.macys.com/is/image/MCY/3834521 </v>
      </c>
    </row>
    <row r="257" spans="1:13" ht="15.2" customHeight="1" x14ac:dyDescent="0.2">
      <c r="A257" s="26" t="s">
        <v>1889</v>
      </c>
      <c r="B257" s="27" t="s">
        <v>1890</v>
      </c>
      <c r="C257" s="28">
        <v>2</v>
      </c>
      <c r="D257" s="29">
        <v>8</v>
      </c>
      <c r="E257" s="29">
        <v>16</v>
      </c>
      <c r="F257" s="30">
        <v>19.989999999999998</v>
      </c>
      <c r="G257" s="29">
        <v>39.979999999999997</v>
      </c>
      <c r="H257" s="28" t="s">
        <v>1885</v>
      </c>
      <c r="I257" s="27" t="s">
        <v>94</v>
      </c>
      <c r="J257" s="31" t="s">
        <v>5</v>
      </c>
      <c r="K257" s="27" t="s">
        <v>196</v>
      </c>
      <c r="L257" s="27" t="s">
        <v>239</v>
      </c>
      <c r="M257" s="32" t="str">
        <f>HYPERLINK("http://slimages.macys.com/is/image/MCY/3834521 ")</f>
        <v xml:space="preserve">http://slimages.macys.com/is/image/MCY/3834521 </v>
      </c>
    </row>
    <row r="258" spans="1:13" ht="15.2" customHeight="1" x14ac:dyDescent="0.2">
      <c r="A258" s="26" t="s">
        <v>11026</v>
      </c>
      <c r="B258" s="27" t="s">
        <v>11027</v>
      </c>
      <c r="C258" s="28">
        <v>3</v>
      </c>
      <c r="D258" s="29">
        <v>8</v>
      </c>
      <c r="E258" s="29">
        <v>24</v>
      </c>
      <c r="F258" s="30">
        <v>19.989999999999998</v>
      </c>
      <c r="G258" s="29">
        <v>59.97</v>
      </c>
      <c r="H258" s="28" t="s">
        <v>1885</v>
      </c>
      <c r="I258" s="27" t="s">
        <v>94</v>
      </c>
      <c r="J258" s="31" t="s">
        <v>21</v>
      </c>
      <c r="K258" s="27" t="s">
        <v>196</v>
      </c>
      <c r="L258" s="27" t="s">
        <v>239</v>
      </c>
      <c r="M258" s="32" t="str">
        <f>HYPERLINK("http://slimages.macys.com/is/image/MCY/3834521 ")</f>
        <v xml:space="preserve">http://slimages.macys.com/is/image/MCY/3834521 </v>
      </c>
    </row>
    <row r="259" spans="1:13" ht="15.2" customHeight="1" x14ac:dyDescent="0.2">
      <c r="A259" s="26" t="s">
        <v>9663</v>
      </c>
      <c r="B259" s="27" t="s">
        <v>9664</v>
      </c>
      <c r="C259" s="28">
        <v>1</v>
      </c>
      <c r="D259" s="29">
        <v>8</v>
      </c>
      <c r="E259" s="29">
        <v>8</v>
      </c>
      <c r="F259" s="30">
        <v>19.989999999999998</v>
      </c>
      <c r="G259" s="29">
        <v>19.989999999999998</v>
      </c>
      <c r="H259" s="28" t="s">
        <v>1885</v>
      </c>
      <c r="I259" s="27" t="s">
        <v>1472</v>
      </c>
      <c r="J259" s="31" t="s">
        <v>21</v>
      </c>
      <c r="K259" s="27" t="s">
        <v>196</v>
      </c>
      <c r="L259" s="27" t="s">
        <v>239</v>
      </c>
      <c r="M259" s="32" t="str">
        <f>HYPERLINK("http://slimages.macys.com/is/image/MCY/3834521 ")</f>
        <v xml:space="preserve">http://slimages.macys.com/is/image/MCY/3834521 </v>
      </c>
    </row>
    <row r="260" spans="1:13" ht="15.2" customHeight="1" x14ac:dyDescent="0.2">
      <c r="A260" s="26" t="s">
        <v>6045</v>
      </c>
      <c r="B260" s="27" t="s">
        <v>6046</v>
      </c>
      <c r="C260" s="28">
        <v>1</v>
      </c>
      <c r="D260" s="29">
        <v>8</v>
      </c>
      <c r="E260" s="29">
        <v>8</v>
      </c>
      <c r="F260" s="30">
        <v>19.989999999999998</v>
      </c>
      <c r="G260" s="29">
        <v>19.989999999999998</v>
      </c>
      <c r="H260" s="28" t="s">
        <v>2309</v>
      </c>
      <c r="I260" s="27" t="s">
        <v>215</v>
      </c>
      <c r="J260" s="31" t="s">
        <v>40</v>
      </c>
      <c r="K260" s="27" t="s">
        <v>196</v>
      </c>
      <c r="L260" s="27" t="s">
        <v>239</v>
      </c>
      <c r="M260" s="32" t="str">
        <f>HYPERLINK("http://slimages.macys.com/is/image/MCY/3719772 ")</f>
        <v xml:space="preserve">http://slimages.macys.com/is/image/MCY/3719772 </v>
      </c>
    </row>
    <row r="261" spans="1:13" ht="15.2" customHeight="1" x14ac:dyDescent="0.2">
      <c r="A261" s="26" t="s">
        <v>10906</v>
      </c>
      <c r="B261" s="27" t="s">
        <v>10907</v>
      </c>
      <c r="C261" s="28">
        <v>1</v>
      </c>
      <c r="D261" s="29">
        <v>8</v>
      </c>
      <c r="E261" s="29">
        <v>8</v>
      </c>
      <c r="F261" s="30">
        <v>19.989999999999998</v>
      </c>
      <c r="G261" s="29">
        <v>19.989999999999998</v>
      </c>
      <c r="H261" s="28" t="s">
        <v>1888</v>
      </c>
      <c r="I261" s="27" t="s">
        <v>271</v>
      </c>
      <c r="J261" s="31" t="s">
        <v>5</v>
      </c>
      <c r="K261" s="27" t="s">
        <v>196</v>
      </c>
      <c r="L261" s="27" t="s">
        <v>239</v>
      </c>
      <c r="M261" s="32" t="str">
        <f>HYPERLINK("http://slimages.macys.com/is/image/MCY/3853021 ")</f>
        <v xml:space="preserve">http://slimages.macys.com/is/image/MCY/3853021 </v>
      </c>
    </row>
    <row r="262" spans="1:13" ht="15.2" customHeight="1" x14ac:dyDescent="0.2">
      <c r="A262" s="26" t="s">
        <v>9817</v>
      </c>
      <c r="B262" s="27" t="s">
        <v>9818</v>
      </c>
      <c r="C262" s="28">
        <v>1</v>
      </c>
      <c r="D262" s="29">
        <v>8</v>
      </c>
      <c r="E262" s="29">
        <v>8</v>
      </c>
      <c r="F262" s="30">
        <v>19.989999999999998</v>
      </c>
      <c r="G262" s="29">
        <v>19.989999999999998</v>
      </c>
      <c r="H262" s="28" t="s">
        <v>1888</v>
      </c>
      <c r="I262" s="27" t="s">
        <v>271</v>
      </c>
      <c r="J262" s="31" t="s">
        <v>21</v>
      </c>
      <c r="K262" s="27" t="s">
        <v>196</v>
      </c>
      <c r="L262" s="27" t="s">
        <v>239</v>
      </c>
      <c r="M262" s="32" t="str">
        <f>HYPERLINK("http://slimages.macys.com/is/image/MCY/3853021 ")</f>
        <v xml:space="preserve">http://slimages.macys.com/is/image/MCY/3853021 </v>
      </c>
    </row>
    <row r="263" spans="1:13" ht="15.2" customHeight="1" x14ac:dyDescent="0.2">
      <c r="A263" s="26" t="s">
        <v>2314</v>
      </c>
      <c r="B263" s="27" t="s">
        <v>2315</v>
      </c>
      <c r="C263" s="28">
        <v>2</v>
      </c>
      <c r="D263" s="29">
        <v>8</v>
      </c>
      <c r="E263" s="29">
        <v>16</v>
      </c>
      <c r="F263" s="30">
        <v>19.989999999999998</v>
      </c>
      <c r="G263" s="29">
        <v>39.979999999999997</v>
      </c>
      <c r="H263" s="28" t="s">
        <v>1888</v>
      </c>
      <c r="I263" s="27" t="s">
        <v>690</v>
      </c>
      <c r="J263" s="31" t="s">
        <v>21</v>
      </c>
      <c r="K263" s="27" t="s">
        <v>196</v>
      </c>
      <c r="L263" s="27" t="s">
        <v>239</v>
      </c>
      <c r="M263" s="32" t="str">
        <f>HYPERLINK("http://slimages.macys.com/is/image/MCY/3853021 ")</f>
        <v xml:space="preserve">http://slimages.macys.com/is/image/MCY/3853021 </v>
      </c>
    </row>
    <row r="264" spans="1:13" ht="15.2" customHeight="1" x14ac:dyDescent="0.2">
      <c r="A264" s="26" t="s">
        <v>7563</v>
      </c>
      <c r="B264" s="27" t="s">
        <v>7564</v>
      </c>
      <c r="C264" s="28">
        <v>1</v>
      </c>
      <c r="D264" s="29">
        <v>8</v>
      </c>
      <c r="E264" s="29">
        <v>8</v>
      </c>
      <c r="F264" s="30">
        <v>19.989999999999998</v>
      </c>
      <c r="G264" s="29">
        <v>19.989999999999998</v>
      </c>
      <c r="H264" s="28" t="s">
        <v>7565</v>
      </c>
      <c r="I264" s="27"/>
      <c r="J264" s="31" t="s">
        <v>21</v>
      </c>
      <c r="K264" s="27" t="s">
        <v>224</v>
      </c>
      <c r="L264" s="27" t="s">
        <v>254</v>
      </c>
      <c r="M264" s="32" t="str">
        <f>HYPERLINK("http://slimages.macys.com/is/image/MCY/3719811 ")</f>
        <v xml:space="preserve">http://slimages.macys.com/is/image/MCY/3719811 </v>
      </c>
    </row>
    <row r="265" spans="1:13" ht="15.2" customHeight="1" x14ac:dyDescent="0.2">
      <c r="A265" s="26" t="s">
        <v>5453</v>
      </c>
      <c r="B265" s="27" t="s">
        <v>5454</v>
      </c>
      <c r="C265" s="28">
        <v>1</v>
      </c>
      <c r="D265" s="29">
        <v>8</v>
      </c>
      <c r="E265" s="29">
        <v>8</v>
      </c>
      <c r="F265" s="30">
        <v>19.989999999999998</v>
      </c>
      <c r="G265" s="29">
        <v>19.989999999999998</v>
      </c>
      <c r="H265" s="28" t="s">
        <v>1362</v>
      </c>
      <c r="I265" s="27" t="s">
        <v>22</v>
      </c>
      <c r="J265" s="31" t="s">
        <v>5</v>
      </c>
      <c r="K265" s="27" t="s">
        <v>224</v>
      </c>
      <c r="L265" s="27" t="s">
        <v>276</v>
      </c>
      <c r="M265" s="32" t="str">
        <f>HYPERLINK("http://slimages.macys.com/is/image/MCY/3814584 ")</f>
        <v xml:space="preserve">http://slimages.macys.com/is/image/MCY/3814584 </v>
      </c>
    </row>
    <row r="266" spans="1:13" ht="15.2" customHeight="1" x14ac:dyDescent="0.2">
      <c r="A266" s="26" t="s">
        <v>8317</v>
      </c>
      <c r="B266" s="27" t="s">
        <v>8318</v>
      </c>
      <c r="C266" s="28">
        <v>1</v>
      </c>
      <c r="D266" s="29">
        <v>8</v>
      </c>
      <c r="E266" s="29">
        <v>8</v>
      </c>
      <c r="F266" s="30">
        <v>19.989999999999998</v>
      </c>
      <c r="G266" s="29">
        <v>19.989999999999998</v>
      </c>
      <c r="H266" s="28" t="s">
        <v>1362</v>
      </c>
      <c r="I266" s="27" t="s">
        <v>22</v>
      </c>
      <c r="J266" s="31" t="s">
        <v>71</v>
      </c>
      <c r="K266" s="27" t="s">
        <v>224</v>
      </c>
      <c r="L266" s="27" t="s">
        <v>276</v>
      </c>
      <c r="M266" s="32" t="str">
        <f>HYPERLINK("http://slimages.macys.com/is/image/MCY/3814584 ")</f>
        <v xml:space="preserve">http://slimages.macys.com/is/image/MCY/3814584 </v>
      </c>
    </row>
    <row r="267" spans="1:13" ht="15.2" customHeight="1" x14ac:dyDescent="0.2">
      <c r="A267" s="26" t="s">
        <v>7777</v>
      </c>
      <c r="B267" s="27" t="s">
        <v>7778</v>
      </c>
      <c r="C267" s="28">
        <v>1</v>
      </c>
      <c r="D267" s="29">
        <v>8</v>
      </c>
      <c r="E267" s="29">
        <v>8</v>
      </c>
      <c r="F267" s="30">
        <v>19.989999999999998</v>
      </c>
      <c r="G267" s="29">
        <v>19.989999999999998</v>
      </c>
      <c r="H267" s="28" t="s">
        <v>840</v>
      </c>
      <c r="I267" s="27" t="s">
        <v>189</v>
      </c>
      <c r="J267" s="31" t="s">
        <v>21</v>
      </c>
      <c r="K267" s="27" t="s">
        <v>282</v>
      </c>
      <c r="L267" s="27" t="s">
        <v>349</v>
      </c>
      <c r="M267" s="32" t="str">
        <f>HYPERLINK("http://slimages.macys.com/is/image/MCY/3799630 ")</f>
        <v xml:space="preserve">http://slimages.macys.com/is/image/MCY/3799630 </v>
      </c>
    </row>
    <row r="268" spans="1:13" ht="15.2" customHeight="1" x14ac:dyDescent="0.2">
      <c r="A268" s="26" t="s">
        <v>5457</v>
      </c>
      <c r="B268" s="27" t="s">
        <v>5458</v>
      </c>
      <c r="C268" s="28">
        <v>3</v>
      </c>
      <c r="D268" s="29">
        <v>8</v>
      </c>
      <c r="E268" s="29">
        <v>24</v>
      </c>
      <c r="F268" s="30">
        <v>19.989999999999998</v>
      </c>
      <c r="G268" s="29">
        <v>59.97</v>
      </c>
      <c r="H268" s="28" t="s">
        <v>840</v>
      </c>
      <c r="I268" s="27" t="s">
        <v>189</v>
      </c>
      <c r="J268" s="31" t="s">
        <v>52</v>
      </c>
      <c r="K268" s="27" t="s">
        <v>282</v>
      </c>
      <c r="L268" s="27" t="s">
        <v>349</v>
      </c>
      <c r="M268" s="32" t="str">
        <f>HYPERLINK("http://slimages.macys.com/is/image/MCY/3799630 ")</f>
        <v xml:space="preserve">http://slimages.macys.com/is/image/MCY/3799630 </v>
      </c>
    </row>
    <row r="269" spans="1:13" ht="15.2" customHeight="1" x14ac:dyDescent="0.2">
      <c r="A269" s="26" t="s">
        <v>838</v>
      </c>
      <c r="B269" s="27" t="s">
        <v>839</v>
      </c>
      <c r="C269" s="28">
        <v>2</v>
      </c>
      <c r="D269" s="29">
        <v>8</v>
      </c>
      <c r="E269" s="29">
        <v>16</v>
      </c>
      <c r="F269" s="30">
        <v>19.989999999999998</v>
      </c>
      <c r="G269" s="29">
        <v>39.979999999999997</v>
      </c>
      <c r="H269" s="28" t="s">
        <v>840</v>
      </c>
      <c r="I269" s="27" t="s">
        <v>189</v>
      </c>
      <c r="J269" s="31" t="s">
        <v>5</v>
      </c>
      <c r="K269" s="27" t="s">
        <v>282</v>
      </c>
      <c r="L269" s="27" t="s">
        <v>349</v>
      </c>
      <c r="M269" s="32" t="str">
        <f>HYPERLINK("http://slimages.macys.com/is/image/MCY/3799630 ")</f>
        <v xml:space="preserve">http://slimages.macys.com/is/image/MCY/3799630 </v>
      </c>
    </row>
    <row r="270" spans="1:13" ht="15.2" customHeight="1" x14ac:dyDescent="0.2">
      <c r="A270" s="26" t="s">
        <v>5455</v>
      </c>
      <c r="B270" s="27" t="s">
        <v>5456</v>
      </c>
      <c r="C270" s="28">
        <v>1</v>
      </c>
      <c r="D270" s="29">
        <v>8</v>
      </c>
      <c r="E270" s="29">
        <v>8</v>
      </c>
      <c r="F270" s="30">
        <v>19.989999999999998</v>
      </c>
      <c r="G270" s="29">
        <v>19.989999999999998</v>
      </c>
      <c r="H270" s="28" t="s">
        <v>840</v>
      </c>
      <c r="I270" s="27" t="s">
        <v>189</v>
      </c>
      <c r="J270" s="31" t="s">
        <v>71</v>
      </c>
      <c r="K270" s="27" t="s">
        <v>282</v>
      </c>
      <c r="L270" s="27" t="s">
        <v>349</v>
      </c>
      <c r="M270" s="32" t="str">
        <f>HYPERLINK("http://slimages.macys.com/is/image/MCY/3799630 ")</f>
        <v xml:space="preserve">http://slimages.macys.com/is/image/MCY/3799630 </v>
      </c>
    </row>
    <row r="271" spans="1:13" ht="15.2" customHeight="1" x14ac:dyDescent="0.2">
      <c r="A271" s="26" t="s">
        <v>8555</v>
      </c>
      <c r="B271" s="27" t="s">
        <v>8556</v>
      </c>
      <c r="C271" s="28">
        <v>1</v>
      </c>
      <c r="D271" s="29">
        <v>8</v>
      </c>
      <c r="E271" s="29">
        <v>8</v>
      </c>
      <c r="F271" s="30">
        <v>19.989999999999998</v>
      </c>
      <c r="G271" s="29">
        <v>19.989999999999998</v>
      </c>
      <c r="H271" s="28" t="s">
        <v>1885</v>
      </c>
      <c r="I271" s="27" t="s">
        <v>1472</v>
      </c>
      <c r="J271" s="31" t="s">
        <v>52</v>
      </c>
      <c r="K271" s="27" t="s">
        <v>196</v>
      </c>
      <c r="L271" s="27" t="s">
        <v>239</v>
      </c>
      <c r="M271" s="32" t="str">
        <f>HYPERLINK("http://slimages.macys.com/is/image/MCY/3834521 ")</f>
        <v xml:space="preserve">http://slimages.macys.com/is/image/MCY/3834521 </v>
      </c>
    </row>
    <row r="272" spans="1:13" ht="15.2" customHeight="1" x14ac:dyDescent="0.2">
      <c r="A272" s="26" t="s">
        <v>11210</v>
      </c>
      <c r="B272" s="27" t="s">
        <v>11211</v>
      </c>
      <c r="C272" s="28">
        <v>1</v>
      </c>
      <c r="D272" s="29">
        <v>8</v>
      </c>
      <c r="E272" s="29">
        <v>8</v>
      </c>
      <c r="F272" s="30">
        <v>19.989999999999998</v>
      </c>
      <c r="G272" s="29">
        <v>19.989999999999998</v>
      </c>
      <c r="H272" s="28" t="s">
        <v>827</v>
      </c>
      <c r="I272" s="27" t="s">
        <v>1</v>
      </c>
      <c r="J272" s="31" t="s">
        <v>5</v>
      </c>
      <c r="K272" s="27" t="s">
        <v>196</v>
      </c>
      <c r="L272" s="27" t="s">
        <v>260</v>
      </c>
      <c r="M272" s="32" t="str">
        <f>HYPERLINK("http://slimages.macys.com/is/image/MCY/3910796 ")</f>
        <v xml:space="preserve">http://slimages.macys.com/is/image/MCY/3910796 </v>
      </c>
    </row>
    <row r="273" spans="1:13" ht="15.2" customHeight="1" x14ac:dyDescent="0.2">
      <c r="A273" s="26" t="s">
        <v>7419</v>
      </c>
      <c r="B273" s="27" t="s">
        <v>7420</v>
      </c>
      <c r="C273" s="28">
        <v>1</v>
      </c>
      <c r="D273" s="29">
        <v>8</v>
      </c>
      <c r="E273" s="29">
        <v>8</v>
      </c>
      <c r="F273" s="30">
        <v>19.989999999999998</v>
      </c>
      <c r="G273" s="29">
        <v>19.989999999999998</v>
      </c>
      <c r="H273" s="28" t="s">
        <v>1888</v>
      </c>
      <c r="I273" s="27" t="s">
        <v>10</v>
      </c>
      <c r="J273" s="31" t="s">
        <v>21</v>
      </c>
      <c r="K273" s="27" t="s">
        <v>196</v>
      </c>
      <c r="L273" s="27" t="s">
        <v>239</v>
      </c>
      <c r="M273" s="32" t="str">
        <f>HYPERLINK("http://slimages.macys.com/is/image/MCY/3853021 ")</f>
        <v xml:space="preserve">http://slimages.macys.com/is/image/MCY/3853021 </v>
      </c>
    </row>
    <row r="274" spans="1:13" ht="15.2" customHeight="1" x14ac:dyDescent="0.2">
      <c r="A274" s="26" t="s">
        <v>10119</v>
      </c>
      <c r="B274" s="27" t="s">
        <v>10120</v>
      </c>
      <c r="C274" s="28">
        <v>1</v>
      </c>
      <c r="D274" s="29">
        <v>8</v>
      </c>
      <c r="E274" s="29">
        <v>8</v>
      </c>
      <c r="F274" s="30">
        <v>19.989999999999998</v>
      </c>
      <c r="G274" s="29">
        <v>19.989999999999998</v>
      </c>
      <c r="H274" s="28" t="s">
        <v>1888</v>
      </c>
      <c r="I274" s="27" t="s">
        <v>10</v>
      </c>
      <c r="J274" s="31" t="s">
        <v>5</v>
      </c>
      <c r="K274" s="27" t="s">
        <v>196</v>
      </c>
      <c r="L274" s="27" t="s">
        <v>239</v>
      </c>
      <c r="M274" s="32" t="str">
        <f>HYPERLINK("http://slimages.macys.com/is/image/MCY/3853021 ")</f>
        <v xml:space="preserve">http://slimages.macys.com/is/image/MCY/3853021 </v>
      </c>
    </row>
    <row r="275" spans="1:13" ht="15.2" customHeight="1" x14ac:dyDescent="0.2">
      <c r="A275" s="26" t="s">
        <v>1402</v>
      </c>
      <c r="B275" s="27" t="s">
        <v>1403</v>
      </c>
      <c r="C275" s="28">
        <v>1</v>
      </c>
      <c r="D275" s="29">
        <v>8</v>
      </c>
      <c r="E275" s="29">
        <v>8</v>
      </c>
      <c r="F275" s="30">
        <v>19.989999999999998</v>
      </c>
      <c r="G275" s="29">
        <v>19.989999999999998</v>
      </c>
      <c r="H275" s="28" t="s">
        <v>356</v>
      </c>
      <c r="I275" s="27" t="s">
        <v>357</v>
      </c>
      <c r="J275" s="31" t="s">
        <v>5</v>
      </c>
      <c r="K275" s="27" t="s">
        <v>282</v>
      </c>
      <c r="L275" s="27" t="s">
        <v>358</v>
      </c>
      <c r="M275" s="32" t="str">
        <f>HYPERLINK("http://slimages.macys.com/is/image/MCY/3931073 ")</f>
        <v xml:space="preserve">http://slimages.macys.com/is/image/MCY/3931073 </v>
      </c>
    </row>
    <row r="276" spans="1:13" ht="15.2" customHeight="1" x14ac:dyDescent="0.2">
      <c r="A276" s="26" t="s">
        <v>9661</v>
      </c>
      <c r="B276" s="27" t="s">
        <v>9662</v>
      </c>
      <c r="C276" s="28">
        <v>1</v>
      </c>
      <c r="D276" s="29">
        <v>8</v>
      </c>
      <c r="E276" s="29">
        <v>8</v>
      </c>
      <c r="F276" s="30">
        <v>21.5</v>
      </c>
      <c r="G276" s="29">
        <v>21.5</v>
      </c>
      <c r="H276" s="28" t="s">
        <v>352</v>
      </c>
      <c r="I276" s="27" t="s">
        <v>4</v>
      </c>
      <c r="J276" s="31" t="s">
        <v>21</v>
      </c>
      <c r="K276" s="27" t="s">
        <v>70</v>
      </c>
      <c r="L276" s="27" t="s">
        <v>353</v>
      </c>
      <c r="M276" s="32" t="str">
        <f>HYPERLINK("http://slimages.macys.com/is/image/MCY/3799214 ")</f>
        <v xml:space="preserve">http://slimages.macys.com/is/image/MCY/3799214 </v>
      </c>
    </row>
    <row r="277" spans="1:13" ht="15.2" customHeight="1" x14ac:dyDescent="0.2">
      <c r="A277" s="26" t="s">
        <v>5101</v>
      </c>
      <c r="B277" s="27" t="s">
        <v>5102</v>
      </c>
      <c r="C277" s="28">
        <v>1</v>
      </c>
      <c r="D277" s="29">
        <v>8</v>
      </c>
      <c r="E277" s="29">
        <v>8</v>
      </c>
      <c r="F277" s="30">
        <v>21.5</v>
      </c>
      <c r="G277" s="29">
        <v>21.5</v>
      </c>
      <c r="H277" s="28" t="s">
        <v>352</v>
      </c>
      <c r="I277" s="27" t="s">
        <v>4</v>
      </c>
      <c r="J277" s="31" t="s">
        <v>52</v>
      </c>
      <c r="K277" s="27" t="s">
        <v>70</v>
      </c>
      <c r="L277" s="27" t="s">
        <v>353</v>
      </c>
      <c r="M277" s="32" t="str">
        <f>HYPERLINK("http://slimages.macys.com/is/image/MCY/3799214 ")</f>
        <v xml:space="preserve">http://slimages.macys.com/is/image/MCY/3799214 </v>
      </c>
    </row>
    <row r="278" spans="1:13" ht="15.2" customHeight="1" x14ac:dyDescent="0.2">
      <c r="A278" s="26" t="s">
        <v>8319</v>
      </c>
      <c r="B278" s="27" t="s">
        <v>8320</v>
      </c>
      <c r="C278" s="28">
        <v>2</v>
      </c>
      <c r="D278" s="29">
        <v>8</v>
      </c>
      <c r="E278" s="29">
        <v>16</v>
      </c>
      <c r="F278" s="30">
        <v>19.989999999999998</v>
      </c>
      <c r="G278" s="29">
        <v>39.979999999999997</v>
      </c>
      <c r="H278" s="28" t="s">
        <v>1362</v>
      </c>
      <c r="I278" s="27" t="s">
        <v>22</v>
      </c>
      <c r="J278" s="31" t="s">
        <v>21</v>
      </c>
      <c r="K278" s="27" t="s">
        <v>224</v>
      </c>
      <c r="L278" s="27" t="s">
        <v>276</v>
      </c>
      <c r="M278" s="32" t="str">
        <f>HYPERLINK("http://slimages.macys.com/is/image/MCY/3814584 ")</f>
        <v xml:space="preserve">http://slimages.macys.com/is/image/MCY/3814584 </v>
      </c>
    </row>
    <row r="279" spans="1:13" ht="15.2" customHeight="1" x14ac:dyDescent="0.2">
      <c r="A279" s="26" t="s">
        <v>354</v>
      </c>
      <c r="B279" s="27" t="s">
        <v>355</v>
      </c>
      <c r="C279" s="28">
        <v>1</v>
      </c>
      <c r="D279" s="29">
        <v>8</v>
      </c>
      <c r="E279" s="29">
        <v>8</v>
      </c>
      <c r="F279" s="30">
        <v>19.989999999999998</v>
      </c>
      <c r="G279" s="29">
        <v>19.989999999999998</v>
      </c>
      <c r="H279" s="28" t="s">
        <v>356</v>
      </c>
      <c r="I279" s="27" t="s">
        <v>357</v>
      </c>
      <c r="J279" s="31" t="s">
        <v>71</v>
      </c>
      <c r="K279" s="27" t="s">
        <v>282</v>
      </c>
      <c r="L279" s="27" t="s">
        <v>358</v>
      </c>
      <c r="M279" s="32" t="str">
        <f>HYPERLINK("http://slimages.macys.com/is/image/MCY/3931073 ")</f>
        <v xml:space="preserve">http://slimages.macys.com/is/image/MCY/3931073 </v>
      </c>
    </row>
    <row r="280" spans="1:13" ht="15.2" customHeight="1" x14ac:dyDescent="0.2">
      <c r="A280" s="26" t="s">
        <v>9931</v>
      </c>
      <c r="B280" s="27" t="s">
        <v>9932</v>
      </c>
      <c r="C280" s="28">
        <v>1</v>
      </c>
      <c r="D280" s="29">
        <v>7.85</v>
      </c>
      <c r="E280" s="29">
        <v>7.85</v>
      </c>
      <c r="F280" s="30">
        <v>27.99</v>
      </c>
      <c r="G280" s="29">
        <v>27.99</v>
      </c>
      <c r="H280" s="28" t="s">
        <v>1419</v>
      </c>
      <c r="I280" s="27" t="s">
        <v>274</v>
      </c>
      <c r="J280" s="31" t="s">
        <v>52</v>
      </c>
      <c r="K280" s="27" t="s">
        <v>224</v>
      </c>
      <c r="L280" s="27" t="s">
        <v>260</v>
      </c>
      <c r="M280" s="32" t="str">
        <f>HYPERLINK("http://slimages.macys.com/is/image/MCY/3798032 ")</f>
        <v xml:space="preserve">http://slimages.macys.com/is/image/MCY/3798032 </v>
      </c>
    </row>
    <row r="281" spans="1:13" ht="15.2" customHeight="1" x14ac:dyDescent="0.2">
      <c r="A281" s="26" t="s">
        <v>9665</v>
      </c>
      <c r="B281" s="27" t="s">
        <v>9666</v>
      </c>
      <c r="C281" s="28">
        <v>1</v>
      </c>
      <c r="D281" s="29">
        <v>7.85</v>
      </c>
      <c r="E281" s="29">
        <v>7.85</v>
      </c>
      <c r="F281" s="30">
        <v>27.99</v>
      </c>
      <c r="G281" s="29">
        <v>27.99</v>
      </c>
      <c r="H281" s="28" t="s">
        <v>1419</v>
      </c>
      <c r="I281" s="27" t="s">
        <v>144</v>
      </c>
      <c r="J281" s="31" t="s">
        <v>40</v>
      </c>
      <c r="K281" s="27" t="s">
        <v>224</v>
      </c>
      <c r="L281" s="27" t="s">
        <v>260</v>
      </c>
      <c r="M281" s="32" t="str">
        <f>HYPERLINK("http://slimages.macys.com/is/image/MCY/3798032 ")</f>
        <v xml:space="preserve">http://slimages.macys.com/is/image/MCY/3798032 </v>
      </c>
    </row>
    <row r="282" spans="1:13" ht="15.2" customHeight="1" x14ac:dyDescent="0.2">
      <c r="A282" s="26" t="s">
        <v>4490</v>
      </c>
      <c r="B282" s="27" t="s">
        <v>4491</v>
      </c>
      <c r="C282" s="28">
        <v>1</v>
      </c>
      <c r="D282" s="29">
        <v>7.85</v>
      </c>
      <c r="E282" s="29">
        <v>7.85</v>
      </c>
      <c r="F282" s="30">
        <v>24.99</v>
      </c>
      <c r="G282" s="29">
        <v>24.99</v>
      </c>
      <c r="H282" s="28" t="s">
        <v>367</v>
      </c>
      <c r="I282" s="27" t="s">
        <v>26</v>
      </c>
      <c r="J282" s="31" t="s">
        <v>5</v>
      </c>
      <c r="K282" s="27" t="s">
        <v>224</v>
      </c>
      <c r="L282" s="27" t="s">
        <v>260</v>
      </c>
      <c r="M282" s="32" t="str">
        <f>HYPERLINK("http://slimages.macys.com/is/image/MCY/3853703 ")</f>
        <v xml:space="preserve">http://slimages.macys.com/is/image/MCY/3853703 </v>
      </c>
    </row>
    <row r="283" spans="1:13" ht="15.2" customHeight="1" x14ac:dyDescent="0.2">
      <c r="A283" s="26" t="s">
        <v>9823</v>
      </c>
      <c r="B283" s="27" t="s">
        <v>9824</v>
      </c>
      <c r="C283" s="28">
        <v>2</v>
      </c>
      <c r="D283" s="29">
        <v>7.85</v>
      </c>
      <c r="E283" s="29">
        <v>15.7</v>
      </c>
      <c r="F283" s="30">
        <v>27.99</v>
      </c>
      <c r="G283" s="29">
        <v>55.98</v>
      </c>
      <c r="H283" s="28" t="s">
        <v>1419</v>
      </c>
      <c r="I283" s="27" t="s">
        <v>144</v>
      </c>
      <c r="J283" s="31" t="s">
        <v>21</v>
      </c>
      <c r="K283" s="27" t="s">
        <v>224</v>
      </c>
      <c r="L283" s="27" t="s">
        <v>260</v>
      </c>
      <c r="M283" s="32" t="str">
        <f>HYPERLINK("http://slimages.macys.com/is/image/MCY/3798032 ")</f>
        <v xml:space="preserve">http://slimages.macys.com/is/image/MCY/3798032 </v>
      </c>
    </row>
    <row r="284" spans="1:13" ht="15.2" customHeight="1" x14ac:dyDescent="0.2">
      <c r="A284" s="26" t="s">
        <v>11212</v>
      </c>
      <c r="B284" s="27" t="s">
        <v>11213</v>
      </c>
      <c r="C284" s="28">
        <v>1</v>
      </c>
      <c r="D284" s="29">
        <v>7.85</v>
      </c>
      <c r="E284" s="29">
        <v>7.85</v>
      </c>
      <c r="F284" s="30">
        <v>27.99</v>
      </c>
      <c r="G284" s="29">
        <v>27.99</v>
      </c>
      <c r="H284" s="28" t="s">
        <v>1419</v>
      </c>
      <c r="I284" s="27" t="s">
        <v>26</v>
      </c>
      <c r="J284" s="31" t="s">
        <v>52</v>
      </c>
      <c r="K284" s="27" t="s">
        <v>224</v>
      </c>
      <c r="L284" s="27" t="s">
        <v>260</v>
      </c>
      <c r="M284" s="32" t="str">
        <f>HYPERLINK("http://slimages.macys.com/is/image/MCY/3798032 ")</f>
        <v xml:space="preserve">http://slimages.macys.com/is/image/MCY/3798032 </v>
      </c>
    </row>
    <row r="285" spans="1:13" ht="15.2" customHeight="1" x14ac:dyDescent="0.2">
      <c r="A285" s="26" t="s">
        <v>11214</v>
      </c>
      <c r="B285" s="27" t="s">
        <v>11215</v>
      </c>
      <c r="C285" s="28">
        <v>1</v>
      </c>
      <c r="D285" s="29">
        <v>7.82</v>
      </c>
      <c r="E285" s="29">
        <v>7.82</v>
      </c>
      <c r="F285" s="30">
        <v>19.989999999999998</v>
      </c>
      <c r="G285" s="29">
        <v>19.989999999999998</v>
      </c>
      <c r="H285" s="28">
        <v>60450129</v>
      </c>
      <c r="I285" s="27" t="s">
        <v>238</v>
      </c>
      <c r="J285" s="31" t="s">
        <v>65</v>
      </c>
      <c r="K285" s="27" t="s">
        <v>208</v>
      </c>
      <c r="L285" s="27" t="s">
        <v>255</v>
      </c>
      <c r="M285" s="32" t="str">
        <f>HYPERLINK("http://slimages.macys.com/is/image/MCY/3954999 ")</f>
        <v xml:space="preserve">http://slimages.macys.com/is/image/MCY/3954999 </v>
      </c>
    </row>
    <row r="286" spans="1:13" ht="15.2" customHeight="1" x14ac:dyDescent="0.2">
      <c r="A286" s="26" t="s">
        <v>9827</v>
      </c>
      <c r="B286" s="27" t="s">
        <v>9828</v>
      </c>
      <c r="C286" s="28">
        <v>1</v>
      </c>
      <c r="D286" s="29">
        <v>7.8</v>
      </c>
      <c r="E286" s="29">
        <v>7.8</v>
      </c>
      <c r="F286" s="30">
        <v>19.989999999999998</v>
      </c>
      <c r="G286" s="29">
        <v>19.989999999999998</v>
      </c>
      <c r="H286" s="28" t="s">
        <v>1895</v>
      </c>
      <c r="I286" s="27" t="s">
        <v>144</v>
      </c>
      <c r="J286" s="31" t="s">
        <v>5</v>
      </c>
      <c r="K286" s="27" t="s">
        <v>196</v>
      </c>
      <c r="L286" s="27" t="s">
        <v>260</v>
      </c>
      <c r="M286" s="32" t="str">
        <f>HYPERLINK("http://slimages.macys.com/is/image/MCY/3798060 ")</f>
        <v xml:space="preserve">http://slimages.macys.com/is/image/MCY/3798060 </v>
      </c>
    </row>
    <row r="287" spans="1:13" ht="15.2" customHeight="1" x14ac:dyDescent="0.2">
      <c r="A287" s="26" t="s">
        <v>11216</v>
      </c>
      <c r="B287" s="27" t="s">
        <v>11217</v>
      </c>
      <c r="C287" s="28">
        <v>1</v>
      </c>
      <c r="D287" s="29">
        <v>7.75</v>
      </c>
      <c r="E287" s="29">
        <v>7.75</v>
      </c>
      <c r="F287" s="30">
        <v>19.989999999999998</v>
      </c>
      <c r="G287" s="29">
        <v>19.989999999999998</v>
      </c>
      <c r="H287" s="28">
        <v>60433004</v>
      </c>
      <c r="I287" s="27" t="s">
        <v>82</v>
      </c>
      <c r="J287" s="31" t="s">
        <v>40</v>
      </c>
      <c r="K287" s="27" t="s">
        <v>208</v>
      </c>
      <c r="L287" s="27" t="s">
        <v>255</v>
      </c>
      <c r="M287" s="32" t="str">
        <f>HYPERLINK("http://slimages.macys.com/is/image/MCY/3580365 ")</f>
        <v xml:space="preserve">http://slimages.macys.com/is/image/MCY/3580365 </v>
      </c>
    </row>
    <row r="288" spans="1:13" ht="15.2" customHeight="1" x14ac:dyDescent="0.2">
      <c r="A288" s="26" t="s">
        <v>2335</v>
      </c>
      <c r="B288" s="27" t="s">
        <v>2336</v>
      </c>
      <c r="C288" s="28">
        <v>1</v>
      </c>
      <c r="D288" s="29">
        <v>7.63</v>
      </c>
      <c r="E288" s="29">
        <v>7.63</v>
      </c>
      <c r="F288" s="30">
        <v>22.5</v>
      </c>
      <c r="G288" s="29">
        <v>22.5</v>
      </c>
      <c r="H288" s="28" t="s">
        <v>2334</v>
      </c>
      <c r="I288" s="27" t="s">
        <v>4</v>
      </c>
      <c r="J288" s="31" t="s">
        <v>52</v>
      </c>
      <c r="K288" s="27" t="s">
        <v>53</v>
      </c>
      <c r="L288" s="27" t="s">
        <v>372</v>
      </c>
      <c r="M288" s="32" t="str">
        <f>HYPERLINK("http://slimages.macys.com/is/image/MCY/2217105 ")</f>
        <v xml:space="preserve">http://slimages.macys.com/is/image/MCY/2217105 </v>
      </c>
    </row>
    <row r="289" spans="1:13" ht="15.2" customHeight="1" x14ac:dyDescent="0.2">
      <c r="A289" s="26" t="s">
        <v>861</v>
      </c>
      <c r="B289" s="27" t="s">
        <v>862</v>
      </c>
      <c r="C289" s="28">
        <v>1</v>
      </c>
      <c r="D289" s="29">
        <v>7.5</v>
      </c>
      <c r="E289" s="29">
        <v>7.5</v>
      </c>
      <c r="F289" s="30">
        <v>16.989999999999998</v>
      </c>
      <c r="G289" s="29">
        <v>16.989999999999998</v>
      </c>
      <c r="H289" s="28">
        <v>60444415</v>
      </c>
      <c r="I289" s="27" t="s">
        <v>280</v>
      </c>
      <c r="J289" s="31" t="s">
        <v>71</v>
      </c>
      <c r="K289" s="27" t="s">
        <v>208</v>
      </c>
      <c r="L289" s="27" t="s">
        <v>255</v>
      </c>
      <c r="M289" s="32" t="str">
        <f>HYPERLINK("http://slimages.macys.com/is/image/MCY/3832168 ")</f>
        <v xml:space="preserve">http://slimages.macys.com/is/image/MCY/3832168 </v>
      </c>
    </row>
    <row r="290" spans="1:13" ht="15.2" customHeight="1" x14ac:dyDescent="0.2">
      <c r="A290" s="26" t="s">
        <v>5461</v>
      </c>
      <c r="B290" s="27" t="s">
        <v>5462</v>
      </c>
      <c r="C290" s="28">
        <v>1</v>
      </c>
      <c r="D290" s="29">
        <v>7.5</v>
      </c>
      <c r="E290" s="29">
        <v>7.5</v>
      </c>
      <c r="F290" s="30">
        <v>24.98</v>
      </c>
      <c r="G290" s="29">
        <v>24.98</v>
      </c>
      <c r="H290" s="28">
        <v>4068866</v>
      </c>
      <c r="I290" s="27" t="s">
        <v>59</v>
      </c>
      <c r="J290" s="31" t="s">
        <v>205</v>
      </c>
      <c r="K290" s="27" t="s">
        <v>154</v>
      </c>
      <c r="L290" s="27" t="s">
        <v>155</v>
      </c>
      <c r="M290" s="32" t="str">
        <f>HYPERLINK("http://slimages.macys.com/is/image/MCY/1942084 ")</f>
        <v xml:space="preserve">http://slimages.macys.com/is/image/MCY/1942084 </v>
      </c>
    </row>
    <row r="291" spans="1:13" ht="15.2" customHeight="1" x14ac:dyDescent="0.2">
      <c r="A291" s="26" t="s">
        <v>11218</v>
      </c>
      <c r="B291" s="27" t="s">
        <v>11219</v>
      </c>
      <c r="C291" s="28">
        <v>1</v>
      </c>
      <c r="D291" s="29">
        <v>7.5</v>
      </c>
      <c r="E291" s="29">
        <v>7.5</v>
      </c>
      <c r="F291" s="30">
        <v>19.989999999999998</v>
      </c>
      <c r="G291" s="29">
        <v>19.989999999999998</v>
      </c>
      <c r="H291" s="28" t="s">
        <v>9935</v>
      </c>
      <c r="I291" s="27" t="s">
        <v>1280</v>
      </c>
      <c r="J291" s="31" t="s">
        <v>40</v>
      </c>
      <c r="K291" s="27" t="s">
        <v>196</v>
      </c>
      <c r="L291" s="27" t="s">
        <v>239</v>
      </c>
      <c r="M291" s="32" t="str">
        <f>HYPERLINK("http://slimages.macys.com/is/image/MCY/3775248 ")</f>
        <v xml:space="preserve">http://slimages.macys.com/is/image/MCY/3775248 </v>
      </c>
    </row>
    <row r="292" spans="1:13" ht="15.2" customHeight="1" x14ac:dyDescent="0.2">
      <c r="A292" s="26" t="s">
        <v>11220</v>
      </c>
      <c r="B292" s="27" t="s">
        <v>11221</v>
      </c>
      <c r="C292" s="28">
        <v>1</v>
      </c>
      <c r="D292" s="29">
        <v>7.5</v>
      </c>
      <c r="E292" s="29">
        <v>7.5</v>
      </c>
      <c r="F292" s="30">
        <v>19.989999999999998</v>
      </c>
      <c r="G292" s="29">
        <v>19.989999999999998</v>
      </c>
      <c r="H292" s="28" t="s">
        <v>7427</v>
      </c>
      <c r="I292" s="27" t="s">
        <v>377</v>
      </c>
      <c r="J292" s="31" t="s">
        <v>40</v>
      </c>
      <c r="K292" s="27" t="s">
        <v>196</v>
      </c>
      <c r="L292" s="27" t="s">
        <v>225</v>
      </c>
      <c r="M292" s="32" t="str">
        <f>HYPERLINK("http://slimages.macys.com/is/image/MCY/3623290 ")</f>
        <v xml:space="preserve">http://slimages.macys.com/is/image/MCY/3623290 </v>
      </c>
    </row>
    <row r="293" spans="1:13" ht="15.2" customHeight="1" x14ac:dyDescent="0.2">
      <c r="A293" s="26" t="s">
        <v>9933</v>
      </c>
      <c r="B293" s="27" t="s">
        <v>9934</v>
      </c>
      <c r="C293" s="28">
        <v>1</v>
      </c>
      <c r="D293" s="29">
        <v>7.5</v>
      </c>
      <c r="E293" s="29">
        <v>7.5</v>
      </c>
      <c r="F293" s="30">
        <v>19.989999999999998</v>
      </c>
      <c r="G293" s="29">
        <v>19.989999999999998</v>
      </c>
      <c r="H293" s="28" t="s">
        <v>1433</v>
      </c>
      <c r="I293" s="27" t="s">
        <v>690</v>
      </c>
      <c r="J293" s="31" t="s">
        <v>21</v>
      </c>
      <c r="K293" s="27" t="s">
        <v>196</v>
      </c>
      <c r="L293" s="27" t="s">
        <v>336</v>
      </c>
      <c r="M293" s="32" t="str">
        <f>HYPERLINK("http://slimages.macys.com/is/image/MCY/3821001 ")</f>
        <v xml:space="preserve">http://slimages.macys.com/is/image/MCY/3821001 </v>
      </c>
    </row>
    <row r="294" spans="1:13" ht="15.2" customHeight="1" x14ac:dyDescent="0.2">
      <c r="A294" s="26" t="s">
        <v>11222</v>
      </c>
      <c r="B294" s="27" t="s">
        <v>11223</v>
      </c>
      <c r="C294" s="28">
        <v>1</v>
      </c>
      <c r="D294" s="29">
        <v>7.25</v>
      </c>
      <c r="E294" s="29">
        <v>7.25</v>
      </c>
      <c r="F294" s="30">
        <v>19.989999999999998</v>
      </c>
      <c r="G294" s="29">
        <v>19.989999999999998</v>
      </c>
      <c r="H294" s="28" t="s">
        <v>375</v>
      </c>
      <c r="I294" s="27" t="s">
        <v>59</v>
      </c>
      <c r="J294" s="31" t="s">
        <v>40</v>
      </c>
      <c r="K294" s="27" t="s">
        <v>196</v>
      </c>
      <c r="L294" s="27" t="s">
        <v>256</v>
      </c>
      <c r="M294" s="32" t="str">
        <f>HYPERLINK("http://slimages.macys.com/is/image/MCY/3487022 ")</f>
        <v xml:space="preserve">http://slimages.macys.com/is/image/MCY/3487022 </v>
      </c>
    </row>
    <row r="295" spans="1:13" ht="15.2" customHeight="1" x14ac:dyDescent="0.2">
      <c r="A295" s="26" t="s">
        <v>5465</v>
      </c>
      <c r="B295" s="27" t="s">
        <v>5466</v>
      </c>
      <c r="C295" s="28">
        <v>1</v>
      </c>
      <c r="D295" s="29">
        <v>7.2</v>
      </c>
      <c r="E295" s="29">
        <v>7.2</v>
      </c>
      <c r="F295" s="30">
        <v>19.989999999999998</v>
      </c>
      <c r="G295" s="29">
        <v>19.989999999999998</v>
      </c>
      <c r="H295" s="28" t="s">
        <v>2354</v>
      </c>
      <c r="I295" s="27" t="s">
        <v>4</v>
      </c>
      <c r="J295" s="31" t="s">
        <v>52</v>
      </c>
      <c r="K295" s="27" t="s">
        <v>282</v>
      </c>
      <c r="L295" s="27" t="s">
        <v>349</v>
      </c>
      <c r="M295" s="32" t="str">
        <f>HYPERLINK("http://slimages.macys.com/is/image/MCY/3799633 ")</f>
        <v xml:space="preserve">http://slimages.macys.com/is/image/MCY/3799633 </v>
      </c>
    </row>
    <row r="296" spans="1:13" ht="15.2" customHeight="1" x14ac:dyDescent="0.2">
      <c r="A296" s="26" t="s">
        <v>7428</v>
      </c>
      <c r="B296" s="27" t="s">
        <v>7429</v>
      </c>
      <c r="C296" s="28">
        <v>2</v>
      </c>
      <c r="D296" s="29">
        <v>7.2</v>
      </c>
      <c r="E296" s="29">
        <v>14.4</v>
      </c>
      <c r="F296" s="30">
        <v>19.989999999999998</v>
      </c>
      <c r="G296" s="29">
        <v>39.979999999999997</v>
      </c>
      <c r="H296" s="28" t="s">
        <v>2354</v>
      </c>
      <c r="I296" s="27" t="s">
        <v>4</v>
      </c>
      <c r="J296" s="31" t="s">
        <v>21</v>
      </c>
      <c r="K296" s="27" t="s">
        <v>282</v>
      </c>
      <c r="L296" s="27" t="s">
        <v>349</v>
      </c>
      <c r="M296" s="32" t="str">
        <f>HYPERLINK("http://slimages.macys.com/is/image/MCY/3799633 ")</f>
        <v xml:space="preserve">http://slimages.macys.com/is/image/MCY/3799633 </v>
      </c>
    </row>
    <row r="297" spans="1:13" ht="15.2" customHeight="1" x14ac:dyDescent="0.2">
      <c r="A297" s="26" t="s">
        <v>9833</v>
      </c>
      <c r="B297" s="27" t="s">
        <v>9834</v>
      </c>
      <c r="C297" s="28">
        <v>1</v>
      </c>
      <c r="D297" s="29">
        <v>7.2</v>
      </c>
      <c r="E297" s="29">
        <v>7.2</v>
      </c>
      <c r="F297" s="30">
        <v>19.989999999999998</v>
      </c>
      <c r="G297" s="29">
        <v>19.989999999999998</v>
      </c>
      <c r="H297" s="28" t="s">
        <v>2354</v>
      </c>
      <c r="I297" s="27" t="s">
        <v>4</v>
      </c>
      <c r="J297" s="31" t="s">
        <v>71</v>
      </c>
      <c r="K297" s="27" t="s">
        <v>282</v>
      </c>
      <c r="L297" s="27" t="s">
        <v>349</v>
      </c>
      <c r="M297" s="32" t="str">
        <f>HYPERLINK("http://slimages.macys.com/is/image/MCY/3799633 ")</f>
        <v xml:space="preserve">http://slimages.macys.com/is/image/MCY/3799633 </v>
      </c>
    </row>
    <row r="298" spans="1:13" ht="15.2" customHeight="1" x14ac:dyDescent="0.2">
      <c r="A298" s="26" t="s">
        <v>2352</v>
      </c>
      <c r="B298" s="27" t="s">
        <v>2353</v>
      </c>
      <c r="C298" s="28">
        <v>1</v>
      </c>
      <c r="D298" s="29">
        <v>7.2</v>
      </c>
      <c r="E298" s="29">
        <v>7.2</v>
      </c>
      <c r="F298" s="30">
        <v>19.989999999999998</v>
      </c>
      <c r="G298" s="29">
        <v>19.989999999999998</v>
      </c>
      <c r="H298" s="28" t="s">
        <v>2354</v>
      </c>
      <c r="I298" s="27" t="s">
        <v>4</v>
      </c>
      <c r="J298" s="31" t="s">
        <v>40</v>
      </c>
      <c r="K298" s="27" t="s">
        <v>282</v>
      </c>
      <c r="L298" s="27" t="s">
        <v>349</v>
      </c>
      <c r="M298" s="32" t="str">
        <f>HYPERLINK("http://slimages.macys.com/is/image/MCY/3799633 ")</f>
        <v xml:space="preserve">http://slimages.macys.com/is/image/MCY/3799633 </v>
      </c>
    </row>
    <row r="299" spans="1:13" ht="15.2" customHeight="1" x14ac:dyDescent="0.2">
      <c r="A299" s="26" t="s">
        <v>7571</v>
      </c>
      <c r="B299" s="27" t="s">
        <v>7572</v>
      </c>
      <c r="C299" s="28">
        <v>1</v>
      </c>
      <c r="D299" s="29">
        <v>7</v>
      </c>
      <c r="E299" s="29">
        <v>7</v>
      </c>
      <c r="F299" s="30">
        <v>19.989999999999998</v>
      </c>
      <c r="G299" s="29">
        <v>19.989999999999998</v>
      </c>
      <c r="H299" s="28" t="s">
        <v>2987</v>
      </c>
      <c r="I299" s="27" t="s">
        <v>94</v>
      </c>
      <c r="J299" s="31" t="s">
        <v>52</v>
      </c>
      <c r="K299" s="27" t="s">
        <v>282</v>
      </c>
      <c r="L299" s="27" t="s">
        <v>358</v>
      </c>
      <c r="M299" s="32" t="str">
        <f>HYPERLINK("http://slimages.macys.com/is/image/MCY/3832156 ")</f>
        <v xml:space="preserve">http://slimages.macys.com/is/image/MCY/3832156 </v>
      </c>
    </row>
    <row r="300" spans="1:13" ht="15.2" customHeight="1" x14ac:dyDescent="0.2">
      <c r="A300" s="26" t="s">
        <v>5774</v>
      </c>
      <c r="B300" s="27" t="s">
        <v>5775</v>
      </c>
      <c r="C300" s="28">
        <v>4</v>
      </c>
      <c r="D300" s="29">
        <v>7</v>
      </c>
      <c r="E300" s="29">
        <v>28</v>
      </c>
      <c r="F300" s="30">
        <v>19.989999999999998</v>
      </c>
      <c r="G300" s="29">
        <v>79.959999999999994</v>
      </c>
      <c r="H300" s="28" t="s">
        <v>380</v>
      </c>
      <c r="I300" s="27" t="s">
        <v>39</v>
      </c>
      <c r="J300" s="31" t="s">
        <v>40</v>
      </c>
      <c r="K300" s="27" t="s">
        <v>196</v>
      </c>
      <c r="L300" s="27" t="s">
        <v>260</v>
      </c>
      <c r="M300" s="32" t="str">
        <f>HYPERLINK("http://slimages.macys.com/is/image/MCY/3910801 ")</f>
        <v xml:space="preserve">http://slimages.macys.com/is/image/MCY/3910801 </v>
      </c>
    </row>
    <row r="301" spans="1:13" ht="15.2" customHeight="1" x14ac:dyDescent="0.2">
      <c r="A301" s="26" t="s">
        <v>1910</v>
      </c>
      <c r="B301" s="27" t="s">
        <v>1911</v>
      </c>
      <c r="C301" s="28">
        <v>1</v>
      </c>
      <c r="D301" s="29">
        <v>7</v>
      </c>
      <c r="E301" s="29">
        <v>7</v>
      </c>
      <c r="F301" s="30">
        <v>19.989999999999998</v>
      </c>
      <c r="G301" s="29">
        <v>19.989999999999998</v>
      </c>
      <c r="H301" s="28" t="s">
        <v>1906</v>
      </c>
      <c r="I301" s="27" t="s">
        <v>280</v>
      </c>
      <c r="J301" s="31" t="s">
        <v>5</v>
      </c>
      <c r="K301" s="27" t="s">
        <v>282</v>
      </c>
      <c r="L301" s="27" t="s">
        <v>358</v>
      </c>
      <c r="M301" s="32" t="str">
        <f>HYPERLINK("http://slimages.macys.com/is/image/MCY/3773685 ")</f>
        <v xml:space="preserve">http://slimages.macys.com/is/image/MCY/3773685 </v>
      </c>
    </row>
    <row r="302" spans="1:13" ht="15.2" customHeight="1" x14ac:dyDescent="0.2">
      <c r="A302" s="26" t="s">
        <v>1914</v>
      </c>
      <c r="B302" s="27" t="s">
        <v>1915</v>
      </c>
      <c r="C302" s="28">
        <v>2</v>
      </c>
      <c r="D302" s="29">
        <v>7</v>
      </c>
      <c r="E302" s="29">
        <v>14</v>
      </c>
      <c r="F302" s="30">
        <v>19.989999999999998</v>
      </c>
      <c r="G302" s="29">
        <v>39.979999999999997</v>
      </c>
      <c r="H302" s="28" t="s">
        <v>380</v>
      </c>
      <c r="I302" s="27" t="s">
        <v>39</v>
      </c>
      <c r="J302" s="31" t="s">
        <v>52</v>
      </c>
      <c r="K302" s="27" t="s">
        <v>196</v>
      </c>
      <c r="L302" s="27" t="s">
        <v>260</v>
      </c>
      <c r="M302" s="32" t="str">
        <f>HYPERLINK("http://slimages.macys.com/is/image/MCY/3910801 ")</f>
        <v xml:space="preserve">http://slimages.macys.com/is/image/MCY/3910801 </v>
      </c>
    </row>
    <row r="303" spans="1:13" ht="15.2" customHeight="1" x14ac:dyDescent="0.2">
      <c r="A303" s="26" t="s">
        <v>865</v>
      </c>
      <c r="B303" s="27" t="s">
        <v>866</v>
      </c>
      <c r="C303" s="28">
        <v>2</v>
      </c>
      <c r="D303" s="29">
        <v>7</v>
      </c>
      <c r="E303" s="29">
        <v>14</v>
      </c>
      <c r="F303" s="30">
        <v>19.989999999999998</v>
      </c>
      <c r="G303" s="29">
        <v>39.979999999999997</v>
      </c>
      <c r="H303" s="28" t="s">
        <v>380</v>
      </c>
      <c r="I303" s="27" t="s">
        <v>39</v>
      </c>
      <c r="J303" s="31" t="s">
        <v>21</v>
      </c>
      <c r="K303" s="27" t="s">
        <v>196</v>
      </c>
      <c r="L303" s="27" t="s">
        <v>260</v>
      </c>
      <c r="M303" s="32" t="str">
        <f>HYPERLINK("http://slimages.macys.com/is/image/MCY/3910801 ")</f>
        <v xml:space="preserve">http://slimages.macys.com/is/image/MCY/3910801 </v>
      </c>
    </row>
    <row r="304" spans="1:13" ht="15.2" customHeight="1" x14ac:dyDescent="0.2">
      <c r="A304" s="26" t="s">
        <v>381</v>
      </c>
      <c r="B304" s="27" t="s">
        <v>382</v>
      </c>
      <c r="C304" s="28">
        <v>2</v>
      </c>
      <c r="D304" s="29">
        <v>7</v>
      </c>
      <c r="E304" s="29">
        <v>14</v>
      </c>
      <c r="F304" s="30">
        <v>19.989999999999998</v>
      </c>
      <c r="G304" s="29">
        <v>39.979999999999997</v>
      </c>
      <c r="H304" s="28" t="s">
        <v>380</v>
      </c>
      <c r="I304" s="27" t="s">
        <v>39</v>
      </c>
      <c r="J304" s="31" t="s">
        <v>5</v>
      </c>
      <c r="K304" s="27" t="s">
        <v>196</v>
      </c>
      <c r="L304" s="27" t="s">
        <v>260</v>
      </c>
      <c r="M304" s="32" t="str">
        <f>HYPERLINK("http://slimages.macys.com/is/image/MCY/3910801 ")</f>
        <v xml:space="preserve">http://slimages.macys.com/is/image/MCY/3910801 </v>
      </c>
    </row>
    <row r="305" spans="1:13" ht="15.2" customHeight="1" x14ac:dyDescent="0.2">
      <c r="A305" s="26" t="s">
        <v>11224</v>
      </c>
      <c r="B305" s="27" t="s">
        <v>11225</v>
      </c>
      <c r="C305" s="28">
        <v>1</v>
      </c>
      <c r="D305" s="29">
        <v>7</v>
      </c>
      <c r="E305" s="29">
        <v>7</v>
      </c>
      <c r="F305" s="30">
        <v>16.989999999999998</v>
      </c>
      <c r="G305" s="29">
        <v>16.989999999999998</v>
      </c>
      <c r="H305" s="28">
        <v>60444407</v>
      </c>
      <c r="I305" s="27" t="s">
        <v>82</v>
      </c>
      <c r="J305" s="31" t="s">
        <v>21</v>
      </c>
      <c r="K305" s="27" t="s">
        <v>208</v>
      </c>
      <c r="L305" s="27" t="s">
        <v>255</v>
      </c>
      <c r="M305" s="32" t="str">
        <f>HYPERLINK("http://slimages.macys.com/is/image/MCY/3820346 ")</f>
        <v xml:space="preserve">http://slimages.macys.com/is/image/MCY/3820346 </v>
      </c>
    </row>
    <row r="306" spans="1:13" ht="15.2" customHeight="1" x14ac:dyDescent="0.2">
      <c r="A306" s="26" t="s">
        <v>11226</v>
      </c>
      <c r="B306" s="27" t="s">
        <v>11227</v>
      </c>
      <c r="C306" s="28">
        <v>1</v>
      </c>
      <c r="D306" s="29">
        <v>6.85</v>
      </c>
      <c r="E306" s="29">
        <v>6.85</v>
      </c>
      <c r="F306" s="30">
        <v>13.99</v>
      </c>
      <c r="G306" s="29">
        <v>13.99</v>
      </c>
      <c r="H306" s="28" t="s">
        <v>1436</v>
      </c>
      <c r="I306" s="27" t="s">
        <v>36</v>
      </c>
      <c r="J306" s="31" t="s">
        <v>71</v>
      </c>
      <c r="K306" s="27" t="s">
        <v>282</v>
      </c>
      <c r="L306" s="27" t="s">
        <v>276</v>
      </c>
      <c r="M306" s="32" t="str">
        <f>HYPERLINK("http://slimages.macys.com/is/image/MCY/3820926 ")</f>
        <v xml:space="preserve">http://slimages.macys.com/is/image/MCY/3820926 </v>
      </c>
    </row>
    <row r="307" spans="1:13" ht="15.2" customHeight="1" x14ac:dyDescent="0.2">
      <c r="A307" s="26" t="s">
        <v>11228</v>
      </c>
      <c r="B307" s="27" t="s">
        <v>11229</v>
      </c>
      <c r="C307" s="28">
        <v>1</v>
      </c>
      <c r="D307" s="29">
        <v>6.75</v>
      </c>
      <c r="E307" s="29">
        <v>6.75</v>
      </c>
      <c r="F307" s="30">
        <v>13.99</v>
      </c>
      <c r="G307" s="29">
        <v>13.99</v>
      </c>
      <c r="H307" s="28" t="s">
        <v>1916</v>
      </c>
      <c r="I307" s="27" t="s">
        <v>36</v>
      </c>
      <c r="J307" s="31" t="s">
        <v>71</v>
      </c>
      <c r="K307" s="27" t="s">
        <v>282</v>
      </c>
      <c r="L307" s="27" t="s">
        <v>260</v>
      </c>
      <c r="M307" s="32" t="str">
        <f>HYPERLINK("http://slimages.macys.com/is/image/MCY/3561172 ")</f>
        <v xml:space="preserve">http://slimages.macys.com/is/image/MCY/3561172 </v>
      </c>
    </row>
    <row r="308" spans="1:13" ht="15.2" customHeight="1" x14ac:dyDescent="0.2">
      <c r="A308" s="26" t="s">
        <v>2363</v>
      </c>
      <c r="B308" s="27" t="s">
        <v>2364</v>
      </c>
      <c r="C308" s="28">
        <v>1</v>
      </c>
      <c r="D308" s="29">
        <v>6.61</v>
      </c>
      <c r="E308" s="29">
        <v>6.61</v>
      </c>
      <c r="F308" s="30">
        <v>14.99</v>
      </c>
      <c r="G308" s="29">
        <v>14.99</v>
      </c>
      <c r="H308" s="28" t="s">
        <v>2365</v>
      </c>
      <c r="I308" s="27" t="s">
        <v>127</v>
      </c>
      <c r="J308" s="31" t="s">
        <v>71</v>
      </c>
      <c r="K308" s="27" t="s">
        <v>159</v>
      </c>
      <c r="L308" s="27" t="s">
        <v>160</v>
      </c>
      <c r="M308" s="32" t="str">
        <f>HYPERLINK("http://slimages.macys.com/is/image/MCY/3593587 ")</f>
        <v xml:space="preserve">http://slimages.macys.com/is/image/MCY/3593587 </v>
      </c>
    </row>
    <row r="309" spans="1:13" ht="15.2" customHeight="1" x14ac:dyDescent="0.2">
      <c r="A309" s="26" t="s">
        <v>11230</v>
      </c>
      <c r="B309" s="27" t="s">
        <v>11231</v>
      </c>
      <c r="C309" s="28">
        <v>1</v>
      </c>
      <c r="D309" s="29">
        <v>6.5</v>
      </c>
      <c r="E309" s="29">
        <v>6.5</v>
      </c>
      <c r="F309" s="30">
        <v>13.99</v>
      </c>
      <c r="G309" s="29">
        <v>13.99</v>
      </c>
      <c r="H309" s="28" t="s">
        <v>2366</v>
      </c>
      <c r="I309" s="27" t="s">
        <v>33</v>
      </c>
      <c r="J309" s="31" t="s">
        <v>40</v>
      </c>
      <c r="K309" s="27" t="s">
        <v>282</v>
      </c>
      <c r="L309" s="27" t="s">
        <v>260</v>
      </c>
      <c r="M309" s="32" t="str">
        <f>HYPERLINK("http://slimages.macys.com/is/image/MCY/3642393 ")</f>
        <v xml:space="preserve">http://slimages.macys.com/is/image/MCY/3642393 </v>
      </c>
    </row>
    <row r="310" spans="1:13" ht="15.2" customHeight="1" x14ac:dyDescent="0.2">
      <c r="A310" s="26" t="s">
        <v>8703</v>
      </c>
      <c r="B310" s="27" t="s">
        <v>8704</v>
      </c>
      <c r="C310" s="28">
        <v>1</v>
      </c>
      <c r="D310" s="29">
        <v>6.5</v>
      </c>
      <c r="E310" s="29">
        <v>6.5</v>
      </c>
      <c r="F310" s="30">
        <v>12.99</v>
      </c>
      <c r="G310" s="29">
        <v>12.99</v>
      </c>
      <c r="H310" s="28" t="s">
        <v>7432</v>
      </c>
      <c r="I310" s="27" t="s">
        <v>82</v>
      </c>
      <c r="J310" s="31" t="s">
        <v>21</v>
      </c>
      <c r="K310" s="27" t="s">
        <v>282</v>
      </c>
      <c r="L310" s="27" t="s">
        <v>327</v>
      </c>
      <c r="M310" s="32" t="str">
        <f>HYPERLINK("http://slimages.macys.com/is/image/MCY/3652700 ")</f>
        <v xml:space="preserve">http://slimages.macys.com/is/image/MCY/3652700 </v>
      </c>
    </row>
    <row r="311" spans="1:13" ht="15.2" customHeight="1" x14ac:dyDescent="0.2">
      <c r="A311" s="26" t="s">
        <v>7789</v>
      </c>
      <c r="B311" s="27" t="s">
        <v>7790</v>
      </c>
      <c r="C311" s="28">
        <v>1</v>
      </c>
      <c r="D311" s="29">
        <v>6.5</v>
      </c>
      <c r="E311" s="29">
        <v>6.5</v>
      </c>
      <c r="F311" s="30">
        <v>12.99</v>
      </c>
      <c r="G311" s="29">
        <v>12.99</v>
      </c>
      <c r="H311" s="28" t="s">
        <v>7791</v>
      </c>
      <c r="I311" s="27" t="s">
        <v>189</v>
      </c>
      <c r="J311" s="31" t="s">
        <v>71</v>
      </c>
      <c r="K311" s="27" t="s">
        <v>282</v>
      </c>
      <c r="L311" s="27" t="s">
        <v>327</v>
      </c>
      <c r="M311" s="32" t="str">
        <f>HYPERLINK("http://slimages.macys.com/is/image/MCY/3915554 ")</f>
        <v xml:space="preserve">http://slimages.macys.com/is/image/MCY/3915554 </v>
      </c>
    </row>
    <row r="312" spans="1:13" ht="15.2" customHeight="1" x14ac:dyDescent="0.2">
      <c r="A312" s="26" t="s">
        <v>9287</v>
      </c>
      <c r="B312" s="27" t="s">
        <v>9288</v>
      </c>
      <c r="C312" s="28">
        <v>1</v>
      </c>
      <c r="D312" s="29">
        <v>6.5</v>
      </c>
      <c r="E312" s="29">
        <v>6.5</v>
      </c>
      <c r="F312" s="30">
        <v>12.99</v>
      </c>
      <c r="G312" s="29">
        <v>12.99</v>
      </c>
      <c r="H312" s="28" t="s">
        <v>7432</v>
      </c>
      <c r="I312" s="27" t="s">
        <v>82</v>
      </c>
      <c r="J312" s="31" t="s">
        <v>5</v>
      </c>
      <c r="K312" s="27" t="s">
        <v>282</v>
      </c>
      <c r="L312" s="27" t="s">
        <v>327</v>
      </c>
      <c r="M312" s="32" t="str">
        <f>HYPERLINK("http://slimages.macys.com/is/image/MCY/3652700 ")</f>
        <v xml:space="preserve">http://slimages.macys.com/is/image/MCY/3652700 </v>
      </c>
    </row>
    <row r="313" spans="1:13" ht="15.2" customHeight="1" x14ac:dyDescent="0.2">
      <c r="A313" s="26" t="s">
        <v>7116</v>
      </c>
      <c r="B313" s="27" t="s">
        <v>7117</v>
      </c>
      <c r="C313" s="28">
        <v>1</v>
      </c>
      <c r="D313" s="29">
        <v>6.5</v>
      </c>
      <c r="E313" s="29">
        <v>6.5</v>
      </c>
      <c r="F313" s="30">
        <v>12.99</v>
      </c>
      <c r="G313" s="29">
        <v>12.99</v>
      </c>
      <c r="H313" s="28" t="s">
        <v>5474</v>
      </c>
      <c r="I313" s="27" t="s">
        <v>189</v>
      </c>
      <c r="J313" s="31" t="s">
        <v>52</v>
      </c>
      <c r="K313" s="27" t="s">
        <v>282</v>
      </c>
      <c r="L313" s="27" t="s">
        <v>327</v>
      </c>
      <c r="M313" s="32" t="str">
        <f>HYPERLINK("http://slimages.macys.com/is/image/MCY/3773733 ")</f>
        <v xml:space="preserve">http://slimages.macys.com/is/image/MCY/3773733 </v>
      </c>
    </row>
    <row r="314" spans="1:13" ht="15.2" customHeight="1" x14ac:dyDescent="0.2">
      <c r="A314" s="26" t="s">
        <v>11232</v>
      </c>
      <c r="B314" s="27" t="s">
        <v>11233</v>
      </c>
      <c r="C314" s="28">
        <v>1</v>
      </c>
      <c r="D314" s="29">
        <v>6.4</v>
      </c>
      <c r="E314" s="29">
        <v>6.4</v>
      </c>
      <c r="F314" s="30">
        <v>13.99</v>
      </c>
      <c r="G314" s="29">
        <v>13.99</v>
      </c>
      <c r="H314" s="28" t="s">
        <v>394</v>
      </c>
      <c r="I314" s="27" t="s">
        <v>59</v>
      </c>
      <c r="J314" s="31" t="s">
        <v>52</v>
      </c>
      <c r="K314" s="27" t="s">
        <v>282</v>
      </c>
      <c r="L314" s="27" t="s">
        <v>312</v>
      </c>
      <c r="M314" s="32" t="str">
        <f>HYPERLINK("http://slimages.macys.com/is/image/MCY/3623277 ")</f>
        <v xml:space="preserve">http://slimages.macys.com/is/image/MCY/3623277 </v>
      </c>
    </row>
    <row r="315" spans="1:13" ht="15.2" customHeight="1" x14ac:dyDescent="0.2">
      <c r="A315" s="26" t="s">
        <v>1453</v>
      </c>
      <c r="B315" s="27" t="s">
        <v>1454</v>
      </c>
      <c r="C315" s="28">
        <v>1</v>
      </c>
      <c r="D315" s="29">
        <v>6.3</v>
      </c>
      <c r="E315" s="29">
        <v>6.3</v>
      </c>
      <c r="F315" s="30">
        <v>14.99</v>
      </c>
      <c r="G315" s="29">
        <v>14.99</v>
      </c>
      <c r="H315" s="28" t="s">
        <v>1455</v>
      </c>
      <c r="I315" s="27" t="s">
        <v>103</v>
      </c>
      <c r="J315" s="31" t="s">
        <v>71</v>
      </c>
      <c r="K315" s="27" t="s">
        <v>159</v>
      </c>
      <c r="L315" s="27" t="s">
        <v>160</v>
      </c>
      <c r="M315" s="32" t="str">
        <f>HYPERLINK("http://slimages.macys.com/is/image/MCY/3597272 ")</f>
        <v xml:space="preserve">http://slimages.macys.com/is/image/MCY/3597272 </v>
      </c>
    </row>
    <row r="316" spans="1:13" ht="15.2" customHeight="1" x14ac:dyDescent="0.2">
      <c r="A316" s="26" t="s">
        <v>11234</v>
      </c>
      <c r="B316" s="27" t="s">
        <v>11235</v>
      </c>
      <c r="C316" s="28">
        <v>1</v>
      </c>
      <c r="D316" s="29">
        <v>6.26</v>
      </c>
      <c r="E316" s="29">
        <v>6.26</v>
      </c>
      <c r="F316" s="30">
        <v>14.99</v>
      </c>
      <c r="G316" s="29">
        <v>14.99</v>
      </c>
      <c r="H316" s="28" t="s">
        <v>8848</v>
      </c>
      <c r="I316" s="27" t="s">
        <v>1</v>
      </c>
      <c r="J316" s="31" t="s">
        <v>40</v>
      </c>
      <c r="K316" s="27" t="s">
        <v>159</v>
      </c>
      <c r="L316" s="27" t="s">
        <v>160</v>
      </c>
      <c r="M316" s="32" t="str">
        <f>HYPERLINK("http://slimages.macys.com/is/image/MCY/3497163 ")</f>
        <v xml:space="preserve">http://slimages.macys.com/is/image/MCY/3497163 </v>
      </c>
    </row>
    <row r="317" spans="1:13" ht="15.2" customHeight="1" x14ac:dyDescent="0.2">
      <c r="A317" s="26" t="s">
        <v>1468</v>
      </c>
      <c r="B317" s="27" t="s">
        <v>1469</v>
      </c>
      <c r="C317" s="28">
        <v>1</v>
      </c>
      <c r="D317" s="29">
        <v>6.25</v>
      </c>
      <c r="E317" s="29">
        <v>6.25</v>
      </c>
      <c r="F317" s="30">
        <v>12.99</v>
      </c>
      <c r="G317" s="29">
        <v>12.99</v>
      </c>
      <c r="H317" s="28" t="s">
        <v>1470</v>
      </c>
      <c r="I317" s="27" t="s">
        <v>215</v>
      </c>
      <c r="J317" s="31" t="s">
        <v>52</v>
      </c>
      <c r="K317" s="27" t="s">
        <v>282</v>
      </c>
      <c r="L317" s="27" t="s">
        <v>283</v>
      </c>
      <c r="M317" s="32" t="str">
        <f>HYPERLINK("http://slimages.macys.com/is/image/MCY/3773406 ")</f>
        <v xml:space="preserve">http://slimages.macys.com/is/image/MCY/3773406 </v>
      </c>
    </row>
    <row r="318" spans="1:13" ht="15.2" customHeight="1" x14ac:dyDescent="0.2">
      <c r="A318" s="26" t="s">
        <v>11236</v>
      </c>
      <c r="B318" s="27" t="s">
        <v>11237</v>
      </c>
      <c r="C318" s="28">
        <v>1</v>
      </c>
      <c r="D318" s="29">
        <v>6.2</v>
      </c>
      <c r="E318" s="29">
        <v>6.2</v>
      </c>
      <c r="F318" s="30">
        <v>14.99</v>
      </c>
      <c r="G318" s="29">
        <v>14.99</v>
      </c>
      <c r="H318" s="28" t="s">
        <v>6048</v>
      </c>
      <c r="I318" s="27" t="s">
        <v>82</v>
      </c>
      <c r="J318" s="31" t="s">
        <v>52</v>
      </c>
      <c r="K318" s="27" t="s">
        <v>159</v>
      </c>
      <c r="L318" s="27" t="s">
        <v>160</v>
      </c>
      <c r="M318" s="32" t="str">
        <f>HYPERLINK("http://slimages.macys.com/is/image/MCY/3633013 ")</f>
        <v xml:space="preserve">http://slimages.macys.com/is/image/MCY/3633013 </v>
      </c>
    </row>
    <row r="319" spans="1:13" ht="15.2" customHeight="1" x14ac:dyDescent="0.2">
      <c r="A319" s="26" t="s">
        <v>7801</v>
      </c>
      <c r="B319" s="27" t="s">
        <v>7802</v>
      </c>
      <c r="C319" s="28">
        <v>1</v>
      </c>
      <c r="D319" s="29">
        <v>6</v>
      </c>
      <c r="E319" s="29">
        <v>6</v>
      </c>
      <c r="F319" s="30">
        <v>12.99</v>
      </c>
      <c r="G319" s="29">
        <v>12.99</v>
      </c>
      <c r="H319" s="28" t="s">
        <v>1492</v>
      </c>
      <c r="I319" s="27"/>
      <c r="J319" s="31" t="s">
        <v>5</v>
      </c>
      <c r="K319" s="27" t="s">
        <v>282</v>
      </c>
      <c r="L319" s="27" t="s">
        <v>327</v>
      </c>
      <c r="M319" s="32" t="str">
        <f>HYPERLINK("http://slimages.macys.com/is/image/MCY/3732844 ")</f>
        <v xml:space="preserve">http://slimages.macys.com/is/image/MCY/3732844 </v>
      </c>
    </row>
    <row r="320" spans="1:13" ht="15.2" customHeight="1" x14ac:dyDescent="0.2">
      <c r="A320" s="26" t="s">
        <v>11238</v>
      </c>
      <c r="B320" s="27" t="s">
        <v>11239</v>
      </c>
      <c r="C320" s="28">
        <v>1</v>
      </c>
      <c r="D320" s="29">
        <v>6</v>
      </c>
      <c r="E320" s="29">
        <v>6</v>
      </c>
      <c r="F320" s="30">
        <v>13.99</v>
      </c>
      <c r="G320" s="29">
        <v>13.99</v>
      </c>
      <c r="H320" s="28" t="s">
        <v>8225</v>
      </c>
      <c r="I320" s="27" t="s">
        <v>4</v>
      </c>
      <c r="J320" s="31" t="s">
        <v>71</v>
      </c>
      <c r="K320" s="27" t="s">
        <v>282</v>
      </c>
      <c r="L320" s="27" t="s">
        <v>312</v>
      </c>
      <c r="M320" s="32" t="str">
        <f>HYPERLINK("http://slimages.macys.com/is/image/MCY/3796842 ")</f>
        <v xml:space="preserve">http://slimages.macys.com/is/image/MCY/3796842 </v>
      </c>
    </row>
    <row r="321" spans="1:13" ht="15.2" customHeight="1" x14ac:dyDescent="0.2">
      <c r="A321" s="26" t="s">
        <v>9711</v>
      </c>
      <c r="B321" s="27" t="s">
        <v>9712</v>
      </c>
      <c r="C321" s="28">
        <v>1</v>
      </c>
      <c r="D321" s="29">
        <v>6</v>
      </c>
      <c r="E321" s="29">
        <v>6</v>
      </c>
      <c r="F321" s="30">
        <v>12.99</v>
      </c>
      <c r="G321" s="29">
        <v>12.99</v>
      </c>
      <c r="H321" s="28" t="s">
        <v>8330</v>
      </c>
      <c r="I321" s="27"/>
      <c r="J321" s="31" t="s">
        <v>5</v>
      </c>
      <c r="K321" s="27" t="s">
        <v>282</v>
      </c>
      <c r="L321" s="27" t="s">
        <v>327</v>
      </c>
      <c r="M321" s="32" t="str">
        <f>HYPERLINK("http://slimages.macys.com/is/image/MCY/3687795 ")</f>
        <v xml:space="preserve">http://slimages.macys.com/is/image/MCY/3687795 </v>
      </c>
    </row>
    <row r="322" spans="1:13" ht="15.2" customHeight="1" x14ac:dyDescent="0.2">
      <c r="A322" s="26" t="s">
        <v>1490</v>
      </c>
      <c r="B322" s="27" t="s">
        <v>1491</v>
      </c>
      <c r="C322" s="28">
        <v>2</v>
      </c>
      <c r="D322" s="29">
        <v>6</v>
      </c>
      <c r="E322" s="29">
        <v>12</v>
      </c>
      <c r="F322" s="30">
        <v>12.99</v>
      </c>
      <c r="G322" s="29">
        <v>25.98</v>
      </c>
      <c r="H322" s="28" t="s">
        <v>1487</v>
      </c>
      <c r="I322" s="27" t="s">
        <v>271</v>
      </c>
      <c r="J322" s="31" t="s">
        <v>52</v>
      </c>
      <c r="K322" s="27" t="s">
        <v>282</v>
      </c>
      <c r="L322" s="27" t="s">
        <v>327</v>
      </c>
      <c r="M322" s="32" t="str">
        <f>HYPERLINK("http://slimages.macys.com/is/image/MCY/3832160 ")</f>
        <v xml:space="preserve">http://slimages.macys.com/is/image/MCY/3832160 </v>
      </c>
    </row>
    <row r="323" spans="1:13" ht="15.2" customHeight="1" x14ac:dyDescent="0.2">
      <c r="A323" s="26" t="s">
        <v>2699</v>
      </c>
      <c r="B323" s="27" t="s">
        <v>2700</v>
      </c>
      <c r="C323" s="28">
        <v>1</v>
      </c>
      <c r="D323" s="29">
        <v>6</v>
      </c>
      <c r="E323" s="29">
        <v>6</v>
      </c>
      <c r="F323" s="30">
        <v>12.99</v>
      </c>
      <c r="G323" s="29">
        <v>12.99</v>
      </c>
      <c r="H323" s="28" t="s">
        <v>2701</v>
      </c>
      <c r="I323" s="27" t="s">
        <v>189</v>
      </c>
      <c r="J323" s="31" t="s">
        <v>40</v>
      </c>
      <c r="K323" s="27" t="s">
        <v>282</v>
      </c>
      <c r="L323" s="27" t="s">
        <v>327</v>
      </c>
      <c r="M323" s="32" t="str">
        <f>HYPERLINK("http://slimages.macys.com/is/image/MCY/3732823 ")</f>
        <v xml:space="preserve">http://slimages.macys.com/is/image/MCY/3732823 </v>
      </c>
    </row>
    <row r="324" spans="1:13" ht="15.2" customHeight="1" x14ac:dyDescent="0.2">
      <c r="A324" s="26" t="s">
        <v>8561</v>
      </c>
      <c r="B324" s="27" t="s">
        <v>8562</v>
      </c>
      <c r="C324" s="28">
        <v>1</v>
      </c>
      <c r="D324" s="29">
        <v>6</v>
      </c>
      <c r="E324" s="29">
        <v>6</v>
      </c>
      <c r="F324" s="30">
        <v>12.99</v>
      </c>
      <c r="G324" s="29">
        <v>12.99</v>
      </c>
      <c r="H324" s="28" t="s">
        <v>2701</v>
      </c>
      <c r="I324" s="27" t="s">
        <v>189</v>
      </c>
      <c r="J324" s="31" t="s">
        <v>5</v>
      </c>
      <c r="K324" s="27" t="s">
        <v>282</v>
      </c>
      <c r="L324" s="27" t="s">
        <v>327</v>
      </c>
      <c r="M324" s="32" t="str">
        <f>HYPERLINK("http://slimages.macys.com/is/image/MCY/3732823 ")</f>
        <v xml:space="preserve">http://slimages.macys.com/is/image/MCY/3732823 </v>
      </c>
    </row>
    <row r="325" spans="1:13" ht="15.2" customHeight="1" x14ac:dyDescent="0.2">
      <c r="A325" s="26" t="s">
        <v>11240</v>
      </c>
      <c r="B325" s="27" t="s">
        <v>11241</v>
      </c>
      <c r="C325" s="28">
        <v>1</v>
      </c>
      <c r="D325" s="29">
        <v>6</v>
      </c>
      <c r="E325" s="29">
        <v>6</v>
      </c>
      <c r="F325" s="30">
        <v>12.99</v>
      </c>
      <c r="G325" s="29">
        <v>12.99</v>
      </c>
      <c r="H325" s="28" t="s">
        <v>8331</v>
      </c>
      <c r="I325" s="27" t="s">
        <v>1311</v>
      </c>
      <c r="J325" s="31" t="s">
        <v>71</v>
      </c>
      <c r="K325" s="27" t="s">
        <v>282</v>
      </c>
      <c r="L325" s="27" t="s">
        <v>327</v>
      </c>
      <c r="M325" s="32" t="str">
        <f>HYPERLINK("http://slimages.macys.com/is/image/MCY/3853624 ")</f>
        <v xml:space="preserve">http://slimages.macys.com/is/image/MCY/3853624 </v>
      </c>
    </row>
    <row r="326" spans="1:13" ht="15.2" customHeight="1" x14ac:dyDescent="0.2">
      <c r="A326" s="26" t="s">
        <v>11242</v>
      </c>
      <c r="B326" s="27" t="s">
        <v>11243</v>
      </c>
      <c r="C326" s="28">
        <v>1</v>
      </c>
      <c r="D326" s="29">
        <v>6</v>
      </c>
      <c r="E326" s="29">
        <v>6</v>
      </c>
      <c r="F326" s="30">
        <v>16.989999999999998</v>
      </c>
      <c r="G326" s="29">
        <v>16.989999999999998</v>
      </c>
      <c r="H326" s="28" t="s">
        <v>7158</v>
      </c>
      <c r="I326" s="27" t="s">
        <v>248</v>
      </c>
      <c r="J326" s="31" t="s">
        <v>5</v>
      </c>
      <c r="K326" s="27" t="s">
        <v>200</v>
      </c>
      <c r="L326" s="27" t="s">
        <v>5450</v>
      </c>
      <c r="M326" s="32" t="str">
        <f>HYPERLINK("http://slimages.macys.com/is/image/MCY/3796857 ")</f>
        <v xml:space="preserve">http://slimages.macys.com/is/image/MCY/3796857 </v>
      </c>
    </row>
    <row r="327" spans="1:13" ht="15.2" customHeight="1" x14ac:dyDescent="0.2">
      <c r="A327" s="26" t="s">
        <v>1505</v>
      </c>
      <c r="B327" s="27" t="s">
        <v>1506</v>
      </c>
      <c r="C327" s="28">
        <v>1</v>
      </c>
      <c r="D327" s="29">
        <v>6</v>
      </c>
      <c r="E327" s="29">
        <v>6</v>
      </c>
      <c r="F327" s="30">
        <v>12.99</v>
      </c>
      <c r="G327" s="29">
        <v>12.99</v>
      </c>
      <c r="H327" s="28" t="s">
        <v>1499</v>
      </c>
      <c r="I327" s="27" t="s">
        <v>59</v>
      </c>
      <c r="J327" s="31" t="s">
        <v>5</v>
      </c>
      <c r="K327" s="27" t="s">
        <v>282</v>
      </c>
      <c r="L327" s="27" t="s">
        <v>225</v>
      </c>
      <c r="M327" s="32" t="str">
        <f>HYPERLINK("http://slimages.macys.com/is/image/MCY/3738892 ")</f>
        <v xml:space="preserve">http://slimages.macys.com/is/image/MCY/3738892 </v>
      </c>
    </row>
    <row r="328" spans="1:13" ht="15.2" customHeight="1" x14ac:dyDescent="0.2">
      <c r="A328" s="26" t="s">
        <v>1495</v>
      </c>
      <c r="B328" s="27" t="s">
        <v>1496</v>
      </c>
      <c r="C328" s="28">
        <v>2</v>
      </c>
      <c r="D328" s="29">
        <v>6</v>
      </c>
      <c r="E328" s="29">
        <v>12</v>
      </c>
      <c r="F328" s="30">
        <v>12.99</v>
      </c>
      <c r="G328" s="29">
        <v>25.98</v>
      </c>
      <c r="H328" s="28" t="s">
        <v>1487</v>
      </c>
      <c r="I328" s="27" t="s">
        <v>271</v>
      </c>
      <c r="J328" s="31" t="s">
        <v>71</v>
      </c>
      <c r="K328" s="27" t="s">
        <v>282</v>
      </c>
      <c r="L328" s="27" t="s">
        <v>327</v>
      </c>
      <c r="M328" s="32" t="str">
        <f>HYPERLINK("http://slimages.macys.com/is/image/MCY/3832160 ")</f>
        <v xml:space="preserve">http://slimages.macys.com/is/image/MCY/3832160 </v>
      </c>
    </row>
    <row r="329" spans="1:13" ht="15.2" customHeight="1" x14ac:dyDescent="0.2">
      <c r="A329" s="26" t="s">
        <v>1500</v>
      </c>
      <c r="B329" s="27" t="s">
        <v>1501</v>
      </c>
      <c r="C329" s="28">
        <v>1</v>
      </c>
      <c r="D329" s="29">
        <v>6</v>
      </c>
      <c r="E329" s="29">
        <v>6</v>
      </c>
      <c r="F329" s="30">
        <v>12.99</v>
      </c>
      <c r="G329" s="29">
        <v>12.99</v>
      </c>
      <c r="H329" s="28" t="s">
        <v>1499</v>
      </c>
      <c r="I329" s="27" t="s">
        <v>59</v>
      </c>
      <c r="J329" s="31" t="s">
        <v>52</v>
      </c>
      <c r="K329" s="27" t="s">
        <v>282</v>
      </c>
      <c r="L329" s="27" t="s">
        <v>225</v>
      </c>
      <c r="M329" s="32" t="str">
        <f>HYPERLINK("http://slimages.macys.com/is/image/MCY/3738892 ")</f>
        <v xml:space="preserve">http://slimages.macys.com/is/image/MCY/3738892 </v>
      </c>
    </row>
    <row r="330" spans="1:13" ht="15.2" customHeight="1" x14ac:dyDescent="0.2">
      <c r="A330" s="26" t="s">
        <v>1497</v>
      </c>
      <c r="B330" s="27" t="s">
        <v>1498</v>
      </c>
      <c r="C330" s="28">
        <v>1</v>
      </c>
      <c r="D330" s="29">
        <v>6</v>
      </c>
      <c r="E330" s="29">
        <v>6</v>
      </c>
      <c r="F330" s="30">
        <v>12.99</v>
      </c>
      <c r="G330" s="29">
        <v>12.99</v>
      </c>
      <c r="H330" s="28" t="s">
        <v>1499</v>
      </c>
      <c r="I330" s="27" t="s">
        <v>59</v>
      </c>
      <c r="J330" s="31" t="s">
        <v>21</v>
      </c>
      <c r="K330" s="27" t="s">
        <v>282</v>
      </c>
      <c r="L330" s="27" t="s">
        <v>225</v>
      </c>
      <c r="M330" s="32" t="str">
        <f>HYPERLINK("http://slimages.macys.com/is/image/MCY/3738892 ")</f>
        <v xml:space="preserve">http://slimages.macys.com/is/image/MCY/3738892 </v>
      </c>
    </row>
    <row r="331" spans="1:13" ht="15.2" customHeight="1" x14ac:dyDescent="0.2">
      <c r="A331" s="26" t="s">
        <v>1485</v>
      </c>
      <c r="B331" s="27" t="s">
        <v>1486</v>
      </c>
      <c r="C331" s="28">
        <v>2</v>
      </c>
      <c r="D331" s="29">
        <v>6</v>
      </c>
      <c r="E331" s="29">
        <v>12</v>
      </c>
      <c r="F331" s="30">
        <v>12.99</v>
      </c>
      <c r="G331" s="29">
        <v>25.98</v>
      </c>
      <c r="H331" s="28" t="s">
        <v>1487</v>
      </c>
      <c r="I331" s="27" t="s">
        <v>271</v>
      </c>
      <c r="J331" s="31" t="s">
        <v>21</v>
      </c>
      <c r="K331" s="27" t="s">
        <v>282</v>
      </c>
      <c r="L331" s="27" t="s">
        <v>327</v>
      </c>
      <c r="M331" s="32" t="str">
        <f>HYPERLINK("http://slimages.macys.com/is/image/MCY/3832160 ")</f>
        <v xml:space="preserve">http://slimages.macys.com/is/image/MCY/3832160 </v>
      </c>
    </row>
    <row r="332" spans="1:13" ht="15.2" customHeight="1" x14ac:dyDescent="0.2">
      <c r="A332" s="26" t="s">
        <v>1930</v>
      </c>
      <c r="B332" s="27" t="s">
        <v>1931</v>
      </c>
      <c r="C332" s="28">
        <v>1</v>
      </c>
      <c r="D332" s="29">
        <v>6</v>
      </c>
      <c r="E332" s="29">
        <v>6</v>
      </c>
      <c r="F332" s="30">
        <v>12.99</v>
      </c>
      <c r="G332" s="29">
        <v>12.99</v>
      </c>
      <c r="H332" s="28" t="s">
        <v>1932</v>
      </c>
      <c r="I332" s="27" t="s">
        <v>144</v>
      </c>
      <c r="J332" s="31" t="s">
        <v>52</v>
      </c>
      <c r="K332" s="27" t="s">
        <v>282</v>
      </c>
      <c r="L332" s="27" t="s">
        <v>283</v>
      </c>
      <c r="M332" s="32" t="str">
        <f>HYPERLINK("http://slimages.macys.com/is/image/MCY/3924259 ")</f>
        <v xml:space="preserve">http://slimages.macys.com/is/image/MCY/3924259 </v>
      </c>
    </row>
    <row r="333" spans="1:13" ht="15.2" customHeight="1" x14ac:dyDescent="0.2">
      <c r="A333" s="26" t="s">
        <v>8486</v>
      </c>
      <c r="B333" s="27" t="s">
        <v>8487</v>
      </c>
      <c r="C333" s="28">
        <v>1</v>
      </c>
      <c r="D333" s="29">
        <v>6</v>
      </c>
      <c r="E333" s="29">
        <v>6</v>
      </c>
      <c r="F333" s="30">
        <v>12.99</v>
      </c>
      <c r="G333" s="29">
        <v>12.99</v>
      </c>
      <c r="H333" s="28" t="s">
        <v>1932</v>
      </c>
      <c r="I333" s="27" t="s">
        <v>144</v>
      </c>
      <c r="J333" s="31" t="s">
        <v>5</v>
      </c>
      <c r="K333" s="27" t="s">
        <v>282</v>
      </c>
      <c r="L333" s="27" t="s">
        <v>283</v>
      </c>
      <c r="M333" s="32" t="str">
        <f>HYPERLINK("http://slimages.macys.com/is/image/MCY/3924259 ")</f>
        <v xml:space="preserve">http://slimages.macys.com/is/image/MCY/3924259 </v>
      </c>
    </row>
    <row r="334" spans="1:13" ht="15.2" customHeight="1" x14ac:dyDescent="0.2">
      <c r="A334" s="26" t="s">
        <v>11244</v>
      </c>
      <c r="B334" s="27" t="s">
        <v>11245</v>
      </c>
      <c r="C334" s="28">
        <v>1</v>
      </c>
      <c r="D334" s="29">
        <v>6</v>
      </c>
      <c r="E334" s="29">
        <v>6</v>
      </c>
      <c r="F334" s="30">
        <v>12.99</v>
      </c>
      <c r="G334" s="29">
        <v>12.99</v>
      </c>
      <c r="H334" s="28" t="s">
        <v>9309</v>
      </c>
      <c r="I334" s="27" t="s">
        <v>29</v>
      </c>
      <c r="J334" s="31" t="s">
        <v>71</v>
      </c>
      <c r="K334" s="27" t="s">
        <v>282</v>
      </c>
      <c r="L334" s="27" t="s">
        <v>225</v>
      </c>
      <c r="M334" s="32" t="str">
        <f>HYPERLINK("http://slimages.macys.com/is/image/MCY/3719728 ")</f>
        <v xml:space="preserve">http://slimages.macys.com/is/image/MCY/3719728 </v>
      </c>
    </row>
    <row r="335" spans="1:13" ht="15.2" customHeight="1" x14ac:dyDescent="0.2">
      <c r="A335" s="26" t="s">
        <v>1493</v>
      </c>
      <c r="B335" s="27" t="s">
        <v>1494</v>
      </c>
      <c r="C335" s="28">
        <v>1</v>
      </c>
      <c r="D335" s="29">
        <v>6</v>
      </c>
      <c r="E335" s="29">
        <v>6</v>
      </c>
      <c r="F335" s="30">
        <v>12.99</v>
      </c>
      <c r="G335" s="29">
        <v>12.99</v>
      </c>
      <c r="H335" s="28" t="s">
        <v>898</v>
      </c>
      <c r="I335" s="27" t="s">
        <v>215</v>
      </c>
      <c r="J335" s="31" t="s">
        <v>71</v>
      </c>
      <c r="K335" s="27" t="s">
        <v>282</v>
      </c>
      <c r="L335" s="27" t="s">
        <v>283</v>
      </c>
      <c r="M335" s="32" t="str">
        <f>HYPERLINK("http://slimages.macys.com/is/image/MCY/3875957 ")</f>
        <v xml:space="preserve">http://slimages.macys.com/is/image/MCY/3875957 </v>
      </c>
    </row>
    <row r="336" spans="1:13" ht="15.2" customHeight="1" x14ac:dyDescent="0.2">
      <c r="A336" s="26" t="s">
        <v>9456</v>
      </c>
      <c r="B336" s="27" t="s">
        <v>9457</v>
      </c>
      <c r="C336" s="28">
        <v>2</v>
      </c>
      <c r="D336" s="29">
        <v>5.95</v>
      </c>
      <c r="E336" s="29">
        <v>11.9</v>
      </c>
      <c r="F336" s="30">
        <v>12.99</v>
      </c>
      <c r="G336" s="29">
        <v>25.98</v>
      </c>
      <c r="H336" s="28" t="s">
        <v>6054</v>
      </c>
      <c r="I336" s="27" t="s">
        <v>82</v>
      </c>
      <c r="J336" s="31" t="s">
        <v>40</v>
      </c>
      <c r="K336" s="27" t="s">
        <v>282</v>
      </c>
      <c r="L336" s="27" t="s">
        <v>358</v>
      </c>
      <c r="M336" s="32" t="str">
        <f>HYPERLINK("http://slimages.macys.com/is/image/MCY/3773694 ")</f>
        <v xml:space="preserve">http://slimages.macys.com/is/image/MCY/3773694 </v>
      </c>
    </row>
    <row r="337" spans="1:13" ht="15.2" customHeight="1" x14ac:dyDescent="0.2">
      <c r="A337" s="26" t="s">
        <v>8722</v>
      </c>
      <c r="B337" s="27" t="s">
        <v>8723</v>
      </c>
      <c r="C337" s="28">
        <v>1</v>
      </c>
      <c r="D337" s="29">
        <v>5.95</v>
      </c>
      <c r="E337" s="29">
        <v>5.95</v>
      </c>
      <c r="F337" s="30">
        <v>12.99</v>
      </c>
      <c r="G337" s="29">
        <v>12.99</v>
      </c>
      <c r="H337" s="28" t="s">
        <v>6054</v>
      </c>
      <c r="I337" s="27" t="s">
        <v>82</v>
      </c>
      <c r="J337" s="31" t="s">
        <v>21</v>
      </c>
      <c r="K337" s="27" t="s">
        <v>282</v>
      </c>
      <c r="L337" s="27" t="s">
        <v>358</v>
      </c>
      <c r="M337" s="32" t="str">
        <f>HYPERLINK("http://slimages.macys.com/is/image/MCY/3773694 ")</f>
        <v xml:space="preserve">http://slimages.macys.com/is/image/MCY/3773694 </v>
      </c>
    </row>
    <row r="338" spans="1:13" ht="15.2" customHeight="1" x14ac:dyDescent="0.2">
      <c r="A338" s="26" t="s">
        <v>1510</v>
      </c>
      <c r="B338" s="27" t="s">
        <v>1511</v>
      </c>
      <c r="C338" s="28">
        <v>1</v>
      </c>
      <c r="D338" s="29">
        <v>5.95</v>
      </c>
      <c r="E338" s="29">
        <v>5.95</v>
      </c>
      <c r="F338" s="30">
        <v>12.99</v>
      </c>
      <c r="G338" s="29">
        <v>12.99</v>
      </c>
      <c r="H338" s="28" t="s">
        <v>1512</v>
      </c>
      <c r="I338" s="27" t="s">
        <v>4</v>
      </c>
      <c r="J338" s="31" t="s">
        <v>40</v>
      </c>
      <c r="K338" s="27" t="s">
        <v>282</v>
      </c>
      <c r="L338" s="27" t="s">
        <v>358</v>
      </c>
      <c r="M338" s="32" t="str">
        <f>HYPERLINK("http://slimages.macys.com/is/image/MCY/3773696 ")</f>
        <v xml:space="preserve">http://slimages.macys.com/is/image/MCY/3773696 </v>
      </c>
    </row>
    <row r="339" spans="1:13" ht="15.2" customHeight="1" x14ac:dyDescent="0.2">
      <c r="A339" s="26" t="s">
        <v>5555</v>
      </c>
      <c r="B339" s="27" t="s">
        <v>5556</v>
      </c>
      <c r="C339" s="28">
        <v>1</v>
      </c>
      <c r="D339" s="29">
        <v>5.75</v>
      </c>
      <c r="E339" s="29">
        <v>5.75</v>
      </c>
      <c r="F339" s="30">
        <v>13.99</v>
      </c>
      <c r="G339" s="29">
        <v>13.99</v>
      </c>
      <c r="H339" s="28" t="s">
        <v>916</v>
      </c>
      <c r="I339" s="27" t="s">
        <v>343</v>
      </c>
      <c r="J339" s="31" t="s">
        <v>21</v>
      </c>
      <c r="K339" s="27" t="s">
        <v>282</v>
      </c>
      <c r="L339" s="27" t="s">
        <v>312</v>
      </c>
      <c r="M339" s="32" t="str">
        <f>HYPERLINK("http://slimages.macys.com/is/image/MCY/3814598 ")</f>
        <v xml:space="preserve">http://slimages.macys.com/is/image/MCY/3814598 </v>
      </c>
    </row>
    <row r="340" spans="1:13" ht="15.2" customHeight="1" x14ac:dyDescent="0.2">
      <c r="A340" s="26" t="s">
        <v>11246</v>
      </c>
      <c r="B340" s="27" t="s">
        <v>11247</v>
      </c>
      <c r="C340" s="28">
        <v>1</v>
      </c>
      <c r="D340" s="29">
        <v>5.75</v>
      </c>
      <c r="E340" s="29">
        <v>5.75</v>
      </c>
      <c r="F340" s="30">
        <v>12.99</v>
      </c>
      <c r="G340" s="29">
        <v>12.99</v>
      </c>
      <c r="H340" s="28" t="s">
        <v>913</v>
      </c>
      <c r="I340" s="27" t="s">
        <v>82</v>
      </c>
      <c r="J340" s="31" t="s">
        <v>71</v>
      </c>
      <c r="K340" s="27" t="s">
        <v>282</v>
      </c>
      <c r="L340" s="27" t="s">
        <v>349</v>
      </c>
      <c r="M340" s="32" t="str">
        <f>HYPERLINK("http://slimages.macys.com/is/image/MCY/3820333 ")</f>
        <v xml:space="preserve">http://slimages.macys.com/is/image/MCY/3820333 </v>
      </c>
    </row>
    <row r="341" spans="1:13" ht="15.2" customHeight="1" x14ac:dyDescent="0.2">
      <c r="A341" s="26" t="s">
        <v>11248</v>
      </c>
      <c r="B341" s="27" t="s">
        <v>11249</v>
      </c>
      <c r="C341" s="28">
        <v>1</v>
      </c>
      <c r="D341" s="29">
        <v>5.75</v>
      </c>
      <c r="E341" s="29">
        <v>5.75</v>
      </c>
      <c r="F341" s="30">
        <v>13.99</v>
      </c>
      <c r="G341" s="29">
        <v>13.99</v>
      </c>
      <c r="H341" s="28" t="s">
        <v>8231</v>
      </c>
      <c r="I341" s="27" t="s">
        <v>4</v>
      </c>
      <c r="J341" s="31" t="s">
        <v>5</v>
      </c>
      <c r="K341" s="27" t="s">
        <v>282</v>
      </c>
      <c r="L341" s="27" t="s">
        <v>312</v>
      </c>
      <c r="M341" s="32" t="str">
        <f>HYPERLINK("http://slimages.macys.com/is/image/MCY/3814605 ")</f>
        <v xml:space="preserve">http://slimages.macys.com/is/image/MCY/3814605 </v>
      </c>
    </row>
    <row r="342" spans="1:13" ht="15.2" customHeight="1" x14ac:dyDescent="0.2">
      <c r="A342" s="26" t="s">
        <v>1937</v>
      </c>
      <c r="B342" s="27" t="s">
        <v>1938</v>
      </c>
      <c r="C342" s="28">
        <v>1</v>
      </c>
      <c r="D342" s="29">
        <v>5.75</v>
      </c>
      <c r="E342" s="29">
        <v>5.75</v>
      </c>
      <c r="F342" s="30">
        <v>12.99</v>
      </c>
      <c r="G342" s="29">
        <v>12.99</v>
      </c>
      <c r="H342" s="28" t="s">
        <v>1533</v>
      </c>
      <c r="I342" s="27" t="s">
        <v>189</v>
      </c>
      <c r="J342" s="31" t="s">
        <v>52</v>
      </c>
      <c r="K342" s="27" t="s">
        <v>282</v>
      </c>
      <c r="L342" s="27" t="s">
        <v>349</v>
      </c>
      <c r="M342" s="32" t="str">
        <f>HYPERLINK("http://slimages.macys.com/is/image/MCY/3773881 ")</f>
        <v xml:space="preserve">http://slimages.macys.com/is/image/MCY/3773881 </v>
      </c>
    </row>
    <row r="343" spans="1:13" ht="15.2" customHeight="1" x14ac:dyDescent="0.2">
      <c r="A343" s="26" t="s">
        <v>10335</v>
      </c>
      <c r="B343" s="27" t="s">
        <v>10336</v>
      </c>
      <c r="C343" s="28">
        <v>1</v>
      </c>
      <c r="D343" s="29">
        <v>5.65</v>
      </c>
      <c r="E343" s="29">
        <v>5.65</v>
      </c>
      <c r="F343" s="30">
        <v>12.99</v>
      </c>
      <c r="G343" s="29">
        <v>12.99</v>
      </c>
      <c r="H343" s="28" t="s">
        <v>1541</v>
      </c>
      <c r="I343" s="27" t="s">
        <v>280</v>
      </c>
      <c r="J343" s="31" t="s">
        <v>40</v>
      </c>
      <c r="K343" s="27" t="s">
        <v>282</v>
      </c>
      <c r="L343" s="27" t="s">
        <v>393</v>
      </c>
      <c r="M343" s="32" t="str">
        <f>HYPERLINK("http://slimages.macys.com/is/image/MCY/3797971 ")</f>
        <v xml:space="preserve">http://slimages.macys.com/is/image/MCY/3797971 </v>
      </c>
    </row>
    <row r="344" spans="1:13" ht="15.2" customHeight="1" x14ac:dyDescent="0.2">
      <c r="A344" s="26" t="s">
        <v>1539</v>
      </c>
      <c r="B344" s="27" t="s">
        <v>1540</v>
      </c>
      <c r="C344" s="28">
        <v>1</v>
      </c>
      <c r="D344" s="29">
        <v>5.65</v>
      </c>
      <c r="E344" s="29">
        <v>5.65</v>
      </c>
      <c r="F344" s="30">
        <v>12.99</v>
      </c>
      <c r="G344" s="29">
        <v>12.99</v>
      </c>
      <c r="H344" s="28" t="s">
        <v>1541</v>
      </c>
      <c r="I344" s="27" t="s">
        <v>280</v>
      </c>
      <c r="J344" s="31" t="s">
        <v>71</v>
      </c>
      <c r="K344" s="27" t="s">
        <v>282</v>
      </c>
      <c r="L344" s="27" t="s">
        <v>393</v>
      </c>
      <c r="M344" s="32" t="str">
        <f>HYPERLINK("http://slimages.macys.com/is/image/MCY/3797971 ")</f>
        <v xml:space="preserve">http://slimages.macys.com/is/image/MCY/3797971 </v>
      </c>
    </row>
    <row r="345" spans="1:13" ht="15.2" customHeight="1" x14ac:dyDescent="0.2">
      <c r="A345" s="26" t="s">
        <v>11250</v>
      </c>
      <c r="B345" s="27" t="s">
        <v>1567</v>
      </c>
      <c r="C345" s="28">
        <v>1</v>
      </c>
      <c r="D345" s="29">
        <v>5.5</v>
      </c>
      <c r="E345" s="29">
        <v>5.5</v>
      </c>
      <c r="F345" s="30">
        <v>12.99</v>
      </c>
      <c r="G345" s="29">
        <v>12.99</v>
      </c>
      <c r="H345" s="28" t="s">
        <v>1554</v>
      </c>
      <c r="I345" s="27" t="s">
        <v>4</v>
      </c>
      <c r="J345" s="31" t="s">
        <v>71</v>
      </c>
      <c r="K345" s="27" t="s">
        <v>282</v>
      </c>
      <c r="L345" s="27" t="s">
        <v>283</v>
      </c>
      <c r="M345" s="32" t="str">
        <f>HYPERLINK("http://slimages.macys.com/is/image/MCY/3755062 ")</f>
        <v xml:space="preserve">http://slimages.macys.com/is/image/MCY/3755062 </v>
      </c>
    </row>
    <row r="346" spans="1:13" ht="15.2" customHeight="1" x14ac:dyDescent="0.2">
      <c r="A346" s="26" t="s">
        <v>7588</v>
      </c>
      <c r="B346" s="27" t="s">
        <v>7589</v>
      </c>
      <c r="C346" s="28">
        <v>1</v>
      </c>
      <c r="D346" s="29">
        <v>5.5</v>
      </c>
      <c r="E346" s="29">
        <v>5.5</v>
      </c>
      <c r="F346" s="30">
        <v>12.99</v>
      </c>
      <c r="G346" s="29">
        <v>12.99</v>
      </c>
      <c r="H346" s="28" t="s">
        <v>7590</v>
      </c>
      <c r="I346" s="27" t="s">
        <v>82</v>
      </c>
      <c r="J346" s="31" t="s">
        <v>40</v>
      </c>
      <c r="K346" s="27" t="s">
        <v>282</v>
      </c>
      <c r="L346" s="27" t="s">
        <v>349</v>
      </c>
      <c r="M346" s="32" t="str">
        <f>HYPERLINK("http://slimages.macys.com/is/image/MCY/3755120 ")</f>
        <v xml:space="preserve">http://slimages.macys.com/is/image/MCY/3755120 </v>
      </c>
    </row>
    <row r="347" spans="1:13" ht="15.2" customHeight="1" x14ac:dyDescent="0.2">
      <c r="A347" s="26" t="s">
        <v>1944</v>
      </c>
      <c r="B347" s="27" t="s">
        <v>1558</v>
      </c>
      <c r="C347" s="28">
        <v>1</v>
      </c>
      <c r="D347" s="29">
        <v>5.5</v>
      </c>
      <c r="E347" s="29">
        <v>5.5</v>
      </c>
      <c r="F347" s="30">
        <v>12.99</v>
      </c>
      <c r="G347" s="29">
        <v>12.99</v>
      </c>
      <c r="H347" s="28" t="s">
        <v>1553</v>
      </c>
      <c r="I347" s="27" t="s">
        <v>4</v>
      </c>
      <c r="J347" s="31" t="s">
        <v>52</v>
      </c>
      <c r="K347" s="27" t="s">
        <v>282</v>
      </c>
      <c r="L347" s="27" t="s">
        <v>283</v>
      </c>
      <c r="M347" s="32" t="str">
        <f>HYPERLINK("http://slimages.macys.com/is/image/MCY/3755046 ")</f>
        <v xml:space="preserve">http://slimages.macys.com/is/image/MCY/3755046 </v>
      </c>
    </row>
    <row r="348" spans="1:13" ht="15.2" customHeight="1" x14ac:dyDescent="0.2">
      <c r="A348" s="26" t="s">
        <v>1555</v>
      </c>
      <c r="B348" s="27" t="s">
        <v>1556</v>
      </c>
      <c r="C348" s="28">
        <v>1</v>
      </c>
      <c r="D348" s="29">
        <v>5.5</v>
      </c>
      <c r="E348" s="29">
        <v>5.5</v>
      </c>
      <c r="F348" s="30">
        <v>12.99</v>
      </c>
      <c r="G348" s="29">
        <v>12.99</v>
      </c>
      <c r="H348" s="28" t="s">
        <v>1550</v>
      </c>
      <c r="I348" s="27" t="s">
        <v>215</v>
      </c>
      <c r="J348" s="31" t="s">
        <v>5</v>
      </c>
      <c r="K348" s="27" t="s">
        <v>282</v>
      </c>
      <c r="L348" s="27" t="s">
        <v>283</v>
      </c>
      <c r="M348" s="32" t="str">
        <f>HYPERLINK("http://slimages.macys.com/is/image/MCY/3820329 ")</f>
        <v xml:space="preserve">http://slimages.macys.com/is/image/MCY/3820329 </v>
      </c>
    </row>
    <row r="349" spans="1:13" ht="15.2" customHeight="1" x14ac:dyDescent="0.2">
      <c r="A349" s="26" t="s">
        <v>1562</v>
      </c>
      <c r="B349" s="27" t="s">
        <v>1563</v>
      </c>
      <c r="C349" s="28">
        <v>1</v>
      </c>
      <c r="D349" s="29">
        <v>5.5</v>
      </c>
      <c r="E349" s="29">
        <v>5.5</v>
      </c>
      <c r="F349" s="30">
        <v>12.99</v>
      </c>
      <c r="G349" s="29">
        <v>12.99</v>
      </c>
      <c r="H349" s="28" t="s">
        <v>1550</v>
      </c>
      <c r="I349" s="27" t="s">
        <v>215</v>
      </c>
      <c r="J349" s="31" t="s">
        <v>52</v>
      </c>
      <c r="K349" s="27" t="s">
        <v>282</v>
      </c>
      <c r="L349" s="27" t="s">
        <v>283</v>
      </c>
      <c r="M349" s="32" t="str">
        <f>HYPERLINK("http://slimages.macys.com/is/image/MCY/3820329 ")</f>
        <v xml:space="preserve">http://slimages.macys.com/is/image/MCY/3820329 </v>
      </c>
    </row>
    <row r="350" spans="1:13" ht="15.2" customHeight="1" x14ac:dyDescent="0.2">
      <c r="A350" s="26" t="s">
        <v>1947</v>
      </c>
      <c r="B350" s="27" t="s">
        <v>1948</v>
      </c>
      <c r="C350" s="28">
        <v>1</v>
      </c>
      <c r="D350" s="29">
        <v>5.5</v>
      </c>
      <c r="E350" s="29">
        <v>5.5</v>
      </c>
      <c r="F350" s="30">
        <v>12.99</v>
      </c>
      <c r="G350" s="29">
        <v>12.99</v>
      </c>
      <c r="H350" s="28" t="s">
        <v>1949</v>
      </c>
      <c r="I350" s="27" t="s">
        <v>82</v>
      </c>
      <c r="J350" s="31" t="s">
        <v>5</v>
      </c>
      <c r="K350" s="27" t="s">
        <v>282</v>
      </c>
      <c r="L350" s="27" t="s">
        <v>312</v>
      </c>
      <c r="M350" s="32" t="str">
        <f>HYPERLINK("http://slimages.macys.com/is/image/MCY/3875986 ")</f>
        <v xml:space="preserve">http://slimages.macys.com/is/image/MCY/3875986 </v>
      </c>
    </row>
    <row r="351" spans="1:13" ht="15.2" customHeight="1" x14ac:dyDescent="0.2">
      <c r="A351" s="26" t="s">
        <v>1566</v>
      </c>
      <c r="B351" s="27" t="s">
        <v>1567</v>
      </c>
      <c r="C351" s="28">
        <v>1</v>
      </c>
      <c r="D351" s="29">
        <v>5.5</v>
      </c>
      <c r="E351" s="29">
        <v>5.5</v>
      </c>
      <c r="F351" s="30">
        <v>12.99</v>
      </c>
      <c r="G351" s="29">
        <v>12.99</v>
      </c>
      <c r="H351" s="28" t="s">
        <v>1553</v>
      </c>
      <c r="I351" s="27" t="s">
        <v>4</v>
      </c>
      <c r="J351" s="31" t="s">
        <v>71</v>
      </c>
      <c r="K351" s="27" t="s">
        <v>282</v>
      </c>
      <c r="L351" s="27" t="s">
        <v>283</v>
      </c>
      <c r="M351" s="32" t="str">
        <f>HYPERLINK("http://slimages.macys.com/is/image/MCY/3755046 ")</f>
        <v xml:space="preserve">http://slimages.macys.com/is/image/MCY/3755046 </v>
      </c>
    </row>
    <row r="352" spans="1:13" ht="15.2" customHeight="1" x14ac:dyDescent="0.2">
      <c r="A352" s="26" t="s">
        <v>1551</v>
      </c>
      <c r="B352" s="27" t="s">
        <v>1552</v>
      </c>
      <c r="C352" s="28">
        <v>1</v>
      </c>
      <c r="D352" s="29">
        <v>5.5</v>
      </c>
      <c r="E352" s="29">
        <v>5.5</v>
      </c>
      <c r="F352" s="30">
        <v>12.99</v>
      </c>
      <c r="G352" s="29">
        <v>12.99</v>
      </c>
      <c r="H352" s="28" t="s">
        <v>1553</v>
      </c>
      <c r="I352" s="27" t="s">
        <v>4</v>
      </c>
      <c r="J352" s="31" t="s">
        <v>40</v>
      </c>
      <c r="K352" s="27" t="s">
        <v>282</v>
      </c>
      <c r="L352" s="27" t="s">
        <v>283</v>
      </c>
      <c r="M352" s="32" t="str">
        <f>HYPERLINK("http://slimages.macys.com/is/image/MCY/3755046 ")</f>
        <v xml:space="preserve">http://slimages.macys.com/is/image/MCY/3755046 </v>
      </c>
    </row>
    <row r="353" spans="1:13" ht="15.2" customHeight="1" x14ac:dyDescent="0.2">
      <c r="A353" s="26" t="s">
        <v>1548</v>
      </c>
      <c r="B353" s="27" t="s">
        <v>1549</v>
      </c>
      <c r="C353" s="28">
        <v>1</v>
      </c>
      <c r="D353" s="29">
        <v>5.5</v>
      </c>
      <c r="E353" s="29">
        <v>5.5</v>
      </c>
      <c r="F353" s="30">
        <v>12.99</v>
      </c>
      <c r="G353" s="29">
        <v>12.99</v>
      </c>
      <c r="H353" s="28" t="s">
        <v>1550</v>
      </c>
      <c r="I353" s="27" t="s">
        <v>215</v>
      </c>
      <c r="J353" s="31" t="s">
        <v>40</v>
      </c>
      <c r="K353" s="27" t="s">
        <v>282</v>
      </c>
      <c r="L353" s="27" t="s">
        <v>283</v>
      </c>
      <c r="M353" s="32" t="str">
        <f>HYPERLINK("http://slimages.macys.com/is/image/MCY/3820329 ")</f>
        <v xml:space="preserve">http://slimages.macys.com/is/image/MCY/3820329 </v>
      </c>
    </row>
    <row r="354" spans="1:13" ht="15.2" customHeight="1" x14ac:dyDescent="0.2">
      <c r="A354" s="26" t="s">
        <v>1557</v>
      </c>
      <c r="B354" s="27" t="s">
        <v>1558</v>
      </c>
      <c r="C354" s="28">
        <v>1</v>
      </c>
      <c r="D354" s="29">
        <v>5.5</v>
      </c>
      <c r="E354" s="29">
        <v>5.5</v>
      </c>
      <c r="F354" s="30">
        <v>12.99</v>
      </c>
      <c r="G354" s="29">
        <v>12.99</v>
      </c>
      <c r="H354" s="28" t="s">
        <v>1554</v>
      </c>
      <c r="I354" s="27" t="s">
        <v>4</v>
      </c>
      <c r="J354" s="31" t="s">
        <v>52</v>
      </c>
      <c r="K354" s="27" t="s">
        <v>282</v>
      </c>
      <c r="L354" s="27" t="s">
        <v>283</v>
      </c>
      <c r="M354" s="32" t="str">
        <f>HYPERLINK("http://slimages.macys.com/is/image/MCY/3755062 ")</f>
        <v xml:space="preserve">http://slimages.macys.com/is/image/MCY/3755062 </v>
      </c>
    </row>
    <row r="355" spans="1:13" ht="15.2" customHeight="1" x14ac:dyDescent="0.2">
      <c r="A355" s="26" t="s">
        <v>1942</v>
      </c>
      <c r="B355" s="27" t="s">
        <v>1943</v>
      </c>
      <c r="C355" s="28">
        <v>1</v>
      </c>
      <c r="D355" s="29">
        <v>5.5</v>
      </c>
      <c r="E355" s="29">
        <v>5.5</v>
      </c>
      <c r="F355" s="30">
        <v>12.99</v>
      </c>
      <c r="G355" s="29">
        <v>12.99</v>
      </c>
      <c r="H355" s="28" t="s">
        <v>1553</v>
      </c>
      <c r="I355" s="27" t="s">
        <v>4</v>
      </c>
      <c r="J355" s="31" t="s">
        <v>5</v>
      </c>
      <c r="K355" s="27" t="s">
        <v>282</v>
      </c>
      <c r="L355" s="27" t="s">
        <v>283</v>
      </c>
      <c r="M355" s="32" t="str">
        <f>HYPERLINK("http://slimages.macys.com/is/image/MCY/3755046 ")</f>
        <v xml:space="preserve">http://slimages.macys.com/is/image/MCY/3755046 </v>
      </c>
    </row>
    <row r="356" spans="1:13" ht="15.2" customHeight="1" x14ac:dyDescent="0.2">
      <c r="A356" s="26" t="s">
        <v>10264</v>
      </c>
      <c r="B356" s="27" t="s">
        <v>10265</v>
      </c>
      <c r="C356" s="28">
        <v>1</v>
      </c>
      <c r="D356" s="29">
        <v>5.5</v>
      </c>
      <c r="E356" s="29">
        <v>5.5</v>
      </c>
      <c r="F356" s="30">
        <v>13.99</v>
      </c>
      <c r="G356" s="29">
        <v>13.99</v>
      </c>
      <c r="H356" s="28" t="s">
        <v>10263</v>
      </c>
      <c r="I356" s="27" t="s">
        <v>82</v>
      </c>
      <c r="J356" s="31" t="s">
        <v>40</v>
      </c>
      <c r="K356" s="27" t="s">
        <v>282</v>
      </c>
      <c r="L356" s="27" t="s">
        <v>312</v>
      </c>
      <c r="M356" s="32" t="str">
        <f>HYPERLINK("http://slimages.macys.com/is/image/MCY/3409409 ")</f>
        <v xml:space="preserve">http://slimages.macys.com/is/image/MCY/3409409 </v>
      </c>
    </row>
    <row r="357" spans="1:13" ht="15.2" customHeight="1" x14ac:dyDescent="0.2">
      <c r="A357" s="26" t="s">
        <v>11251</v>
      </c>
      <c r="B357" s="27" t="s">
        <v>11252</v>
      </c>
      <c r="C357" s="28">
        <v>1</v>
      </c>
      <c r="D357" s="29">
        <v>5.5</v>
      </c>
      <c r="E357" s="29">
        <v>5.5</v>
      </c>
      <c r="F357" s="30">
        <v>12.99</v>
      </c>
      <c r="G357" s="29">
        <v>12.99</v>
      </c>
      <c r="H357" s="28" t="s">
        <v>5483</v>
      </c>
      <c r="I357" s="27" t="s">
        <v>82</v>
      </c>
      <c r="J357" s="31" t="s">
        <v>40</v>
      </c>
      <c r="K357" s="27" t="s">
        <v>282</v>
      </c>
      <c r="L357" s="27" t="s">
        <v>283</v>
      </c>
      <c r="M357" s="32" t="str">
        <f>HYPERLINK("http://slimages.macys.com/is/image/MCY/3581761 ")</f>
        <v xml:space="preserve">http://slimages.macys.com/is/image/MCY/3581761 </v>
      </c>
    </row>
    <row r="358" spans="1:13" ht="15.2" customHeight="1" x14ac:dyDescent="0.2">
      <c r="A358" s="26" t="s">
        <v>7810</v>
      </c>
      <c r="B358" s="27" t="s">
        <v>7811</v>
      </c>
      <c r="C358" s="28">
        <v>1</v>
      </c>
      <c r="D358" s="29">
        <v>5.5</v>
      </c>
      <c r="E358" s="29">
        <v>5.5</v>
      </c>
      <c r="F358" s="30">
        <v>12.99</v>
      </c>
      <c r="G358" s="29">
        <v>12.99</v>
      </c>
      <c r="H358" s="28" t="s">
        <v>7812</v>
      </c>
      <c r="I358" s="27" t="s">
        <v>4</v>
      </c>
      <c r="J358" s="31" t="s">
        <v>21</v>
      </c>
      <c r="K358" s="27" t="s">
        <v>282</v>
      </c>
      <c r="L358" s="27" t="s">
        <v>349</v>
      </c>
      <c r="M358" s="32" t="str">
        <f>HYPERLINK("http://slimages.macys.com/is/image/MCY/3755097 ")</f>
        <v xml:space="preserve">http://slimages.macys.com/is/image/MCY/3755097 </v>
      </c>
    </row>
    <row r="359" spans="1:13" ht="15.2" customHeight="1" x14ac:dyDescent="0.2">
      <c r="A359" s="26" t="s">
        <v>11253</v>
      </c>
      <c r="B359" s="27" t="s">
        <v>11254</v>
      </c>
      <c r="C359" s="28">
        <v>1</v>
      </c>
      <c r="D359" s="29">
        <v>5.5</v>
      </c>
      <c r="E359" s="29">
        <v>5.5</v>
      </c>
      <c r="F359" s="30">
        <v>12.99</v>
      </c>
      <c r="G359" s="29">
        <v>12.99</v>
      </c>
      <c r="H359" s="28" t="s">
        <v>11255</v>
      </c>
      <c r="I359" s="27" t="s">
        <v>82</v>
      </c>
      <c r="J359" s="31" t="s">
        <v>5</v>
      </c>
      <c r="K359" s="27" t="s">
        <v>282</v>
      </c>
      <c r="L359" s="27" t="s">
        <v>283</v>
      </c>
      <c r="M359" s="32" t="str">
        <f>HYPERLINK("http://slimages.macys.com/is/image/MCY/3580360 ")</f>
        <v xml:space="preserve">http://slimages.macys.com/is/image/MCY/3580360 </v>
      </c>
    </row>
    <row r="360" spans="1:13" ht="15.2" customHeight="1" x14ac:dyDescent="0.2">
      <c r="A360" s="26" t="s">
        <v>9462</v>
      </c>
      <c r="B360" s="27" t="s">
        <v>9463</v>
      </c>
      <c r="C360" s="28">
        <v>1</v>
      </c>
      <c r="D360" s="29">
        <v>5.5</v>
      </c>
      <c r="E360" s="29">
        <v>5.5</v>
      </c>
      <c r="F360" s="30">
        <v>12.99</v>
      </c>
      <c r="G360" s="29">
        <v>12.99</v>
      </c>
      <c r="H360" s="28" t="s">
        <v>7590</v>
      </c>
      <c r="I360" s="27" t="s">
        <v>82</v>
      </c>
      <c r="J360" s="31" t="s">
        <v>21</v>
      </c>
      <c r="K360" s="27" t="s">
        <v>282</v>
      </c>
      <c r="L360" s="27" t="s">
        <v>349</v>
      </c>
      <c r="M360" s="32" t="str">
        <f>HYPERLINK("http://slimages.macys.com/is/image/MCY/3755120 ")</f>
        <v xml:space="preserve">http://slimages.macys.com/is/image/MCY/3755120 </v>
      </c>
    </row>
    <row r="361" spans="1:13" ht="15.2" customHeight="1" x14ac:dyDescent="0.2">
      <c r="A361" s="26" t="s">
        <v>1564</v>
      </c>
      <c r="B361" s="27" t="s">
        <v>1565</v>
      </c>
      <c r="C361" s="28">
        <v>1</v>
      </c>
      <c r="D361" s="29">
        <v>5.5</v>
      </c>
      <c r="E361" s="29">
        <v>5.5</v>
      </c>
      <c r="F361" s="30">
        <v>12.99</v>
      </c>
      <c r="G361" s="29">
        <v>12.99</v>
      </c>
      <c r="H361" s="28" t="s">
        <v>1550</v>
      </c>
      <c r="I361" s="27" t="s">
        <v>215</v>
      </c>
      <c r="J361" s="31" t="s">
        <v>21</v>
      </c>
      <c r="K361" s="27" t="s">
        <v>282</v>
      </c>
      <c r="L361" s="27" t="s">
        <v>283</v>
      </c>
      <c r="M361" s="32" t="str">
        <f>HYPERLINK("http://slimages.macys.com/is/image/MCY/3820329 ")</f>
        <v xml:space="preserve">http://slimages.macys.com/is/image/MCY/3820329 </v>
      </c>
    </row>
    <row r="362" spans="1:13" ht="15.2" customHeight="1" x14ac:dyDescent="0.2">
      <c r="A362" s="26" t="s">
        <v>451</v>
      </c>
      <c r="B362" s="27" t="s">
        <v>452</v>
      </c>
      <c r="C362" s="28">
        <v>1</v>
      </c>
      <c r="D362" s="29">
        <v>5.25</v>
      </c>
      <c r="E362" s="29">
        <v>5.25</v>
      </c>
      <c r="F362" s="30">
        <v>12.99</v>
      </c>
      <c r="G362" s="29">
        <v>12.99</v>
      </c>
      <c r="H362" s="28" t="s">
        <v>448</v>
      </c>
      <c r="I362" s="27" t="s">
        <v>82</v>
      </c>
      <c r="J362" s="31" t="s">
        <v>5</v>
      </c>
      <c r="K362" s="27" t="s">
        <v>282</v>
      </c>
      <c r="L362" s="27" t="s">
        <v>358</v>
      </c>
      <c r="M362" s="32" t="str">
        <f>HYPERLINK("http://slimages.macys.com/is/image/MCY/3875975 ")</f>
        <v xml:space="preserve">http://slimages.macys.com/is/image/MCY/3875975 </v>
      </c>
    </row>
    <row r="363" spans="1:13" ht="15.2" customHeight="1" x14ac:dyDescent="0.2">
      <c r="A363" s="26" t="s">
        <v>449</v>
      </c>
      <c r="B363" s="27" t="s">
        <v>450</v>
      </c>
      <c r="C363" s="28">
        <v>1</v>
      </c>
      <c r="D363" s="29">
        <v>5.25</v>
      </c>
      <c r="E363" s="29">
        <v>5.25</v>
      </c>
      <c r="F363" s="30">
        <v>12.99</v>
      </c>
      <c r="G363" s="29">
        <v>12.99</v>
      </c>
      <c r="H363" s="28" t="s">
        <v>448</v>
      </c>
      <c r="I363" s="27" t="s">
        <v>82</v>
      </c>
      <c r="J363" s="31" t="s">
        <v>40</v>
      </c>
      <c r="K363" s="27" t="s">
        <v>282</v>
      </c>
      <c r="L363" s="27" t="s">
        <v>358</v>
      </c>
      <c r="M363" s="32" t="str">
        <f>HYPERLINK("http://slimages.macys.com/is/image/MCY/3875975 ")</f>
        <v xml:space="preserve">http://slimages.macys.com/is/image/MCY/3875975 </v>
      </c>
    </row>
    <row r="364" spans="1:13" ht="15.2" customHeight="1" x14ac:dyDescent="0.2">
      <c r="A364" s="26" t="s">
        <v>1573</v>
      </c>
      <c r="B364" s="27" t="s">
        <v>1574</v>
      </c>
      <c r="C364" s="28">
        <v>2</v>
      </c>
      <c r="D364" s="29">
        <v>5.25</v>
      </c>
      <c r="E364" s="29">
        <v>10.5</v>
      </c>
      <c r="F364" s="30">
        <v>12.99</v>
      </c>
      <c r="G364" s="29">
        <v>25.98</v>
      </c>
      <c r="H364" s="28" t="s">
        <v>1575</v>
      </c>
      <c r="I364" s="27" t="s">
        <v>4</v>
      </c>
      <c r="J364" s="31" t="s">
        <v>21</v>
      </c>
      <c r="K364" s="27" t="s">
        <v>282</v>
      </c>
      <c r="L364" s="27" t="s">
        <v>358</v>
      </c>
      <c r="M364" s="32" t="str">
        <f>HYPERLINK("http://slimages.macys.com/is/image/MCY/3875978 ")</f>
        <v xml:space="preserve">http://slimages.macys.com/is/image/MCY/3875978 </v>
      </c>
    </row>
    <row r="365" spans="1:13" ht="15.2" customHeight="1" x14ac:dyDescent="0.2">
      <c r="A365" s="26" t="s">
        <v>8733</v>
      </c>
      <c r="B365" s="27" t="s">
        <v>8734</v>
      </c>
      <c r="C365" s="28">
        <v>1</v>
      </c>
      <c r="D365" s="29">
        <v>5.25</v>
      </c>
      <c r="E365" s="29">
        <v>5.25</v>
      </c>
      <c r="F365" s="30">
        <v>12.99</v>
      </c>
      <c r="G365" s="29">
        <v>12.99</v>
      </c>
      <c r="H365" s="28" t="s">
        <v>1578</v>
      </c>
      <c r="I365" s="27" t="s">
        <v>4</v>
      </c>
      <c r="J365" s="31" t="s">
        <v>21</v>
      </c>
      <c r="K365" s="27" t="s">
        <v>282</v>
      </c>
      <c r="L365" s="27" t="s">
        <v>358</v>
      </c>
      <c r="M365" s="32" t="str">
        <f>HYPERLINK("http://slimages.macys.com/is/image/MCY/3875977 ")</f>
        <v xml:space="preserve">http://slimages.macys.com/is/image/MCY/3875977 </v>
      </c>
    </row>
    <row r="366" spans="1:13" ht="15.2" customHeight="1" x14ac:dyDescent="0.2">
      <c r="A366" s="26" t="s">
        <v>5176</v>
      </c>
      <c r="B366" s="27" t="s">
        <v>5177</v>
      </c>
      <c r="C366" s="28">
        <v>1</v>
      </c>
      <c r="D366" s="29">
        <v>5.25</v>
      </c>
      <c r="E366" s="29">
        <v>5.25</v>
      </c>
      <c r="F366" s="30">
        <v>12.99</v>
      </c>
      <c r="G366" s="29">
        <v>12.99</v>
      </c>
      <c r="H366" s="28" t="s">
        <v>1581</v>
      </c>
      <c r="I366" s="27" t="s">
        <v>82</v>
      </c>
      <c r="J366" s="31" t="s">
        <v>40</v>
      </c>
      <c r="K366" s="27" t="s">
        <v>282</v>
      </c>
      <c r="L366" s="27" t="s">
        <v>358</v>
      </c>
      <c r="M366" s="32" t="str">
        <f>HYPERLINK("http://slimages.macys.com/is/image/MCY/3875976 ")</f>
        <v xml:space="preserve">http://slimages.macys.com/is/image/MCY/3875976 </v>
      </c>
    </row>
    <row r="367" spans="1:13" ht="15.2" customHeight="1" x14ac:dyDescent="0.2">
      <c r="A367" s="26" t="s">
        <v>936</v>
      </c>
      <c r="B367" s="27" t="s">
        <v>937</v>
      </c>
      <c r="C367" s="28">
        <v>5</v>
      </c>
      <c r="D367" s="29">
        <v>5.25</v>
      </c>
      <c r="E367" s="29">
        <v>26.25</v>
      </c>
      <c r="F367" s="30">
        <v>12.99</v>
      </c>
      <c r="G367" s="29">
        <v>64.95</v>
      </c>
      <c r="H367" s="28" t="s">
        <v>448</v>
      </c>
      <c r="I367" s="27" t="s">
        <v>82</v>
      </c>
      <c r="J367" s="31" t="s">
        <v>21</v>
      </c>
      <c r="K367" s="27" t="s">
        <v>282</v>
      </c>
      <c r="L367" s="27" t="s">
        <v>358</v>
      </c>
      <c r="M367" s="32" t="str">
        <f>HYPERLINK("http://slimages.macys.com/is/image/MCY/3875975 ")</f>
        <v xml:space="preserve">http://slimages.macys.com/is/image/MCY/3875975 </v>
      </c>
    </row>
    <row r="368" spans="1:13" ht="15.2" customHeight="1" x14ac:dyDescent="0.2">
      <c r="A368" s="26" t="s">
        <v>446</v>
      </c>
      <c r="B368" s="27" t="s">
        <v>447</v>
      </c>
      <c r="C368" s="28">
        <v>1</v>
      </c>
      <c r="D368" s="29">
        <v>5.25</v>
      </c>
      <c r="E368" s="29">
        <v>5.25</v>
      </c>
      <c r="F368" s="30">
        <v>12.99</v>
      </c>
      <c r="G368" s="29">
        <v>12.99</v>
      </c>
      <c r="H368" s="28" t="s">
        <v>448</v>
      </c>
      <c r="I368" s="27" t="s">
        <v>82</v>
      </c>
      <c r="J368" s="31" t="s">
        <v>52</v>
      </c>
      <c r="K368" s="27" t="s">
        <v>282</v>
      </c>
      <c r="L368" s="27" t="s">
        <v>358</v>
      </c>
      <c r="M368" s="32" t="str">
        <f>HYPERLINK("http://slimages.macys.com/is/image/MCY/3875975 ")</f>
        <v xml:space="preserve">http://slimages.macys.com/is/image/MCY/3875975 </v>
      </c>
    </row>
    <row r="369" spans="1:13" ht="15.2" customHeight="1" x14ac:dyDescent="0.2">
      <c r="A369" s="26" t="s">
        <v>7455</v>
      </c>
      <c r="B369" s="27" t="s">
        <v>7456</v>
      </c>
      <c r="C369" s="28">
        <v>2</v>
      </c>
      <c r="D369" s="29">
        <v>5.25</v>
      </c>
      <c r="E369" s="29">
        <v>10.5</v>
      </c>
      <c r="F369" s="30">
        <v>12.99</v>
      </c>
      <c r="G369" s="29">
        <v>25.98</v>
      </c>
      <c r="H369" s="28" t="s">
        <v>1575</v>
      </c>
      <c r="I369" s="27" t="s">
        <v>4</v>
      </c>
      <c r="J369" s="31" t="s">
        <v>71</v>
      </c>
      <c r="K369" s="27" t="s">
        <v>282</v>
      </c>
      <c r="L369" s="27" t="s">
        <v>358</v>
      </c>
      <c r="M369" s="32" t="str">
        <f>HYPERLINK("http://slimages.macys.com/is/image/MCY/3875978 ")</f>
        <v xml:space="preserve">http://slimages.macys.com/is/image/MCY/3875978 </v>
      </c>
    </row>
    <row r="370" spans="1:13" ht="15.2" customHeight="1" x14ac:dyDescent="0.2">
      <c r="A370" s="26" t="s">
        <v>9747</v>
      </c>
      <c r="B370" s="27" t="s">
        <v>9748</v>
      </c>
      <c r="C370" s="28">
        <v>1</v>
      </c>
      <c r="D370" s="29">
        <v>5.25</v>
      </c>
      <c r="E370" s="29">
        <v>5.25</v>
      </c>
      <c r="F370" s="30">
        <v>12.99</v>
      </c>
      <c r="G370" s="29">
        <v>12.99</v>
      </c>
      <c r="H370" s="28" t="s">
        <v>8735</v>
      </c>
      <c r="I370" s="27" t="s">
        <v>75</v>
      </c>
      <c r="J370" s="31" t="s">
        <v>5</v>
      </c>
      <c r="K370" s="27" t="s">
        <v>282</v>
      </c>
      <c r="L370" s="27" t="s">
        <v>283</v>
      </c>
      <c r="M370" s="32" t="str">
        <f>HYPERLINK("http://slimages.macys.com/is/image/MCY/3623258 ")</f>
        <v xml:space="preserve">http://slimages.macys.com/is/image/MCY/3623258 </v>
      </c>
    </row>
    <row r="371" spans="1:13" ht="15.2" customHeight="1" x14ac:dyDescent="0.2">
      <c r="A371" s="26" t="s">
        <v>1950</v>
      </c>
      <c r="B371" s="27" t="s">
        <v>1951</v>
      </c>
      <c r="C371" s="28">
        <v>2</v>
      </c>
      <c r="D371" s="29">
        <v>5.25</v>
      </c>
      <c r="E371" s="29">
        <v>10.5</v>
      </c>
      <c r="F371" s="30">
        <v>12.99</v>
      </c>
      <c r="G371" s="29">
        <v>25.98</v>
      </c>
      <c r="H371" s="28" t="s">
        <v>1575</v>
      </c>
      <c r="I371" s="27" t="s">
        <v>4</v>
      </c>
      <c r="J371" s="31" t="s">
        <v>5</v>
      </c>
      <c r="K371" s="27" t="s">
        <v>282</v>
      </c>
      <c r="L371" s="27" t="s">
        <v>358</v>
      </c>
      <c r="M371" s="32" t="str">
        <f>HYPERLINK("http://slimages.macys.com/is/image/MCY/3875978 ")</f>
        <v xml:space="preserve">http://slimages.macys.com/is/image/MCY/3875978 </v>
      </c>
    </row>
    <row r="372" spans="1:13" ht="15.2" customHeight="1" x14ac:dyDescent="0.2">
      <c r="A372" s="26" t="s">
        <v>11256</v>
      </c>
      <c r="B372" s="27" t="s">
        <v>11257</v>
      </c>
      <c r="C372" s="28">
        <v>1</v>
      </c>
      <c r="D372" s="29">
        <v>5</v>
      </c>
      <c r="E372" s="29">
        <v>5</v>
      </c>
      <c r="F372" s="30">
        <v>13.99</v>
      </c>
      <c r="G372" s="29">
        <v>13.99</v>
      </c>
      <c r="H372" s="28" t="s">
        <v>11258</v>
      </c>
      <c r="I372" s="27" t="s">
        <v>29</v>
      </c>
      <c r="J372" s="31" t="s">
        <v>52</v>
      </c>
      <c r="K372" s="27" t="s">
        <v>282</v>
      </c>
      <c r="L372" s="27" t="s">
        <v>325</v>
      </c>
      <c r="M372" s="32" t="str">
        <f>HYPERLINK("http://slimages.macys.com/is/image/MCY/3593662 ")</f>
        <v xml:space="preserve">http://slimages.macys.com/is/image/MCY/3593662 </v>
      </c>
    </row>
    <row r="373" spans="1:13" ht="15.2" customHeight="1" x14ac:dyDescent="0.2">
      <c r="A373" s="26" t="s">
        <v>7591</v>
      </c>
      <c r="B373" s="27" t="s">
        <v>7592</v>
      </c>
      <c r="C373" s="28">
        <v>1</v>
      </c>
      <c r="D373" s="29">
        <v>4.5</v>
      </c>
      <c r="E373" s="29">
        <v>4.5</v>
      </c>
      <c r="F373" s="30">
        <v>12.99</v>
      </c>
      <c r="G373" s="29">
        <v>12.99</v>
      </c>
      <c r="H373" s="28" t="s">
        <v>5559</v>
      </c>
      <c r="I373" s="27" t="s">
        <v>59</v>
      </c>
      <c r="J373" s="31" t="s">
        <v>21</v>
      </c>
      <c r="K373" s="27" t="s">
        <v>282</v>
      </c>
      <c r="L373" s="27" t="s">
        <v>283</v>
      </c>
      <c r="M373" s="32" t="str">
        <f>HYPERLINK("http://slimages.macys.com/is/image/MCY/3875942 ")</f>
        <v xml:space="preserve">http://slimages.macys.com/is/image/MCY/3875942 </v>
      </c>
    </row>
    <row r="374" spans="1:13" ht="15.2" customHeight="1" x14ac:dyDescent="0.2">
      <c r="A374" s="26" t="s">
        <v>1592</v>
      </c>
      <c r="B374" s="27" t="s">
        <v>1593</v>
      </c>
      <c r="C374" s="28">
        <v>2</v>
      </c>
      <c r="D374" s="29">
        <v>4.5</v>
      </c>
      <c r="E374" s="29">
        <v>9</v>
      </c>
      <c r="F374" s="30">
        <v>12.99</v>
      </c>
      <c r="G374" s="29">
        <v>25.98</v>
      </c>
      <c r="H374" s="28" t="s">
        <v>1594</v>
      </c>
      <c r="I374" s="27" t="s">
        <v>4</v>
      </c>
      <c r="J374" s="31" t="s">
        <v>21</v>
      </c>
      <c r="K374" s="27" t="s">
        <v>282</v>
      </c>
      <c r="L374" s="27" t="s">
        <v>283</v>
      </c>
      <c r="M374" s="32" t="str">
        <f>HYPERLINK("http://slimages.macys.com/is/image/MCY/3927796 ")</f>
        <v xml:space="preserve">http://slimages.macys.com/is/image/MCY/3927796 </v>
      </c>
    </row>
    <row r="375" spans="1:13" ht="15.2" customHeight="1" x14ac:dyDescent="0.2">
      <c r="A375" s="26" t="s">
        <v>6069</v>
      </c>
      <c r="B375" s="27" t="s">
        <v>6070</v>
      </c>
      <c r="C375" s="28">
        <v>1</v>
      </c>
      <c r="D375" s="29">
        <v>4.5</v>
      </c>
      <c r="E375" s="29">
        <v>4.5</v>
      </c>
      <c r="F375" s="30">
        <v>12.99</v>
      </c>
      <c r="G375" s="29">
        <v>12.99</v>
      </c>
      <c r="H375" s="28" t="s">
        <v>5559</v>
      </c>
      <c r="I375" s="27" t="s">
        <v>59</v>
      </c>
      <c r="J375" s="31" t="s">
        <v>5</v>
      </c>
      <c r="K375" s="27" t="s">
        <v>282</v>
      </c>
      <c r="L375" s="27" t="s">
        <v>283</v>
      </c>
      <c r="M375" s="32" t="str">
        <f>HYPERLINK("http://slimages.macys.com/is/image/MCY/3875942 ")</f>
        <v xml:space="preserve">http://slimages.macys.com/is/image/MCY/3875942 </v>
      </c>
    </row>
    <row r="376" spans="1:13" ht="15.2" customHeight="1" x14ac:dyDescent="0.2">
      <c r="A376" s="26" t="s">
        <v>7461</v>
      </c>
      <c r="B376" s="27" t="s">
        <v>7462</v>
      </c>
      <c r="C376" s="28">
        <v>1</v>
      </c>
      <c r="D376" s="29">
        <v>4.5</v>
      </c>
      <c r="E376" s="29">
        <v>4.5</v>
      </c>
      <c r="F376" s="30">
        <v>12.99</v>
      </c>
      <c r="G376" s="29">
        <v>12.99</v>
      </c>
      <c r="H376" s="28" t="s">
        <v>5559</v>
      </c>
      <c r="I376" s="27" t="s">
        <v>59</v>
      </c>
      <c r="J376" s="31" t="s">
        <v>40</v>
      </c>
      <c r="K376" s="27" t="s">
        <v>282</v>
      </c>
      <c r="L376" s="27" t="s">
        <v>283</v>
      </c>
      <c r="M376" s="32" t="str">
        <f>HYPERLINK("http://slimages.macys.com/is/image/MCY/3875942 ")</f>
        <v xml:space="preserve">http://slimages.macys.com/is/image/MCY/3875942 </v>
      </c>
    </row>
    <row r="377" spans="1:13" ht="15.2" customHeight="1" x14ac:dyDescent="0.2">
      <c r="A377" s="26" t="s">
        <v>9839</v>
      </c>
      <c r="B377" s="27" t="s">
        <v>9840</v>
      </c>
      <c r="C377" s="28">
        <v>1</v>
      </c>
      <c r="D377" s="29">
        <v>4.5</v>
      </c>
      <c r="E377" s="29">
        <v>4.5</v>
      </c>
      <c r="F377" s="30">
        <v>12.99</v>
      </c>
      <c r="G377" s="29">
        <v>12.99</v>
      </c>
      <c r="H377" s="28" t="s">
        <v>8457</v>
      </c>
      <c r="I377" s="27" t="s">
        <v>152</v>
      </c>
      <c r="J377" s="31" t="s">
        <v>5</v>
      </c>
      <c r="K377" s="27" t="s">
        <v>200</v>
      </c>
      <c r="L377" s="27" t="s">
        <v>239</v>
      </c>
      <c r="M377" s="32" t="str">
        <f>HYPERLINK("http://slimages.macys.com/is/image/MCY/3652462 ")</f>
        <v xml:space="preserve">http://slimages.macys.com/is/image/MCY/3652462 </v>
      </c>
    </row>
    <row r="378" spans="1:13" ht="15.2" customHeight="1" x14ac:dyDescent="0.2">
      <c r="A378" s="26" t="s">
        <v>7457</v>
      </c>
      <c r="B378" s="27" t="s">
        <v>7458</v>
      </c>
      <c r="C378" s="28">
        <v>1</v>
      </c>
      <c r="D378" s="29">
        <v>4.5</v>
      </c>
      <c r="E378" s="29">
        <v>4.5</v>
      </c>
      <c r="F378" s="30">
        <v>12.99</v>
      </c>
      <c r="G378" s="29">
        <v>12.99</v>
      </c>
      <c r="H378" s="28" t="s">
        <v>5495</v>
      </c>
      <c r="I378" s="27" t="s">
        <v>8</v>
      </c>
      <c r="J378" s="31" t="s">
        <v>71</v>
      </c>
      <c r="K378" s="27" t="s">
        <v>282</v>
      </c>
      <c r="L378" s="27" t="s">
        <v>283</v>
      </c>
      <c r="M378" s="32" t="str">
        <f>HYPERLINK("http://slimages.macys.com/is/image/MCY/3875803 ")</f>
        <v xml:space="preserve">http://slimages.macys.com/is/image/MCY/3875803 </v>
      </c>
    </row>
    <row r="379" spans="1:13" ht="15.2" customHeight="1" x14ac:dyDescent="0.2">
      <c r="A379" s="26" t="s">
        <v>7463</v>
      </c>
      <c r="B379" s="27" t="s">
        <v>7464</v>
      </c>
      <c r="C379" s="28">
        <v>2</v>
      </c>
      <c r="D379" s="29">
        <v>4.5</v>
      </c>
      <c r="E379" s="29">
        <v>9</v>
      </c>
      <c r="F379" s="30">
        <v>12.99</v>
      </c>
      <c r="G379" s="29">
        <v>25.98</v>
      </c>
      <c r="H379" s="28" t="s">
        <v>1594</v>
      </c>
      <c r="I379" s="27" t="s">
        <v>4</v>
      </c>
      <c r="J379" s="31" t="s">
        <v>40</v>
      </c>
      <c r="K379" s="27" t="s">
        <v>282</v>
      </c>
      <c r="L379" s="27" t="s">
        <v>283</v>
      </c>
      <c r="M379" s="32" t="str">
        <f>HYPERLINK("http://slimages.macys.com/is/image/MCY/3927796 ")</f>
        <v xml:space="preserve">http://slimages.macys.com/is/image/MCY/3927796 </v>
      </c>
    </row>
    <row r="380" spans="1:13" ht="15.2" customHeight="1" x14ac:dyDescent="0.2">
      <c r="A380" s="26" t="s">
        <v>7465</v>
      </c>
      <c r="B380" s="27" t="s">
        <v>7466</v>
      </c>
      <c r="C380" s="28">
        <v>1</v>
      </c>
      <c r="D380" s="29">
        <v>4.5</v>
      </c>
      <c r="E380" s="29">
        <v>4.5</v>
      </c>
      <c r="F380" s="30">
        <v>12.99</v>
      </c>
      <c r="G380" s="29">
        <v>12.99</v>
      </c>
      <c r="H380" s="28" t="s">
        <v>5559</v>
      </c>
      <c r="I380" s="27" t="s">
        <v>59</v>
      </c>
      <c r="J380" s="31" t="s">
        <v>71</v>
      </c>
      <c r="K380" s="27" t="s">
        <v>282</v>
      </c>
      <c r="L380" s="27" t="s">
        <v>283</v>
      </c>
      <c r="M380" s="32" t="str">
        <f>HYPERLINK("http://slimages.macys.com/is/image/MCY/3875942 ")</f>
        <v xml:space="preserve">http://slimages.macys.com/is/image/MCY/3875942 </v>
      </c>
    </row>
    <row r="381" spans="1:13" ht="15.2" customHeight="1" x14ac:dyDescent="0.2">
      <c r="A381" s="26" t="s">
        <v>8422</v>
      </c>
      <c r="B381" s="27" t="s">
        <v>8423</v>
      </c>
      <c r="C381" s="28">
        <v>1</v>
      </c>
      <c r="D381" s="29">
        <v>4</v>
      </c>
      <c r="E381" s="29">
        <v>4</v>
      </c>
      <c r="F381" s="30">
        <v>12.99</v>
      </c>
      <c r="G381" s="29">
        <v>12.99</v>
      </c>
      <c r="H381" s="28" t="s">
        <v>1598</v>
      </c>
      <c r="I381" s="27" t="s">
        <v>10</v>
      </c>
      <c r="J381" s="31" t="s">
        <v>52</v>
      </c>
      <c r="K381" s="27" t="s">
        <v>200</v>
      </c>
      <c r="L381" s="27" t="s">
        <v>260</v>
      </c>
      <c r="M381" s="32" t="str">
        <f>HYPERLINK("http://slimages.macys.com/is/image/MCY/3625071 ")</f>
        <v xml:space="preserve">http://slimages.macys.com/is/image/MCY/3625071 </v>
      </c>
    </row>
    <row r="382" spans="1:13" ht="15.2" customHeight="1" x14ac:dyDescent="0.2">
      <c r="A382" s="26" t="s">
        <v>9753</v>
      </c>
      <c r="B382" s="27" t="s">
        <v>9754</v>
      </c>
      <c r="C382" s="28">
        <v>3</v>
      </c>
      <c r="D382" s="29">
        <v>4</v>
      </c>
      <c r="E382" s="29">
        <v>12</v>
      </c>
      <c r="F382" s="30">
        <v>12.99</v>
      </c>
      <c r="G382" s="29">
        <v>38.97</v>
      </c>
      <c r="H382" s="28" t="s">
        <v>1598</v>
      </c>
      <c r="I382" s="27" t="s">
        <v>36</v>
      </c>
      <c r="J382" s="31" t="s">
        <v>52</v>
      </c>
      <c r="K382" s="27" t="s">
        <v>200</v>
      </c>
      <c r="L382" s="27" t="s">
        <v>260</v>
      </c>
      <c r="M382" s="32" t="str">
        <f>HYPERLINK("http://slimages.macys.com/is/image/MCY/3625071 ")</f>
        <v xml:space="preserve">http://slimages.macys.com/is/image/MCY/3625071 </v>
      </c>
    </row>
    <row r="383" spans="1:13" ht="15.2" customHeight="1" x14ac:dyDescent="0.2">
      <c r="A383" s="26" t="s">
        <v>9841</v>
      </c>
      <c r="B383" s="27" t="s">
        <v>9842</v>
      </c>
      <c r="C383" s="28">
        <v>1</v>
      </c>
      <c r="D383" s="29">
        <v>3.72</v>
      </c>
      <c r="E383" s="29">
        <v>3.72</v>
      </c>
      <c r="F383" s="30">
        <v>7.99</v>
      </c>
      <c r="G383" s="29">
        <v>7.99</v>
      </c>
      <c r="H383" s="28" t="s">
        <v>459</v>
      </c>
      <c r="I383" s="27" t="s">
        <v>343</v>
      </c>
      <c r="J383" s="31" t="s">
        <v>52</v>
      </c>
      <c r="K383" s="27" t="s">
        <v>282</v>
      </c>
      <c r="L383" s="27" t="s">
        <v>325</v>
      </c>
      <c r="M383" s="32" t="str">
        <f>HYPERLINK("http://slimages.macys.com/is/image/MCY/3609979 ")</f>
        <v xml:space="preserve">http://slimages.macys.com/is/image/MCY/3609979 </v>
      </c>
    </row>
    <row r="384" spans="1:13" ht="15.2" customHeight="1" x14ac:dyDescent="0.2">
      <c r="A384" s="26" t="s">
        <v>9468</v>
      </c>
      <c r="B384" s="27" t="s">
        <v>9469</v>
      </c>
      <c r="C384" s="28">
        <v>1</v>
      </c>
      <c r="D384" s="29">
        <v>3.65</v>
      </c>
      <c r="E384" s="29">
        <v>3.65</v>
      </c>
      <c r="F384" s="30">
        <v>12.99</v>
      </c>
      <c r="G384" s="29">
        <v>12.99</v>
      </c>
      <c r="H384" s="28" t="s">
        <v>950</v>
      </c>
      <c r="I384" s="27" t="s">
        <v>36</v>
      </c>
      <c r="J384" s="31" t="s">
        <v>21</v>
      </c>
      <c r="K384" s="27" t="s">
        <v>200</v>
      </c>
      <c r="L384" s="27" t="s">
        <v>325</v>
      </c>
      <c r="M384" s="32" t="str">
        <f>HYPERLINK("http://slimages.macys.com/is/image/MCY/3937151 ")</f>
        <v xml:space="preserve">http://slimages.macys.com/is/image/MCY/3937151 </v>
      </c>
    </row>
    <row r="385" spans="1:13" ht="15.2" customHeight="1" x14ac:dyDescent="0.2">
      <c r="A385" s="26" t="s">
        <v>11259</v>
      </c>
      <c r="B385" s="27" t="s">
        <v>11260</v>
      </c>
      <c r="C385" s="28">
        <v>1</v>
      </c>
      <c r="D385" s="29">
        <v>3.45</v>
      </c>
      <c r="E385" s="29">
        <v>3.45</v>
      </c>
      <c r="F385" s="30">
        <v>7.99</v>
      </c>
      <c r="G385" s="29">
        <v>7.99</v>
      </c>
      <c r="H385" s="28">
        <v>60423445</v>
      </c>
      <c r="I385" s="27" t="s">
        <v>295</v>
      </c>
      <c r="J385" s="31" t="s">
        <v>71</v>
      </c>
      <c r="K385" s="27" t="s">
        <v>282</v>
      </c>
      <c r="L385" s="27" t="s">
        <v>255</v>
      </c>
      <c r="M385" s="32" t="str">
        <f>HYPERLINK("http://slimages.macys.com/is/image/MCY/3663800 ")</f>
        <v xml:space="preserve">http://slimages.macys.com/is/image/MCY/3663800 </v>
      </c>
    </row>
    <row r="386" spans="1:13" ht="15.2" customHeight="1" x14ac:dyDescent="0.2">
      <c r="A386" s="26" t="s">
        <v>3028</v>
      </c>
      <c r="B386" s="27" t="s">
        <v>3029</v>
      </c>
      <c r="C386" s="28">
        <v>3</v>
      </c>
      <c r="D386" s="29">
        <v>3.45</v>
      </c>
      <c r="E386" s="29">
        <v>10.35</v>
      </c>
      <c r="F386" s="30">
        <v>7.99</v>
      </c>
      <c r="G386" s="29">
        <v>23.97</v>
      </c>
      <c r="H386" s="28">
        <v>60423445</v>
      </c>
      <c r="I386" s="27" t="s">
        <v>661</v>
      </c>
      <c r="J386" s="31" t="s">
        <v>21</v>
      </c>
      <c r="K386" s="27" t="s">
        <v>282</v>
      </c>
      <c r="L386" s="27" t="s">
        <v>255</v>
      </c>
      <c r="M386" s="32" t="str">
        <f>HYPERLINK("http://slimages.macys.com/is/image/MCY/3663800 ")</f>
        <v xml:space="preserve">http://slimages.macys.com/is/image/MCY/3663800 </v>
      </c>
    </row>
    <row r="387" spans="1:13" ht="15.2" customHeight="1" x14ac:dyDescent="0.2">
      <c r="A387" s="26" t="s">
        <v>3036</v>
      </c>
      <c r="B387" s="27" t="s">
        <v>3037</v>
      </c>
      <c r="C387" s="28">
        <v>1</v>
      </c>
      <c r="D387" s="29">
        <v>3.45</v>
      </c>
      <c r="E387" s="29">
        <v>3.45</v>
      </c>
      <c r="F387" s="30">
        <v>7.99</v>
      </c>
      <c r="G387" s="29">
        <v>7.99</v>
      </c>
      <c r="H387" s="28">
        <v>60423445</v>
      </c>
      <c r="I387" s="27" t="s">
        <v>661</v>
      </c>
      <c r="J387" s="31" t="s">
        <v>5</v>
      </c>
      <c r="K387" s="27" t="s">
        <v>282</v>
      </c>
      <c r="L387" s="27" t="s">
        <v>255</v>
      </c>
      <c r="M387" s="32" t="str">
        <f>HYPERLINK("http://slimages.macys.com/is/image/MCY/3663800 ")</f>
        <v xml:space="preserve">http://slimages.macys.com/is/image/MCY/3663800 </v>
      </c>
    </row>
    <row r="388" spans="1:13" ht="15.2" customHeight="1" x14ac:dyDescent="0.2">
      <c r="A388" s="26" t="s">
        <v>1973</v>
      </c>
      <c r="B388" s="27" t="s">
        <v>1974</v>
      </c>
      <c r="C388" s="28">
        <v>1</v>
      </c>
      <c r="D388" s="29">
        <v>45</v>
      </c>
      <c r="E388" s="29">
        <v>45</v>
      </c>
      <c r="F388" s="30">
        <v>118</v>
      </c>
      <c r="G388" s="29">
        <v>118</v>
      </c>
      <c r="H388" s="28" t="s">
        <v>1975</v>
      </c>
      <c r="I388" s="27" t="s">
        <v>267</v>
      </c>
      <c r="J388" s="31" t="s">
        <v>5</v>
      </c>
      <c r="K388" s="27" t="s">
        <v>17</v>
      </c>
      <c r="L388" s="27" t="s">
        <v>18</v>
      </c>
      <c r="M388" s="32"/>
    </row>
    <row r="389" spans="1:13" ht="15.2" customHeight="1" x14ac:dyDescent="0.2">
      <c r="A389" s="26" t="s">
        <v>11261</v>
      </c>
      <c r="B389" s="27" t="s">
        <v>11262</v>
      </c>
      <c r="C389" s="28">
        <v>2</v>
      </c>
      <c r="D389" s="29">
        <v>45</v>
      </c>
      <c r="E389" s="29">
        <v>90</v>
      </c>
      <c r="F389" s="30">
        <v>118</v>
      </c>
      <c r="G389" s="29">
        <v>236</v>
      </c>
      <c r="H389" s="28" t="s">
        <v>1975</v>
      </c>
      <c r="I389" s="27" t="s">
        <v>267</v>
      </c>
      <c r="J389" s="31" t="s">
        <v>71</v>
      </c>
      <c r="K389" s="27" t="s">
        <v>17</v>
      </c>
      <c r="L389" s="27" t="s">
        <v>18</v>
      </c>
      <c r="M389" s="32"/>
    </row>
    <row r="390" spans="1:13" ht="15.2" customHeight="1" x14ac:dyDescent="0.2">
      <c r="A390" s="26" t="s">
        <v>11263</v>
      </c>
      <c r="B390" s="27" t="s">
        <v>11264</v>
      </c>
      <c r="C390" s="28">
        <v>1</v>
      </c>
      <c r="D390" s="29">
        <v>45</v>
      </c>
      <c r="E390" s="29">
        <v>45</v>
      </c>
      <c r="F390" s="30">
        <v>118</v>
      </c>
      <c r="G390" s="29">
        <v>118</v>
      </c>
      <c r="H390" s="28" t="s">
        <v>1975</v>
      </c>
      <c r="I390" s="27" t="s">
        <v>267</v>
      </c>
      <c r="J390" s="31" t="s">
        <v>21</v>
      </c>
      <c r="K390" s="27" t="s">
        <v>17</v>
      </c>
      <c r="L390" s="27" t="s">
        <v>18</v>
      </c>
      <c r="M390" s="32"/>
    </row>
    <row r="391" spans="1:13" ht="15.2" customHeight="1" x14ac:dyDescent="0.2">
      <c r="A391" s="26" t="s">
        <v>11265</v>
      </c>
      <c r="B391" s="27" t="s">
        <v>11266</v>
      </c>
      <c r="C391" s="28">
        <v>1</v>
      </c>
      <c r="D391" s="29">
        <v>45</v>
      </c>
      <c r="E391" s="29">
        <v>45</v>
      </c>
      <c r="F391" s="30">
        <v>118</v>
      </c>
      <c r="G391" s="29">
        <v>118</v>
      </c>
      <c r="H391" s="28" t="s">
        <v>1975</v>
      </c>
      <c r="I391" s="27" t="s">
        <v>267</v>
      </c>
      <c r="J391" s="31" t="s">
        <v>52</v>
      </c>
      <c r="K391" s="27" t="s">
        <v>17</v>
      </c>
      <c r="L391" s="27" t="s">
        <v>18</v>
      </c>
      <c r="M391" s="32"/>
    </row>
    <row r="392" spans="1:13" ht="15.2" customHeight="1" x14ac:dyDescent="0.2">
      <c r="A392" s="26" t="s">
        <v>11267</v>
      </c>
      <c r="B392" s="27" t="s">
        <v>3038</v>
      </c>
      <c r="C392" s="28">
        <v>1</v>
      </c>
      <c r="D392" s="29">
        <v>37.119999999999997</v>
      </c>
      <c r="E392" s="29">
        <v>37.119999999999997</v>
      </c>
      <c r="F392" s="30">
        <v>99</v>
      </c>
      <c r="G392" s="29">
        <v>99</v>
      </c>
      <c r="H392" s="28">
        <v>7056751</v>
      </c>
      <c r="I392" s="27" t="s">
        <v>189</v>
      </c>
      <c r="J392" s="31" t="s">
        <v>516</v>
      </c>
      <c r="K392" s="27" t="s">
        <v>462</v>
      </c>
      <c r="L392" s="27" t="s">
        <v>463</v>
      </c>
      <c r="M392" s="32"/>
    </row>
    <row r="393" spans="1:13" ht="15.2" customHeight="1" x14ac:dyDescent="0.2">
      <c r="A393" s="26" t="s">
        <v>11268</v>
      </c>
      <c r="B393" s="27" t="s">
        <v>11269</v>
      </c>
      <c r="C393" s="28">
        <v>1</v>
      </c>
      <c r="D393" s="29">
        <v>27</v>
      </c>
      <c r="E393" s="29">
        <v>27</v>
      </c>
      <c r="F393" s="30">
        <v>69.5</v>
      </c>
      <c r="G393" s="29">
        <v>69.5</v>
      </c>
      <c r="H393" s="28" t="s">
        <v>1984</v>
      </c>
      <c r="I393" s="27" t="s">
        <v>478</v>
      </c>
      <c r="J393" s="31" t="s">
        <v>5</v>
      </c>
      <c r="K393" s="27" t="s">
        <v>17</v>
      </c>
      <c r="L393" s="27" t="s">
        <v>18</v>
      </c>
      <c r="M393" s="32"/>
    </row>
    <row r="394" spans="1:13" ht="15.2" customHeight="1" x14ac:dyDescent="0.2">
      <c r="A394" s="26" t="s">
        <v>1612</v>
      </c>
      <c r="B394" s="27" t="s">
        <v>1613</v>
      </c>
      <c r="C394" s="28">
        <v>1</v>
      </c>
      <c r="D394" s="29">
        <v>19</v>
      </c>
      <c r="E394" s="29">
        <v>19</v>
      </c>
      <c r="F394" s="30">
        <v>49.5</v>
      </c>
      <c r="G394" s="29">
        <v>49.5</v>
      </c>
      <c r="H394" s="28" t="s">
        <v>1614</v>
      </c>
      <c r="I394" s="27" t="s">
        <v>215</v>
      </c>
      <c r="J394" s="31" t="s">
        <v>40</v>
      </c>
      <c r="K394" s="27" t="s">
        <v>17</v>
      </c>
      <c r="L394" s="27" t="s">
        <v>18</v>
      </c>
      <c r="M394" s="32"/>
    </row>
    <row r="395" spans="1:13" ht="15.2" customHeight="1" x14ac:dyDescent="0.2">
      <c r="A395" s="26" t="s">
        <v>11270</v>
      </c>
      <c r="B395" s="27" t="s">
        <v>11271</v>
      </c>
      <c r="C395" s="28">
        <v>1</v>
      </c>
      <c r="D395" s="29">
        <v>19</v>
      </c>
      <c r="E395" s="29">
        <v>19</v>
      </c>
      <c r="F395" s="30">
        <v>49.5</v>
      </c>
      <c r="G395" s="29">
        <v>49.5</v>
      </c>
      <c r="H395" s="28" t="s">
        <v>1614</v>
      </c>
      <c r="I395" s="27" t="s">
        <v>144</v>
      </c>
      <c r="J395" s="31" t="s">
        <v>40</v>
      </c>
      <c r="K395" s="27" t="s">
        <v>17</v>
      </c>
      <c r="L395" s="27" t="s">
        <v>18</v>
      </c>
      <c r="M395" s="32"/>
    </row>
    <row r="396" spans="1:13" ht="15.2" customHeight="1" x14ac:dyDescent="0.2">
      <c r="A396" s="26" t="s">
        <v>10193</v>
      </c>
      <c r="B396" s="27" t="s">
        <v>10194</v>
      </c>
      <c r="C396" s="28">
        <v>1</v>
      </c>
      <c r="D396" s="29">
        <v>19</v>
      </c>
      <c r="E396" s="29">
        <v>19</v>
      </c>
      <c r="F396" s="30">
        <v>49.5</v>
      </c>
      <c r="G396" s="29">
        <v>49.5</v>
      </c>
      <c r="H396" s="28" t="s">
        <v>1614</v>
      </c>
      <c r="I396" s="27" t="s">
        <v>215</v>
      </c>
      <c r="J396" s="31" t="s">
        <v>21</v>
      </c>
      <c r="K396" s="27" t="s">
        <v>17</v>
      </c>
      <c r="L396" s="27" t="s">
        <v>18</v>
      </c>
      <c r="M396" s="32"/>
    </row>
    <row r="397" spans="1:13" ht="15.2" customHeight="1" x14ac:dyDescent="0.2">
      <c r="A397" s="26" t="s">
        <v>11272</v>
      </c>
      <c r="B397" s="27" t="s">
        <v>11273</v>
      </c>
      <c r="C397" s="28">
        <v>1</v>
      </c>
      <c r="D397" s="29">
        <v>19</v>
      </c>
      <c r="E397" s="29">
        <v>19</v>
      </c>
      <c r="F397" s="30">
        <v>49.5</v>
      </c>
      <c r="G397" s="29">
        <v>49.5</v>
      </c>
      <c r="H397" s="28" t="s">
        <v>1614</v>
      </c>
      <c r="I397" s="27" t="s">
        <v>215</v>
      </c>
      <c r="J397" s="31" t="s">
        <v>5</v>
      </c>
      <c r="K397" s="27" t="s">
        <v>17</v>
      </c>
      <c r="L397" s="27" t="s">
        <v>18</v>
      </c>
      <c r="M397" s="32"/>
    </row>
    <row r="398" spans="1:13" ht="15.2" customHeight="1" x14ac:dyDescent="0.2">
      <c r="A398" s="26" t="s">
        <v>1615</v>
      </c>
      <c r="B398" s="27" t="s">
        <v>979</v>
      </c>
      <c r="C398" s="28">
        <v>1</v>
      </c>
      <c r="D398" s="29">
        <v>18.829999999999998</v>
      </c>
      <c r="E398" s="29">
        <v>18.829999999999998</v>
      </c>
      <c r="F398" s="30">
        <v>43.5</v>
      </c>
      <c r="G398" s="29">
        <v>43.5</v>
      </c>
      <c r="H398" s="28" t="s">
        <v>980</v>
      </c>
      <c r="I398" s="27" t="s">
        <v>82</v>
      </c>
      <c r="J398" s="31" t="s">
        <v>110</v>
      </c>
      <c r="K398" s="27" t="s">
        <v>41</v>
      </c>
      <c r="L398" s="27" t="s">
        <v>45</v>
      </c>
      <c r="M398" s="32"/>
    </row>
    <row r="399" spans="1:13" ht="15.2" customHeight="1" x14ac:dyDescent="0.2">
      <c r="A399" s="26" t="s">
        <v>3068</v>
      </c>
      <c r="B399" s="27" t="s">
        <v>979</v>
      </c>
      <c r="C399" s="28">
        <v>1</v>
      </c>
      <c r="D399" s="29">
        <v>18.829999999999998</v>
      </c>
      <c r="E399" s="29">
        <v>18.829999999999998</v>
      </c>
      <c r="F399" s="30">
        <v>43.5</v>
      </c>
      <c r="G399" s="29">
        <v>43.5</v>
      </c>
      <c r="H399" s="28" t="s">
        <v>980</v>
      </c>
      <c r="I399" s="27" t="s">
        <v>82</v>
      </c>
      <c r="J399" s="31" t="s">
        <v>113</v>
      </c>
      <c r="K399" s="27" t="s">
        <v>41</v>
      </c>
      <c r="L399" s="27" t="s">
        <v>45</v>
      </c>
      <c r="M399" s="32"/>
    </row>
    <row r="400" spans="1:13" ht="15.2" customHeight="1" x14ac:dyDescent="0.2">
      <c r="A400" s="26" t="s">
        <v>7470</v>
      </c>
      <c r="B400" s="27" t="s">
        <v>987</v>
      </c>
      <c r="C400" s="28">
        <v>1</v>
      </c>
      <c r="D400" s="29">
        <v>17.25</v>
      </c>
      <c r="E400" s="29">
        <v>17.25</v>
      </c>
      <c r="F400" s="30">
        <v>49</v>
      </c>
      <c r="G400" s="29">
        <v>49</v>
      </c>
      <c r="H400" s="28" t="s">
        <v>988</v>
      </c>
      <c r="I400" s="27" t="s">
        <v>10</v>
      </c>
      <c r="J400" s="31" t="s">
        <v>40</v>
      </c>
      <c r="K400" s="27" t="s">
        <v>37</v>
      </c>
      <c r="L400" s="27" t="s">
        <v>38</v>
      </c>
      <c r="M400" s="32"/>
    </row>
    <row r="401" spans="1:13" ht="15.2" customHeight="1" x14ac:dyDescent="0.2">
      <c r="A401" s="26" t="s">
        <v>503</v>
      </c>
      <c r="B401" s="27" t="s">
        <v>504</v>
      </c>
      <c r="C401" s="28">
        <v>1</v>
      </c>
      <c r="D401" s="29">
        <v>17</v>
      </c>
      <c r="E401" s="29">
        <v>17</v>
      </c>
      <c r="F401" s="30">
        <v>44.5</v>
      </c>
      <c r="G401" s="29">
        <v>44.5</v>
      </c>
      <c r="H401" s="28" t="s">
        <v>501</v>
      </c>
      <c r="I401" s="27" t="s">
        <v>215</v>
      </c>
      <c r="J401" s="31" t="s">
        <v>40</v>
      </c>
      <c r="K401" s="27" t="s">
        <v>17</v>
      </c>
      <c r="L401" s="27" t="s">
        <v>18</v>
      </c>
      <c r="M401" s="32"/>
    </row>
    <row r="402" spans="1:13" ht="15.2" customHeight="1" x14ac:dyDescent="0.2">
      <c r="A402" s="26" t="s">
        <v>7604</v>
      </c>
      <c r="B402" s="27" t="s">
        <v>7605</v>
      </c>
      <c r="C402" s="28">
        <v>1</v>
      </c>
      <c r="D402" s="29">
        <v>17</v>
      </c>
      <c r="E402" s="29">
        <v>17</v>
      </c>
      <c r="F402" s="30">
        <v>44.5</v>
      </c>
      <c r="G402" s="29">
        <v>44.5</v>
      </c>
      <c r="H402" s="28" t="s">
        <v>5838</v>
      </c>
      <c r="I402" s="27" t="s">
        <v>36</v>
      </c>
      <c r="J402" s="31" t="s">
        <v>71</v>
      </c>
      <c r="K402" s="27" t="s">
        <v>17</v>
      </c>
      <c r="L402" s="27" t="s">
        <v>18</v>
      </c>
      <c r="M402" s="32"/>
    </row>
    <row r="403" spans="1:13" ht="15.2" customHeight="1" x14ac:dyDescent="0.2">
      <c r="A403" s="26" t="s">
        <v>11274</v>
      </c>
      <c r="B403" s="27" t="s">
        <v>11275</v>
      </c>
      <c r="C403" s="28">
        <v>2</v>
      </c>
      <c r="D403" s="29">
        <v>15</v>
      </c>
      <c r="E403" s="29">
        <v>30</v>
      </c>
      <c r="F403" s="30">
        <v>39.5</v>
      </c>
      <c r="G403" s="29">
        <v>79</v>
      </c>
      <c r="H403" s="28" t="s">
        <v>1634</v>
      </c>
      <c r="I403" s="27" t="s">
        <v>36</v>
      </c>
      <c r="J403" s="31" t="s">
        <v>40</v>
      </c>
      <c r="K403" s="27" t="s">
        <v>17</v>
      </c>
      <c r="L403" s="27" t="s">
        <v>18</v>
      </c>
      <c r="M403" s="32"/>
    </row>
    <row r="404" spans="1:13" ht="15.2" customHeight="1" x14ac:dyDescent="0.2">
      <c r="A404" s="26" t="s">
        <v>11276</v>
      </c>
      <c r="B404" s="27" t="s">
        <v>11277</v>
      </c>
      <c r="C404" s="28">
        <v>2</v>
      </c>
      <c r="D404" s="29">
        <v>15</v>
      </c>
      <c r="E404" s="29">
        <v>30</v>
      </c>
      <c r="F404" s="30">
        <v>39.5</v>
      </c>
      <c r="G404" s="29">
        <v>79</v>
      </c>
      <c r="H404" s="28" t="s">
        <v>1634</v>
      </c>
      <c r="I404" s="27" t="s">
        <v>36</v>
      </c>
      <c r="J404" s="31" t="s">
        <v>5</v>
      </c>
      <c r="K404" s="27" t="s">
        <v>17</v>
      </c>
      <c r="L404" s="27" t="s">
        <v>18</v>
      </c>
      <c r="M404" s="32"/>
    </row>
    <row r="405" spans="1:13" ht="15.2" customHeight="1" x14ac:dyDescent="0.2">
      <c r="A405" s="26" t="s">
        <v>1014</v>
      </c>
      <c r="B405" s="27" t="s">
        <v>1012</v>
      </c>
      <c r="C405" s="28">
        <v>2</v>
      </c>
      <c r="D405" s="29">
        <v>14.65</v>
      </c>
      <c r="E405" s="29">
        <v>29.3</v>
      </c>
      <c r="F405" s="30">
        <v>34.99</v>
      </c>
      <c r="G405" s="29">
        <v>69.98</v>
      </c>
      <c r="H405" s="28" t="s">
        <v>1013</v>
      </c>
      <c r="I405" s="27" t="s">
        <v>4</v>
      </c>
      <c r="J405" s="31" t="s">
        <v>52</v>
      </c>
      <c r="K405" s="27" t="s">
        <v>159</v>
      </c>
      <c r="L405" s="27" t="s">
        <v>160</v>
      </c>
      <c r="M405" s="32"/>
    </row>
    <row r="406" spans="1:13" ht="15.2" customHeight="1" x14ac:dyDescent="0.2">
      <c r="A406" s="26" t="s">
        <v>10993</v>
      </c>
      <c r="B406" s="27" t="s">
        <v>10994</v>
      </c>
      <c r="C406" s="28">
        <v>1</v>
      </c>
      <c r="D406" s="29">
        <v>12.08</v>
      </c>
      <c r="E406" s="29">
        <v>12.08</v>
      </c>
      <c r="F406" s="30">
        <v>27.99</v>
      </c>
      <c r="G406" s="29">
        <v>27.99</v>
      </c>
      <c r="H406" s="28" t="s">
        <v>558</v>
      </c>
      <c r="I406" s="27" t="s">
        <v>280</v>
      </c>
      <c r="J406" s="31" t="s">
        <v>21</v>
      </c>
      <c r="K406" s="27" t="s">
        <v>224</v>
      </c>
      <c r="L406" s="27" t="s">
        <v>237</v>
      </c>
      <c r="M406" s="32"/>
    </row>
    <row r="407" spans="1:13" ht="15.2" customHeight="1" x14ac:dyDescent="0.2">
      <c r="A407" s="26" t="s">
        <v>8512</v>
      </c>
      <c r="B407" s="27" t="s">
        <v>8513</v>
      </c>
      <c r="C407" s="28">
        <v>1</v>
      </c>
      <c r="D407" s="29">
        <v>11.7</v>
      </c>
      <c r="E407" s="29">
        <v>11.7</v>
      </c>
      <c r="F407" s="30">
        <v>27.99</v>
      </c>
      <c r="G407" s="29">
        <v>27.99</v>
      </c>
      <c r="H407" s="28" t="s">
        <v>8464</v>
      </c>
      <c r="I407" s="27" t="s">
        <v>4</v>
      </c>
      <c r="J407" s="31" t="s">
        <v>5</v>
      </c>
      <c r="K407" s="27" t="s">
        <v>159</v>
      </c>
      <c r="L407" s="27" t="s">
        <v>160</v>
      </c>
      <c r="M407" s="32"/>
    </row>
    <row r="408" spans="1:13" ht="15.2" customHeight="1" x14ac:dyDescent="0.2">
      <c r="A408" s="26" t="s">
        <v>11278</v>
      </c>
      <c r="B408" s="27" t="s">
        <v>5516</v>
      </c>
      <c r="C408" s="28">
        <v>1</v>
      </c>
      <c r="D408" s="29">
        <v>11.25</v>
      </c>
      <c r="E408" s="29">
        <v>11.25</v>
      </c>
      <c r="F408" s="30">
        <v>39</v>
      </c>
      <c r="G408" s="29">
        <v>39</v>
      </c>
      <c r="H408" s="28" t="s">
        <v>5517</v>
      </c>
      <c r="I408" s="27" t="s">
        <v>36</v>
      </c>
      <c r="J408" s="31" t="s">
        <v>40</v>
      </c>
      <c r="K408" s="27" t="s">
        <v>70</v>
      </c>
      <c r="L408" s="27" t="s">
        <v>650</v>
      </c>
      <c r="M408" s="32"/>
    </row>
    <row r="409" spans="1:13" ht="15.2" customHeight="1" x14ac:dyDescent="0.2">
      <c r="A409" s="26" t="s">
        <v>7608</v>
      </c>
      <c r="B409" s="27" t="s">
        <v>5516</v>
      </c>
      <c r="C409" s="28">
        <v>1</v>
      </c>
      <c r="D409" s="29">
        <v>11.25</v>
      </c>
      <c r="E409" s="29">
        <v>11.25</v>
      </c>
      <c r="F409" s="30">
        <v>39</v>
      </c>
      <c r="G409" s="29">
        <v>39</v>
      </c>
      <c r="H409" s="28" t="s">
        <v>5517</v>
      </c>
      <c r="I409" s="27" t="s">
        <v>36</v>
      </c>
      <c r="J409" s="31" t="s">
        <v>21</v>
      </c>
      <c r="K409" s="27" t="s">
        <v>70</v>
      </c>
      <c r="L409" s="27" t="s">
        <v>650</v>
      </c>
      <c r="M409" s="32"/>
    </row>
    <row r="410" spans="1:13" ht="15.2" customHeight="1" x14ac:dyDescent="0.2">
      <c r="A410" s="26" t="s">
        <v>8429</v>
      </c>
      <c r="B410" s="27" t="s">
        <v>7609</v>
      </c>
      <c r="C410" s="28">
        <v>1</v>
      </c>
      <c r="D410" s="29">
        <v>11</v>
      </c>
      <c r="E410" s="29">
        <v>11</v>
      </c>
      <c r="F410" s="30">
        <v>25.99</v>
      </c>
      <c r="G410" s="29">
        <v>25.99</v>
      </c>
      <c r="H410" s="28" t="s">
        <v>7610</v>
      </c>
      <c r="I410" s="27" t="s">
        <v>343</v>
      </c>
      <c r="J410" s="31" t="s">
        <v>5</v>
      </c>
      <c r="K410" s="27" t="s">
        <v>200</v>
      </c>
      <c r="L410" s="27" t="s">
        <v>1201</v>
      </c>
      <c r="M410" s="32"/>
    </row>
    <row r="411" spans="1:13" ht="15.2" customHeight="1" x14ac:dyDescent="0.2">
      <c r="A411" s="26" t="s">
        <v>11279</v>
      </c>
      <c r="B411" s="27" t="s">
        <v>11280</v>
      </c>
      <c r="C411" s="28">
        <v>1</v>
      </c>
      <c r="D411" s="29">
        <v>11</v>
      </c>
      <c r="E411" s="29">
        <v>11</v>
      </c>
      <c r="F411" s="30">
        <v>25.99</v>
      </c>
      <c r="G411" s="29">
        <v>25.99</v>
      </c>
      <c r="H411" s="28" t="s">
        <v>8871</v>
      </c>
      <c r="I411" s="27" t="s">
        <v>8</v>
      </c>
      <c r="J411" s="31" t="s">
        <v>40</v>
      </c>
      <c r="K411" s="27" t="s">
        <v>200</v>
      </c>
      <c r="L411" s="27" t="s">
        <v>1201</v>
      </c>
      <c r="M411" s="32"/>
    </row>
    <row r="412" spans="1:13" ht="15.2" customHeight="1" x14ac:dyDescent="0.2">
      <c r="A412" s="26" t="s">
        <v>9393</v>
      </c>
      <c r="B412" s="27" t="s">
        <v>9394</v>
      </c>
      <c r="C412" s="28">
        <v>1</v>
      </c>
      <c r="D412" s="29">
        <v>10.5</v>
      </c>
      <c r="E412" s="29">
        <v>10.5</v>
      </c>
      <c r="F412" s="30">
        <v>24.99</v>
      </c>
      <c r="G412" s="29">
        <v>24.99</v>
      </c>
      <c r="H412" s="28" t="s">
        <v>1043</v>
      </c>
      <c r="I412" s="27" t="s">
        <v>4</v>
      </c>
      <c r="J412" s="31" t="s">
        <v>52</v>
      </c>
      <c r="K412" s="27" t="s">
        <v>224</v>
      </c>
      <c r="L412" s="27" t="s">
        <v>239</v>
      </c>
      <c r="M412" s="32"/>
    </row>
    <row r="413" spans="1:13" ht="15.2" customHeight="1" x14ac:dyDescent="0.2">
      <c r="A413" s="26" t="s">
        <v>11281</v>
      </c>
      <c r="B413" s="27" t="s">
        <v>11282</v>
      </c>
      <c r="C413" s="28">
        <v>1</v>
      </c>
      <c r="D413" s="29">
        <v>10</v>
      </c>
      <c r="E413" s="29">
        <v>10</v>
      </c>
      <c r="F413" s="30">
        <v>34.99</v>
      </c>
      <c r="G413" s="29">
        <v>34.99</v>
      </c>
      <c r="H413" s="28" t="s">
        <v>11283</v>
      </c>
      <c r="I413" s="27" t="s">
        <v>215</v>
      </c>
      <c r="J413" s="31" t="s">
        <v>5</v>
      </c>
      <c r="K413" s="27" t="s">
        <v>70</v>
      </c>
      <c r="L413" s="27" t="s">
        <v>155</v>
      </c>
      <c r="M413" s="32"/>
    </row>
    <row r="414" spans="1:13" ht="15.2" customHeight="1" x14ac:dyDescent="0.2">
      <c r="A414" s="26" t="s">
        <v>6721</v>
      </c>
      <c r="B414" s="27" t="s">
        <v>6722</v>
      </c>
      <c r="C414" s="28">
        <v>1</v>
      </c>
      <c r="D414" s="29">
        <v>9.66</v>
      </c>
      <c r="E414" s="29">
        <v>9.66</v>
      </c>
      <c r="F414" s="30">
        <v>27.99</v>
      </c>
      <c r="G414" s="29">
        <v>27.99</v>
      </c>
      <c r="H414" s="28">
        <v>60446217</v>
      </c>
      <c r="I414" s="27" t="s">
        <v>4</v>
      </c>
      <c r="J414" s="31" t="s">
        <v>52</v>
      </c>
      <c r="K414" s="27" t="s">
        <v>224</v>
      </c>
      <c r="L414" s="27" t="s">
        <v>255</v>
      </c>
      <c r="M414" s="32"/>
    </row>
    <row r="415" spans="1:13" ht="15.2" customHeight="1" x14ac:dyDescent="0.2">
      <c r="A415" s="26" t="s">
        <v>11284</v>
      </c>
      <c r="B415" s="27" t="s">
        <v>11285</v>
      </c>
      <c r="C415" s="28">
        <v>1</v>
      </c>
      <c r="D415" s="29">
        <v>9.24</v>
      </c>
      <c r="E415" s="29">
        <v>9.24</v>
      </c>
      <c r="F415" s="30">
        <v>21.99</v>
      </c>
      <c r="G415" s="29">
        <v>21.99</v>
      </c>
      <c r="H415" s="28" t="s">
        <v>1669</v>
      </c>
      <c r="I415" s="27" t="s">
        <v>4</v>
      </c>
      <c r="J415" s="31" t="s">
        <v>40</v>
      </c>
      <c r="K415" s="27" t="s">
        <v>159</v>
      </c>
      <c r="L415" s="27" t="s">
        <v>160</v>
      </c>
      <c r="M415" s="32"/>
    </row>
    <row r="416" spans="1:13" ht="15.2" customHeight="1" x14ac:dyDescent="0.2">
      <c r="A416" s="26" t="s">
        <v>11286</v>
      </c>
      <c r="B416" s="27" t="s">
        <v>11287</v>
      </c>
      <c r="C416" s="28">
        <v>1</v>
      </c>
      <c r="D416" s="29">
        <v>9</v>
      </c>
      <c r="E416" s="29">
        <v>9</v>
      </c>
      <c r="F416" s="30">
        <v>19.989999999999998</v>
      </c>
      <c r="G416" s="29">
        <v>19.989999999999998</v>
      </c>
      <c r="H416" s="28" t="s">
        <v>2787</v>
      </c>
      <c r="I416" s="27" t="s">
        <v>4</v>
      </c>
      <c r="J416" s="31" t="s">
        <v>5</v>
      </c>
      <c r="K416" s="27" t="s">
        <v>200</v>
      </c>
      <c r="L416" s="27" t="s">
        <v>243</v>
      </c>
      <c r="M416" s="32"/>
    </row>
    <row r="417" spans="1:13" ht="15.2" customHeight="1" x14ac:dyDescent="0.2">
      <c r="A417" s="26" t="s">
        <v>8573</v>
      </c>
      <c r="B417" s="27" t="s">
        <v>7475</v>
      </c>
      <c r="C417" s="28">
        <v>1</v>
      </c>
      <c r="D417" s="29">
        <v>8.25</v>
      </c>
      <c r="E417" s="29">
        <v>8.25</v>
      </c>
      <c r="F417" s="30">
        <v>19.989999999999998</v>
      </c>
      <c r="G417" s="29">
        <v>19.989999999999998</v>
      </c>
      <c r="H417" s="28" t="s">
        <v>590</v>
      </c>
      <c r="I417" s="27" t="s">
        <v>26</v>
      </c>
      <c r="J417" s="31" t="s">
        <v>40</v>
      </c>
      <c r="K417" s="27" t="s">
        <v>196</v>
      </c>
      <c r="L417" s="27" t="s">
        <v>256</v>
      </c>
      <c r="M417" s="32"/>
    </row>
    <row r="418" spans="1:13" ht="15.2" customHeight="1" x14ac:dyDescent="0.2">
      <c r="A418" s="26" t="s">
        <v>3088</v>
      </c>
      <c r="B418" s="27" t="s">
        <v>3089</v>
      </c>
      <c r="C418" s="28">
        <v>1</v>
      </c>
      <c r="D418" s="29">
        <v>8.25</v>
      </c>
      <c r="E418" s="29">
        <v>8.25</v>
      </c>
      <c r="F418" s="30">
        <v>19.989999999999998</v>
      </c>
      <c r="G418" s="29">
        <v>19.989999999999998</v>
      </c>
      <c r="H418" s="28" t="s">
        <v>590</v>
      </c>
      <c r="I418" s="27" t="s">
        <v>59</v>
      </c>
      <c r="J418" s="31" t="s">
        <v>40</v>
      </c>
      <c r="K418" s="27" t="s">
        <v>196</v>
      </c>
      <c r="L418" s="27" t="s">
        <v>256</v>
      </c>
      <c r="M418" s="32"/>
    </row>
    <row r="419" spans="1:13" ht="15.2" customHeight="1" x14ac:dyDescent="0.2">
      <c r="A419" s="26" t="s">
        <v>11288</v>
      </c>
      <c r="B419" s="27" t="s">
        <v>11289</v>
      </c>
      <c r="C419" s="28">
        <v>1</v>
      </c>
      <c r="D419" s="29">
        <v>7.5</v>
      </c>
      <c r="E419" s="29">
        <v>7.5</v>
      </c>
      <c r="F419" s="30">
        <v>19.989999999999998</v>
      </c>
      <c r="G419" s="29">
        <v>19.989999999999998</v>
      </c>
      <c r="H419" s="28" t="s">
        <v>11290</v>
      </c>
      <c r="I419" s="27" t="s">
        <v>49</v>
      </c>
      <c r="J419" s="31" t="s">
        <v>71</v>
      </c>
      <c r="K419" s="27" t="s">
        <v>196</v>
      </c>
      <c r="L419" s="27" t="s">
        <v>336</v>
      </c>
      <c r="M419" s="32"/>
    </row>
    <row r="420" spans="1:13" ht="15.2" customHeight="1" x14ac:dyDescent="0.2">
      <c r="A420" s="26" t="s">
        <v>11291</v>
      </c>
      <c r="B420" s="27" t="s">
        <v>7616</v>
      </c>
      <c r="C420" s="28">
        <v>1</v>
      </c>
      <c r="D420" s="29">
        <v>7</v>
      </c>
      <c r="E420" s="29">
        <v>7</v>
      </c>
      <c r="F420" s="30">
        <v>19.989999999999998</v>
      </c>
      <c r="G420" s="29">
        <v>19.989999999999998</v>
      </c>
      <c r="H420" s="28" t="s">
        <v>7617</v>
      </c>
      <c r="I420" s="27" t="s">
        <v>94</v>
      </c>
      <c r="J420" s="31" t="s">
        <v>40</v>
      </c>
      <c r="K420" s="27" t="s">
        <v>196</v>
      </c>
      <c r="L420" s="27" t="s">
        <v>336</v>
      </c>
      <c r="M420" s="32"/>
    </row>
    <row r="421" spans="1:13" ht="15.2" customHeight="1" x14ac:dyDescent="0.2">
      <c r="A421" s="26" t="s">
        <v>9846</v>
      </c>
      <c r="B421" s="27" t="s">
        <v>2067</v>
      </c>
      <c r="C421" s="28">
        <v>1</v>
      </c>
      <c r="D421" s="29">
        <v>6.3</v>
      </c>
      <c r="E421" s="29">
        <v>6.3</v>
      </c>
      <c r="F421" s="30">
        <v>14.99</v>
      </c>
      <c r="G421" s="29">
        <v>14.99</v>
      </c>
      <c r="H421" s="28" t="s">
        <v>2068</v>
      </c>
      <c r="I421" s="27" t="s">
        <v>82</v>
      </c>
      <c r="J421" s="31" t="s">
        <v>71</v>
      </c>
      <c r="K421" s="27" t="s">
        <v>159</v>
      </c>
      <c r="L421" s="27" t="s">
        <v>160</v>
      </c>
      <c r="M421" s="32"/>
    </row>
    <row r="422" spans="1:13" ht="15.2" customHeight="1" x14ac:dyDescent="0.2">
      <c r="A422" s="26" t="s">
        <v>2069</v>
      </c>
      <c r="B422" s="27" t="s">
        <v>2070</v>
      </c>
      <c r="C422" s="28">
        <v>1</v>
      </c>
      <c r="D422" s="29">
        <v>6.3</v>
      </c>
      <c r="E422" s="29">
        <v>6.3</v>
      </c>
      <c r="F422" s="30">
        <v>14.99</v>
      </c>
      <c r="G422" s="29">
        <v>14.99</v>
      </c>
      <c r="H422" s="28" t="s">
        <v>2066</v>
      </c>
      <c r="I422" s="27" t="s">
        <v>103</v>
      </c>
      <c r="J422" s="31" t="s">
        <v>40</v>
      </c>
      <c r="K422" s="27" t="s">
        <v>159</v>
      </c>
      <c r="L422" s="27" t="s">
        <v>160</v>
      </c>
      <c r="M422" s="32"/>
    </row>
    <row r="423" spans="1:13" ht="15.2" customHeight="1" x14ac:dyDescent="0.2">
      <c r="A423" s="26" t="s">
        <v>1698</v>
      </c>
      <c r="B423" s="27" t="s">
        <v>1699</v>
      </c>
      <c r="C423" s="28">
        <v>1</v>
      </c>
      <c r="D423" s="29">
        <v>5.75</v>
      </c>
      <c r="E423" s="29">
        <v>5.75</v>
      </c>
      <c r="F423" s="30">
        <v>12.99</v>
      </c>
      <c r="G423" s="29">
        <v>12.99</v>
      </c>
      <c r="H423" s="28" t="s">
        <v>1700</v>
      </c>
      <c r="I423" s="27" t="s">
        <v>82</v>
      </c>
      <c r="J423" s="31" t="s">
        <v>5</v>
      </c>
      <c r="K423" s="27" t="s">
        <v>282</v>
      </c>
      <c r="L423" s="27" t="s">
        <v>386</v>
      </c>
      <c r="M423" s="32"/>
    </row>
    <row r="424" spans="1:13" ht="15.2" customHeight="1" x14ac:dyDescent="0.2">
      <c r="A424" s="26" t="s">
        <v>1706</v>
      </c>
      <c r="B424" s="27" t="s">
        <v>1702</v>
      </c>
      <c r="C424" s="28">
        <v>1</v>
      </c>
      <c r="D424" s="29">
        <v>5.75</v>
      </c>
      <c r="E424" s="29">
        <v>5.75</v>
      </c>
      <c r="F424" s="30">
        <v>12.99</v>
      </c>
      <c r="G424" s="29">
        <v>12.99</v>
      </c>
      <c r="H424" s="28" t="s">
        <v>1703</v>
      </c>
      <c r="I424" s="27" t="s">
        <v>248</v>
      </c>
      <c r="J424" s="31" t="s">
        <v>52</v>
      </c>
      <c r="K424" s="27" t="s">
        <v>282</v>
      </c>
      <c r="L424" s="27" t="s">
        <v>386</v>
      </c>
      <c r="M424" s="3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435"/>
  <sheetViews>
    <sheetView workbookViewId="0">
      <selection activeCell="B16" sqref="B16"/>
    </sheetView>
  </sheetViews>
  <sheetFormatPr defaultRowHeight="15.2" customHeight="1" x14ac:dyDescent="0.2"/>
  <cols>
    <col min="1" max="1" width="14.85546875" style="1" bestFit="1" customWidth="1"/>
    <col min="2" max="2" width="76.42578125" style="1" bestFit="1" customWidth="1"/>
    <col min="3" max="3" width="6.42578125" style="1" bestFit="1" customWidth="1"/>
    <col min="4" max="4" width="7.5703125" style="1" bestFit="1" customWidth="1"/>
    <col min="5" max="5" width="9.5703125" style="1" bestFit="1" customWidth="1"/>
    <col min="6" max="6" width="8.7109375" style="1" bestFit="1" customWidth="1"/>
    <col min="7" max="7" width="11.140625" style="1" bestFit="1" customWidth="1"/>
    <col min="8" max="8" width="22.7109375" style="1" bestFit="1" customWidth="1"/>
    <col min="9" max="9" width="14.7109375" style="1" bestFit="1" customWidth="1"/>
    <col min="10" max="10" width="12.140625" style="1" bestFit="1" customWidth="1"/>
    <col min="11" max="11" width="19" style="1" bestFit="1" customWidth="1"/>
    <col min="12" max="12" width="45" style="1" bestFit="1" customWidth="1"/>
    <col min="13" max="13" width="49.42578125" style="1" bestFit="1" customWidth="1"/>
    <col min="14" max="16384" width="9.140625" style="1"/>
  </cols>
  <sheetData>
    <row r="1" spans="1:13" ht="15.2" customHeight="1" x14ac:dyDescent="0.2">
      <c r="A1" s="25" t="s">
        <v>0</v>
      </c>
      <c r="B1" s="25" t="s">
        <v>11929</v>
      </c>
      <c r="C1" s="25" t="s">
        <v>11915</v>
      </c>
      <c r="D1" s="25" t="s">
        <v>11927</v>
      </c>
      <c r="E1" s="25" t="s">
        <v>11928</v>
      </c>
      <c r="F1" s="25" t="s">
        <v>11919</v>
      </c>
      <c r="G1" s="25" t="s">
        <v>11920</v>
      </c>
      <c r="H1" s="25" t="s">
        <v>11921</v>
      </c>
      <c r="I1" s="25" t="s">
        <v>11922</v>
      </c>
      <c r="J1" s="25" t="s">
        <v>11923</v>
      </c>
      <c r="K1" s="25" t="s">
        <v>11924</v>
      </c>
      <c r="L1" s="25" t="s">
        <v>11925</v>
      </c>
      <c r="M1" s="25" t="s">
        <v>11926</v>
      </c>
    </row>
    <row r="2" spans="1:13" ht="15.2" customHeight="1" x14ac:dyDescent="0.2">
      <c r="A2" s="26" t="s">
        <v>11292</v>
      </c>
      <c r="B2" s="27" t="s">
        <v>11293</v>
      </c>
      <c r="C2" s="28">
        <v>1</v>
      </c>
      <c r="D2" s="29">
        <v>69.75</v>
      </c>
      <c r="E2" s="29">
        <v>69.75</v>
      </c>
      <c r="F2" s="30">
        <v>209</v>
      </c>
      <c r="G2" s="29">
        <v>209</v>
      </c>
      <c r="H2" s="28">
        <v>56651</v>
      </c>
      <c r="I2" s="27" t="s">
        <v>49</v>
      </c>
      <c r="J2" s="31" t="s">
        <v>210</v>
      </c>
      <c r="K2" s="27" t="s">
        <v>24</v>
      </c>
      <c r="L2" s="27" t="s">
        <v>1972</v>
      </c>
      <c r="M2" s="32" t="str">
        <f>HYPERLINK("http://slimages.macys.com/is/image/MCY/3800874 ")</f>
        <v xml:space="preserve">http://slimages.macys.com/is/image/MCY/3800874 </v>
      </c>
    </row>
    <row r="3" spans="1:13" ht="15.2" customHeight="1" x14ac:dyDescent="0.2">
      <c r="A3" s="26" t="s">
        <v>11294</v>
      </c>
      <c r="B3" s="27" t="s">
        <v>11295</v>
      </c>
      <c r="C3" s="28">
        <v>1</v>
      </c>
      <c r="D3" s="29">
        <v>64.75</v>
      </c>
      <c r="E3" s="29">
        <v>64.75</v>
      </c>
      <c r="F3" s="30">
        <v>189</v>
      </c>
      <c r="G3" s="29">
        <v>189</v>
      </c>
      <c r="H3" s="28">
        <v>56671</v>
      </c>
      <c r="I3" s="27" t="s">
        <v>4</v>
      </c>
      <c r="J3" s="31" t="s">
        <v>234</v>
      </c>
      <c r="K3" s="27" t="s">
        <v>24</v>
      </c>
      <c r="L3" s="27" t="s">
        <v>1972</v>
      </c>
      <c r="M3" s="32" t="str">
        <f>HYPERLINK("http://slimages.macys.com/is/image/MCY/3800873 ")</f>
        <v xml:space="preserve">http://slimages.macys.com/is/image/MCY/3800873 </v>
      </c>
    </row>
    <row r="4" spans="1:13" ht="15.2" customHeight="1" x14ac:dyDescent="0.2">
      <c r="A4" s="26" t="s">
        <v>11296</v>
      </c>
      <c r="B4" s="27" t="s">
        <v>11297</v>
      </c>
      <c r="C4" s="28">
        <v>1</v>
      </c>
      <c r="D4" s="29">
        <v>31.15</v>
      </c>
      <c r="E4" s="29">
        <v>31.15</v>
      </c>
      <c r="F4" s="30">
        <v>89</v>
      </c>
      <c r="G4" s="29">
        <v>89</v>
      </c>
      <c r="H4" s="28" t="s">
        <v>10269</v>
      </c>
      <c r="I4" s="27" t="s">
        <v>10</v>
      </c>
      <c r="J4" s="31" t="s">
        <v>71</v>
      </c>
      <c r="K4" s="27" t="s">
        <v>654</v>
      </c>
      <c r="L4" s="27" t="s">
        <v>655</v>
      </c>
      <c r="M4" s="32" t="str">
        <f>HYPERLINK("http://slimages.macys.com/is/image/MCY/3676747 ")</f>
        <v xml:space="preserve">http://slimages.macys.com/is/image/MCY/3676747 </v>
      </c>
    </row>
    <row r="5" spans="1:13" ht="15.2" customHeight="1" x14ac:dyDescent="0.2">
      <c r="A5" s="26" t="s">
        <v>11298</v>
      </c>
      <c r="B5" s="27" t="s">
        <v>11299</v>
      </c>
      <c r="C5" s="28">
        <v>1</v>
      </c>
      <c r="D5" s="29">
        <v>30</v>
      </c>
      <c r="E5" s="29">
        <v>30</v>
      </c>
      <c r="F5" s="30">
        <v>89</v>
      </c>
      <c r="G5" s="29">
        <v>89</v>
      </c>
      <c r="H5" s="28" t="s">
        <v>4433</v>
      </c>
      <c r="I5" s="27" t="s">
        <v>343</v>
      </c>
      <c r="J5" s="31" t="s">
        <v>205</v>
      </c>
      <c r="K5" s="27" t="s">
        <v>24</v>
      </c>
      <c r="L5" s="27" t="s">
        <v>485</v>
      </c>
      <c r="M5" s="32" t="str">
        <f>HYPERLINK("http://slimages.macys.com/is/image/MCY/3817427 ")</f>
        <v xml:space="preserve">http://slimages.macys.com/is/image/MCY/3817427 </v>
      </c>
    </row>
    <row r="6" spans="1:13" ht="15.2" customHeight="1" x14ac:dyDescent="0.2">
      <c r="A6" s="26" t="s">
        <v>10693</v>
      </c>
      <c r="B6" s="27" t="s">
        <v>10694</v>
      </c>
      <c r="C6" s="28">
        <v>1</v>
      </c>
      <c r="D6" s="29">
        <v>30</v>
      </c>
      <c r="E6" s="29">
        <v>30</v>
      </c>
      <c r="F6" s="30">
        <v>89</v>
      </c>
      <c r="G6" s="29">
        <v>89</v>
      </c>
      <c r="H6" s="28" t="s">
        <v>4433</v>
      </c>
      <c r="I6" s="27" t="s">
        <v>343</v>
      </c>
      <c r="J6" s="31" t="s">
        <v>234</v>
      </c>
      <c r="K6" s="27" t="s">
        <v>24</v>
      </c>
      <c r="L6" s="27" t="s">
        <v>485</v>
      </c>
      <c r="M6" s="32" t="str">
        <f>HYPERLINK("http://slimages.macys.com/is/image/MCY/3817427 ")</f>
        <v xml:space="preserve">http://slimages.macys.com/is/image/MCY/3817427 </v>
      </c>
    </row>
    <row r="7" spans="1:13" ht="15.2" customHeight="1" x14ac:dyDescent="0.2">
      <c r="A7" s="26" t="s">
        <v>10706</v>
      </c>
      <c r="B7" s="27" t="s">
        <v>10707</v>
      </c>
      <c r="C7" s="28">
        <v>1</v>
      </c>
      <c r="D7" s="29">
        <v>29</v>
      </c>
      <c r="E7" s="29">
        <v>29</v>
      </c>
      <c r="F7" s="30">
        <v>89</v>
      </c>
      <c r="G7" s="29">
        <v>89</v>
      </c>
      <c r="H7" s="28" t="s">
        <v>1086</v>
      </c>
      <c r="I7" s="27" t="s">
        <v>4</v>
      </c>
      <c r="J7" s="31"/>
      <c r="K7" s="27" t="s">
        <v>24</v>
      </c>
      <c r="L7" s="27" t="s">
        <v>67</v>
      </c>
      <c r="M7" s="32" t="str">
        <f>HYPERLINK("http://slimages.macys.com/is/image/MCY/3785825 ")</f>
        <v xml:space="preserve">http://slimages.macys.com/is/image/MCY/3785825 </v>
      </c>
    </row>
    <row r="8" spans="1:13" ht="15.2" customHeight="1" x14ac:dyDescent="0.2">
      <c r="A8" s="26" t="s">
        <v>11300</v>
      </c>
      <c r="B8" s="27" t="s">
        <v>11301</v>
      </c>
      <c r="C8" s="28">
        <v>1</v>
      </c>
      <c r="D8" s="29">
        <v>29</v>
      </c>
      <c r="E8" s="29">
        <v>29</v>
      </c>
      <c r="F8" s="30">
        <v>89</v>
      </c>
      <c r="G8" s="29">
        <v>89</v>
      </c>
      <c r="H8" s="28" t="s">
        <v>1086</v>
      </c>
      <c r="I8" s="27" t="s">
        <v>4</v>
      </c>
      <c r="J8" s="31"/>
      <c r="K8" s="27" t="s">
        <v>24</v>
      </c>
      <c r="L8" s="27" t="s">
        <v>67</v>
      </c>
      <c r="M8" s="32" t="str">
        <f>HYPERLINK("http://slimages.macys.com/is/image/MCY/3785825 ")</f>
        <v xml:space="preserve">http://slimages.macys.com/is/image/MCY/3785825 </v>
      </c>
    </row>
    <row r="9" spans="1:13" ht="15.2" customHeight="1" x14ac:dyDescent="0.2">
      <c r="A9" s="26" t="s">
        <v>1719</v>
      </c>
      <c r="B9" s="27" t="s">
        <v>1720</v>
      </c>
      <c r="C9" s="28">
        <v>2</v>
      </c>
      <c r="D9" s="29">
        <v>28.08</v>
      </c>
      <c r="E9" s="29">
        <v>56.16</v>
      </c>
      <c r="F9" s="30">
        <v>69</v>
      </c>
      <c r="G9" s="29">
        <v>138</v>
      </c>
      <c r="H9" s="28" t="s">
        <v>1721</v>
      </c>
      <c r="I9" s="27" t="s">
        <v>4</v>
      </c>
      <c r="J9" s="31" t="s">
        <v>21</v>
      </c>
      <c r="K9" s="27" t="s">
        <v>42</v>
      </c>
      <c r="L9" s="27" t="s">
        <v>43</v>
      </c>
      <c r="M9" s="32" t="str">
        <f>HYPERLINK("http://slimages.macys.com/is/image/MCY/3775657 ")</f>
        <v xml:space="preserve">http://slimages.macys.com/is/image/MCY/3775657 </v>
      </c>
    </row>
    <row r="10" spans="1:13" ht="15.2" customHeight="1" x14ac:dyDescent="0.2">
      <c r="A10" s="26" t="s">
        <v>1722</v>
      </c>
      <c r="B10" s="27" t="s">
        <v>1723</v>
      </c>
      <c r="C10" s="28">
        <v>1</v>
      </c>
      <c r="D10" s="29">
        <v>28.08</v>
      </c>
      <c r="E10" s="29">
        <v>28.08</v>
      </c>
      <c r="F10" s="30">
        <v>69</v>
      </c>
      <c r="G10" s="29">
        <v>69</v>
      </c>
      <c r="H10" s="28" t="s">
        <v>1721</v>
      </c>
      <c r="I10" s="27" t="s">
        <v>4</v>
      </c>
      <c r="J10" s="31" t="s">
        <v>52</v>
      </c>
      <c r="K10" s="27" t="s">
        <v>42</v>
      </c>
      <c r="L10" s="27" t="s">
        <v>43</v>
      </c>
      <c r="M10" s="32" t="str">
        <f>HYPERLINK("http://slimages.macys.com/is/image/MCY/3775657 ")</f>
        <v xml:space="preserve">http://slimages.macys.com/is/image/MCY/3775657 </v>
      </c>
    </row>
    <row r="11" spans="1:13" ht="15.2" customHeight="1" x14ac:dyDescent="0.2">
      <c r="A11" s="26" t="s">
        <v>11302</v>
      </c>
      <c r="B11" s="27" t="s">
        <v>11303</v>
      </c>
      <c r="C11" s="28">
        <v>1</v>
      </c>
      <c r="D11" s="29">
        <v>27.65</v>
      </c>
      <c r="E11" s="29">
        <v>27.65</v>
      </c>
      <c r="F11" s="30">
        <v>79</v>
      </c>
      <c r="G11" s="29">
        <v>79</v>
      </c>
      <c r="H11" s="28" t="s">
        <v>11304</v>
      </c>
      <c r="I11" s="27" t="s">
        <v>1</v>
      </c>
      <c r="J11" s="31" t="s">
        <v>21</v>
      </c>
      <c r="K11" s="27" t="s">
        <v>654</v>
      </c>
      <c r="L11" s="27" t="s">
        <v>655</v>
      </c>
      <c r="M11" s="32" t="str">
        <f>HYPERLINK("http://slimages.macys.com/is/image/MCY/3974324 ")</f>
        <v xml:space="preserve">http://slimages.macys.com/is/image/MCY/3974324 </v>
      </c>
    </row>
    <row r="12" spans="1:13" ht="15.2" customHeight="1" x14ac:dyDescent="0.2">
      <c r="A12" s="26" t="s">
        <v>8574</v>
      </c>
      <c r="B12" s="27" t="s">
        <v>8575</v>
      </c>
      <c r="C12" s="28">
        <v>1</v>
      </c>
      <c r="D12" s="29">
        <v>27.2</v>
      </c>
      <c r="E12" s="29">
        <v>27.2</v>
      </c>
      <c r="F12" s="30">
        <v>79</v>
      </c>
      <c r="G12" s="29">
        <v>79</v>
      </c>
      <c r="H12" s="28" t="s">
        <v>8576</v>
      </c>
      <c r="I12" s="27" t="s">
        <v>4</v>
      </c>
      <c r="J12" s="31" t="s">
        <v>21</v>
      </c>
      <c r="K12" s="27" t="s">
        <v>42</v>
      </c>
      <c r="L12" s="27" t="s">
        <v>43</v>
      </c>
      <c r="M12" s="32" t="str">
        <f>HYPERLINK("http://slimages.macys.com/is/image/MCY/3611476 ")</f>
        <v xml:space="preserve">http://slimages.macys.com/is/image/MCY/3611476 </v>
      </c>
    </row>
    <row r="13" spans="1:13" ht="15.2" customHeight="1" x14ac:dyDescent="0.2">
      <c r="A13" s="26" t="s">
        <v>5988</v>
      </c>
      <c r="B13" s="27" t="s">
        <v>5989</v>
      </c>
      <c r="C13" s="28">
        <v>1</v>
      </c>
      <c r="D13" s="29">
        <v>27.2</v>
      </c>
      <c r="E13" s="29">
        <v>27.2</v>
      </c>
      <c r="F13" s="30">
        <v>79</v>
      </c>
      <c r="G13" s="29">
        <v>79</v>
      </c>
      <c r="H13" s="28" t="s">
        <v>5985</v>
      </c>
      <c r="I13" s="27" t="s">
        <v>22</v>
      </c>
      <c r="J13" s="31" t="s">
        <v>5</v>
      </c>
      <c r="K13" s="27" t="s">
        <v>42</v>
      </c>
      <c r="L13" s="27" t="s">
        <v>43</v>
      </c>
      <c r="M13" s="32" t="str">
        <f>HYPERLINK("http://slimages.macys.com/is/image/MCY/3611182 ")</f>
        <v xml:space="preserve">http://slimages.macys.com/is/image/MCY/3611182 </v>
      </c>
    </row>
    <row r="14" spans="1:13" ht="15.2" customHeight="1" x14ac:dyDescent="0.2">
      <c r="A14" s="26" t="s">
        <v>6774</v>
      </c>
      <c r="B14" s="27" t="s">
        <v>6775</v>
      </c>
      <c r="C14" s="28">
        <v>1</v>
      </c>
      <c r="D14" s="29">
        <v>27.2</v>
      </c>
      <c r="E14" s="29">
        <v>27.2</v>
      </c>
      <c r="F14" s="30">
        <v>79</v>
      </c>
      <c r="G14" s="29">
        <v>79</v>
      </c>
      <c r="H14" s="28" t="s">
        <v>1726</v>
      </c>
      <c r="I14" s="27" t="s">
        <v>75</v>
      </c>
      <c r="J14" s="31" t="s">
        <v>5</v>
      </c>
      <c r="K14" s="27" t="s">
        <v>42</v>
      </c>
      <c r="L14" s="27" t="s">
        <v>43</v>
      </c>
      <c r="M14" s="32" t="str">
        <f>HYPERLINK("http://slimages.macys.com/is/image/MCY/3636315 ")</f>
        <v xml:space="preserve">http://slimages.macys.com/is/image/MCY/3636315 </v>
      </c>
    </row>
    <row r="15" spans="1:13" ht="15.2" customHeight="1" x14ac:dyDescent="0.2">
      <c r="A15" s="26" t="s">
        <v>5983</v>
      </c>
      <c r="B15" s="27" t="s">
        <v>5984</v>
      </c>
      <c r="C15" s="28">
        <v>1</v>
      </c>
      <c r="D15" s="29">
        <v>27.2</v>
      </c>
      <c r="E15" s="29">
        <v>27.2</v>
      </c>
      <c r="F15" s="30">
        <v>79</v>
      </c>
      <c r="G15" s="29">
        <v>79</v>
      </c>
      <c r="H15" s="28" t="s">
        <v>5985</v>
      </c>
      <c r="I15" s="27" t="s">
        <v>22</v>
      </c>
      <c r="J15" s="31" t="s">
        <v>21</v>
      </c>
      <c r="K15" s="27" t="s">
        <v>42</v>
      </c>
      <c r="L15" s="27" t="s">
        <v>43</v>
      </c>
      <c r="M15" s="32" t="str">
        <f>HYPERLINK("http://slimages.macys.com/is/image/MCY/3611182 ")</f>
        <v xml:space="preserve">http://slimages.macys.com/is/image/MCY/3611182 </v>
      </c>
    </row>
    <row r="16" spans="1:13" ht="15.2" customHeight="1" x14ac:dyDescent="0.2">
      <c r="A16" s="26" t="s">
        <v>11305</v>
      </c>
      <c r="B16" s="27" t="s">
        <v>11306</v>
      </c>
      <c r="C16" s="28">
        <v>1</v>
      </c>
      <c r="D16" s="29">
        <v>26.76</v>
      </c>
      <c r="E16" s="29">
        <v>26.76</v>
      </c>
      <c r="F16" s="30">
        <v>69.5</v>
      </c>
      <c r="G16" s="29">
        <v>69.5</v>
      </c>
      <c r="H16" s="28" t="s">
        <v>959</v>
      </c>
      <c r="I16" s="27" t="s">
        <v>357</v>
      </c>
      <c r="J16" s="31" t="s">
        <v>40</v>
      </c>
      <c r="K16" s="27" t="s">
        <v>17</v>
      </c>
      <c r="L16" s="27" t="s">
        <v>18</v>
      </c>
      <c r="M16" s="32" t="str">
        <f>HYPERLINK("http://slimages.macys.com/is/image/MCY/3750126 ")</f>
        <v xml:space="preserve">http://slimages.macys.com/is/image/MCY/3750126 </v>
      </c>
    </row>
    <row r="17" spans="1:13" ht="15.2" customHeight="1" x14ac:dyDescent="0.2">
      <c r="A17" s="26" t="s">
        <v>11307</v>
      </c>
      <c r="B17" s="27" t="s">
        <v>11308</v>
      </c>
      <c r="C17" s="28">
        <v>1</v>
      </c>
      <c r="D17" s="29">
        <v>26.65</v>
      </c>
      <c r="E17" s="29">
        <v>26.65</v>
      </c>
      <c r="F17" s="30">
        <v>59</v>
      </c>
      <c r="G17" s="29">
        <v>59</v>
      </c>
      <c r="H17" s="28" t="s">
        <v>6783</v>
      </c>
      <c r="I17" s="27" t="s">
        <v>215</v>
      </c>
      <c r="J17" s="31" t="s">
        <v>52</v>
      </c>
      <c r="K17" s="27" t="s">
        <v>42</v>
      </c>
      <c r="L17" s="27" t="s">
        <v>43</v>
      </c>
      <c r="M17" s="32" t="str">
        <f>HYPERLINK("http://slimages.macys.com/is/image/MCY/3533271 ")</f>
        <v xml:space="preserve">http://slimages.macys.com/is/image/MCY/3533271 </v>
      </c>
    </row>
    <row r="18" spans="1:13" ht="15.2" customHeight="1" x14ac:dyDescent="0.2">
      <c r="A18" s="26" t="s">
        <v>11309</v>
      </c>
      <c r="B18" s="27" t="s">
        <v>11310</v>
      </c>
      <c r="C18" s="28">
        <v>1</v>
      </c>
      <c r="D18" s="29">
        <v>26.46</v>
      </c>
      <c r="E18" s="29">
        <v>26.46</v>
      </c>
      <c r="F18" s="30">
        <v>69</v>
      </c>
      <c r="G18" s="29">
        <v>69</v>
      </c>
      <c r="H18" s="28" t="s">
        <v>10309</v>
      </c>
      <c r="I18" s="27" t="s">
        <v>4</v>
      </c>
      <c r="J18" s="31" t="s">
        <v>52</v>
      </c>
      <c r="K18" s="27" t="s">
        <v>42</v>
      </c>
      <c r="L18" s="27" t="s">
        <v>43</v>
      </c>
      <c r="M18" s="32" t="str">
        <f>HYPERLINK("http://slimages.macys.com/is/image/MCY/3775159 ")</f>
        <v xml:space="preserve">http://slimages.macys.com/is/image/MCY/3775159 </v>
      </c>
    </row>
    <row r="19" spans="1:13" ht="15.2" customHeight="1" x14ac:dyDescent="0.2">
      <c r="A19" s="26" t="s">
        <v>7841</v>
      </c>
      <c r="B19" s="27" t="s">
        <v>7842</v>
      </c>
      <c r="C19" s="28">
        <v>1</v>
      </c>
      <c r="D19" s="29">
        <v>26</v>
      </c>
      <c r="E19" s="29">
        <v>26</v>
      </c>
      <c r="F19" s="30">
        <v>88</v>
      </c>
      <c r="G19" s="29">
        <v>88</v>
      </c>
      <c r="H19" s="28" t="s">
        <v>7843</v>
      </c>
      <c r="I19" s="27" t="s">
        <v>36</v>
      </c>
      <c r="J19" s="31" t="s">
        <v>5</v>
      </c>
      <c r="K19" s="27" t="s">
        <v>1089</v>
      </c>
      <c r="L19" s="27" t="s">
        <v>1090</v>
      </c>
      <c r="M19" s="32" t="str">
        <f>HYPERLINK("http://slimages.macys.com/is/image/MCY/3790120 ")</f>
        <v xml:space="preserve">http://slimages.macys.com/is/image/MCY/3790120 </v>
      </c>
    </row>
    <row r="20" spans="1:13" ht="15.2" customHeight="1" x14ac:dyDescent="0.2">
      <c r="A20" s="26" t="s">
        <v>11311</v>
      </c>
      <c r="B20" s="27" t="s">
        <v>11312</v>
      </c>
      <c r="C20" s="28">
        <v>1</v>
      </c>
      <c r="D20" s="29">
        <v>25.87</v>
      </c>
      <c r="E20" s="29">
        <v>25.87</v>
      </c>
      <c r="F20" s="30">
        <v>69</v>
      </c>
      <c r="G20" s="29">
        <v>69</v>
      </c>
      <c r="H20" s="28">
        <v>7056614</v>
      </c>
      <c r="I20" s="27" t="s">
        <v>189</v>
      </c>
      <c r="J20" s="31" t="s">
        <v>2420</v>
      </c>
      <c r="K20" s="27" t="s">
        <v>462</v>
      </c>
      <c r="L20" s="27" t="s">
        <v>463</v>
      </c>
      <c r="M20" s="32" t="str">
        <f>HYPERLINK("http://slimages.macys.com/is/image/MCY/3766609 ")</f>
        <v xml:space="preserve">http://slimages.macys.com/is/image/MCY/3766609 </v>
      </c>
    </row>
    <row r="21" spans="1:13" ht="15.2" customHeight="1" x14ac:dyDescent="0.2">
      <c r="A21" s="26" t="s">
        <v>11313</v>
      </c>
      <c r="B21" s="27" t="s">
        <v>11314</v>
      </c>
      <c r="C21" s="28">
        <v>1</v>
      </c>
      <c r="D21" s="29">
        <v>25.52</v>
      </c>
      <c r="E21" s="29">
        <v>25.52</v>
      </c>
      <c r="F21" s="30">
        <v>89.5</v>
      </c>
      <c r="G21" s="29">
        <v>89.5</v>
      </c>
      <c r="H21" s="28" t="s">
        <v>11315</v>
      </c>
      <c r="I21" s="27" t="s">
        <v>1472</v>
      </c>
      <c r="J21" s="31" t="s">
        <v>40</v>
      </c>
      <c r="K21" s="27" t="s">
        <v>41</v>
      </c>
      <c r="L21" s="27" t="s">
        <v>68</v>
      </c>
      <c r="M21" s="32" t="str">
        <f>HYPERLINK("http://slimages.macys.com/is/image/MCY/3367582 ")</f>
        <v xml:space="preserve">http://slimages.macys.com/is/image/MCY/3367582 </v>
      </c>
    </row>
    <row r="22" spans="1:13" ht="15.2" customHeight="1" x14ac:dyDescent="0.2">
      <c r="A22" s="26" t="s">
        <v>11316</v>
      </c>
      <c r="B22" s="27" t="s">
        <v>11317</v>
      </c>
      <c r="C22" s="28">
        <v>1</v>
      </c>
      <c r="D22" s="29">
        <v>25.5</v>
      </c>
      <c r="E22" s="29">
        <v>25.5</v>
      </c>
      <c r="F22" s="30">
        <v>79</v>
      </c>
      <c r="G22" s="29">
        <v>79</v>
      </c>
      <c r="H22" s="28">
        <v>48478</v>
      </c>
      <c r="I22" s="27" t="s">
        <v>4</v>
      </c>
      <c r="J22" s="31" t="s">
        <v>516</v>
      </c>
      <c r="K22" s="27" t="s">
        <v>24</v>
      </c>
      <c r="L22" s="27" t="s">
        <v>35</v>
      </c>
      <c r="M22" s="32" t="str">
        <f>HYPERLINK("http://slimages.macys.com/is/image/MCY/3615227 ")</f>
        <v xml:space="preserve">http://slimages.macys.com/is/image/MCY/3615227 </v>
      </c>
    </row>
    <row r="23" spans="1:13" ht="15.2" customHeight="1" x14ac:dyDescent="0.2">
      <c r="A23" s="26" t="s">
        <v>6111</v>
      </c>
      <c r="B23" s="27" t="s">
        <v>6112</v>
      </c>
      <c r="C23" s="28">
        <v>1</v>
      </c>
      <c r="D23" s="29">
        <v>24.25</v>
      </c>
      <c r="E23" s="29">
        <v>24.25</v>
      </c>
      <c r="F23" s="30">
        <v>69</v>
      </c>
      <c r="G23" s="29">
        <v>69</v>
      </c>
      <c r="H23" s="28" t="s">
        <v>6113</v>
      </c>
      <c r="I23" s="27" t="s">
        <v>82</v>
      </c>
      <c r="J23" s="31" t="s">
        <v>5</v>
      </c>
      <c r="K23" s="27" t="s">
        <v>37</v>
      </c>
      <c r="L23" s="27" t="s">
        <v>38</v>
      </c>
      <c r="M23" s="32" t="str">
        <f>HYPERLINK("http://slimages.macys.com/is/image/MCY/3503927 ")</f>
        <v xml:space="preserve">http://slimages.macys.com/is/image/MCY/3503927 </v>
      </c>
    </row>
    <row r="24" spans="1:13" ht="15.2" customHeight="1" x14ac:dyDescent="0.2">
      <c r="A24" s="26" t="s">
        <v>11318</v>
      </c>
      <c r="B24" s="27" t="s">
        <v>11319</v>
      </c>
      <c r="C24" s="28">
        <v>1</v>
      </c>
      <c r="D24" s="29">
        <v>24.15</v>
      </c>
      <c r="E24" s="29">
        <v>24.15</v>
      </c>
      <c r="F24" s="30">
        <v>69</v>
      </c>
      <c r="G24" s="29">
        <v>69</v>
      </c>
      <c r="H24" s="28" t="s">
        <v>11320</v>
      </c>
      <c r="I24" s="27" t="s">
        <v>82</v>
      </c>
      <c r="J24" s="31" t="s">
        <v>5</v>
      </c>
      <c r="K24" s="27" t="s">
        <v>654</v>
      </c>
      <c r="L24" s="27" t="s">
        <v>655</v>
      </c>
      <c r="M24" s="32" t="str">
        <f>HYPERLINK("http://slimages.macys.com/is/image/MCY/3750152 ")</f>
        <v xml:space="preserve">http://slimages.macys.com/is/image/MCY/3750152 </v>
      </c>
    </row>
    <row r="25" spans="1:13" ht="15.2" customHeight="1" x14ac:dyDescent="0.2">
      <c r="A25" s="26" t="s">
        <v>10271</v>
      </c>
      <c r="B25" s="27" t="s">
        <v>10272</v>
      </c>
      <c r="C25" s="28">
        <v>1</v>
      </c>
      <c r="D25" s="29">
        <v>24</v>
      </c>
      <c r="E25" s="29">
        <v>24</v>
      </c>
      <c r="F25" s="30">
        <v>69</v>
      </c>
      <c r="G25" s="29">
        <v>69</v>
      </c>
      <c r="H25" s="28" t="s">
        <v>10273</v>
      </c>
      <c r="I25" s="27" t="s">
        <v>4</v>
      </c>
      <c r="J25" s="31" t="s">
        <v>216</v>
      </c>
      <c r="K25" s="27" t="s">
        <v>24</v>
      </c>
      <c r="L25" s="27" t="s">
        <v>485</v>
      </c>
      <c r="M25" s="32" t="str">
        <f>HYPERLINK("http://slimages.macys.com/is/image/MCY/3549518 ")</f>
        <v xml:space="preserve">http://slimages.macys.com/is/image/MCY/3549518 </v>
      </c>
    </row>
    <row r="26" spans="1:13" ht="15.2" customHeight="1" x14ac:dyDescent="0.2">
      <c r="A26" s="26" t="s">
        <v>11321</v>
      </c>
      <c r="B26" s="27" t="s">
        <v>11322</v>
      </c>
      <c r="C26" s="28">
        <v>1</v>
      </c>
      <c r="D26" s="29">
        <v>24</v>
      </c>
      <c r="E26" s="29">
        <v>24</v>
      </c>
      <c r="F26" s="30">
        <v>89</v>
      </c>
      <c r="G26" s="29">
        <v>89</v>
      </c>
      <c r="H26" s="28" t="s">
        <v>9896</v>
      </c>
      <c r="I26" s="27" t="s">
        <v>4</v>
      </c>
      <c r="J26" s="31" t="s">
        <v>21</v>
      </c>
      <c r="K26" s="27" t="s">
        <v>154</v>
      </c>
      <c r="L26" s="27" t="s">
        <v>9897</v>
      </c>
      <c r="M26" s="32" t="str">
        <f>HYPERLINK("http://slimages.macys.com/is/image/MCY/3774870 ")</f>
        <v xml:space="preserve">http://slimages.macys.com/is/image/MCY/3774870 </v>
      </c>
    </row>
    <row r="27" spans="1:13" ht="15.2" customHeight="1" x14ac:dyDescent="0.2">
      <c r="A27" s="26" t="s">
        <v>11323</v>
      </c>
      <c r="B27" s="27" t="s">
        <v>11324</v>
      </c>
      <c r="C27" s="28">
        <v>1</v>
      </c>
      <c r="D27" s="29">
        <v>23.85</v>
      </c>
      <c r="E27" s="29">
        <v>23.85</v>
      </c>
      <c r="F27" s="30">
        <v>79.5</v>
      </c>
      <c r="G27" s="29">
        <v>79.5</v>
      </c>
      <c r="H27" s="28">
        <v>49008256</v>
      </c>
      <c r="I27" s="27" t="s">
        <v>49</v>
      </c>
      <c r="J27" s="31" t="s">
        <v>21</v>
      </c>
      <c r="K27" s="27" t="s">
        <v>6</v>
      </c>
      <c r="L27" s="27" t="s">
        <v>7</v>
      </c>
      <c r="M27" s="32" t="str">
        <f>HYPERLINK("http://slimages.macys.com/is/image/MCY/3829528 ")</f>
        <v xml:space="preserve">http://slimages.macys.com/is/image/MCY/3829528 </v>
      </c>
    </row>
    <row r="28" spans="1:13" ht="15.2" customHeight="1" x14ac:dyDescent="0.2">
      <c r="A28" s="26" t="s">
        <v>11325</v>
      </c>
      <c r="B28" s="27" t="s">
        <v>11326</v>
      </c>
      <c r="C28" s="28">
        <v>1</v>
      </c>
      <c r="D28" s="29">
        <v>23.85</v>
      </c>
      <c r="E28" s="29">
        <v>23.85</v>
      </c>
      <c r="F28" s="30">
        <v>79.5</v>
      </c>
      <c r="G28" s="29">
        <v>79.5</v>
      </c>
      <c r="H28" s="28">
        <v>49008255</v>
      </c>
      <c r="I28" s="27" t="s">
        <v>4</v>
      </c>
      <c r="J28" s="31" t="s">
        <v>21</v>
      </c>
      <c r="K28" s="27" t="s">
        <v>6</v>
      </c>
      <c r="L28" s="27" t="s">
        <v>7</v>
      </c>
      <c r="M28" s="32" t="str">
        <f>HYPERLINK("http://slimages.macys.com/is/image/MCY/3829241 ")</f>
        <v xml:space="preserve">http://slimages.macys.com/is/image/MCY/3829241 </v>
      </c>
    </row>
    <row r="29" spans="1:13" ht="15.2" customHeight="1" x14ac:dyDescent="0.2">
      <c r="A29" s="26" t="s">
        <v>11327</v>
      </c>
      <c r="B29" s="27" t="s">
        <v>11328</v>
      </c>
      <c r="C29" s="28">
        <v>1</v>
      </c>
      <c r="D29" s="29">
        <v>23.85</v>
      </c>
      <c r="E29" s="29">
        <v>23.85</v>
      </c>
      <c r="F29" s="30">
        <v>79.5</v>
      </c>
      <c r="G29" s="29">
        <v>79.5</v>
      </c>
      <c r="H29" s="28">
        <v>49008256</v>
      </c>
      <c r="I29" s="27" t="s">
        <v>49</v>
      </c>
      <c r="J29" s="31" t="s">
        <v>40</v>
      </c>
      <c r="K29" s="27" t="s">
        <v>6</v>
      </c>
      <c r="L29" s="27" t="s">
        <v>7</v>
      </c>
      <c r="M29" s="32" t="str">
        <f>HYPERLINK("http://slimages.macys.com/is/image/MCY/3829528 ")</f>
        <v xml:space="preserve">http://slimages.macys.com/is/image/MCY/3829528 </v>
      </c>
    </row>
    <row r="30" spans="1:13" ht="15.2" customHeight="1" x14ac:dyDescent="0.2">
      <c r="A30" s="26" t="s">
        <v>11329</v>
      </c>
      <c r="B30" s="27" t="s">
        <v>11330</v>
      </c>
      <c r="C30" s="28">
        <v>1</v>
      </c>
      <c r="D30" s="29">
        <v>23.5</v>
      </c>
      <c r="E30" s="29">
        <v>23.5</v>
      </c>
      <c r="F30" s="30">
        <v>69</v>
      </c>
      <c r="G30" s="29">
        <v>69</v>
      </c>
      <c r="H30" s="28" t="s">
        <v>11331</v>
      </c>
      <c r="I30" s="27" t="s">
        <v>59</v>
      </c>
      <c r="J30" s="31" t="s">
        <v>23</v>
      </c>
      <c r="K30" s="27" t="s">
        <v>24</v>
      </c>
      <c r="L30" s="27" t="s">
        <v>25</v>
      </c>
      <c r="M30" s="32" t="str">
        <f>HYPERLINK("http://slimages.macys.com/is/image/MCY/3852440 ")</f>
        <v xml:space="preserve">http://slimages.macys.com/is/image/MCY/3852440 </v>
      </c>
    </row>
    <row r="31" spans="1:13" ht="15.2" customHeight="1" x14ac:dyDescent="0.2">
      <c r="A31" s="26" t="s">
        <v>11332</v>
      </c>
      <c r="B31" s="27" t="s">
        <v>11333</v>
      </c>
      <c r="C31" s="28">
        <v>1</v>
      </c>
      <c r="D31" s="29">
        <v>23.5</v>
      </c>
      <c r="E31" s="29">
        <v>23.5</v>
      </c>
      <c r="F31" s="30">
        <v>69</v>
      </c>
      <c r="G31" s="29">
        <v>69</v>
      </c>
      <c r="H31" s="28" t="s">
        <v>11331</v>
      </c>
      <c r="I31" s="27" t="s">
        <v>59</v>
      </c>
      <c r="J31" s="31" t="s">
        <v>216</v>
      </c>
      <c r="K31" s="27" t="s">
        <v>24</v>
      </c>
      <c r="L31" s="27" t="s">
        <v>25</v>
      </c>
      <c r="M31" s="32" t="str">
        <f>HYPERLINK("http://slimages.macys.com/is/image/MCY/3852440 ")</f>
        <v xml:space="preserve">http://slimages.macys.com/is/image/MCY/3852440 </v>
      </c>
    </row>
    <row r="32" spans="1:13" ht="15.2" customHeight="1" x14ac:dyDescent="0.2">
      <c r="A32" s="26" t="s">
        <v>11334</v>
      </c>
      <c r="B32" s="27" t="s">
        <v>11335</v>
      </c>
      <c r="C32" s="28">
        <v>1</v>
      </c>
      <c r="D32" s="29">
        <v>23</v>
      </c>
      <c r="E32" s="29">
        <v>23</v>
      </c>
      <c r="F32" s="30">
        <v>59.5</v>
      </c>
      <c r="G32" s="29">
        <v>59.5</v>
      </c>
      <c r="H32" s="28" t="s">
        <v>7855</v>
      </c>
      <c r="I32" s="27" t="s">
        <v>238</v>
      </c>
      <c r="J32" s="31" t="s">
        <v>71</v>
      </c>
      <c r="K32" s="27" t="s">
        <v>17</v>
      </c>
      <c r="L32" s="27" t="s">
        <v>18</v>
      </c>
      <c r="M32" s="32" t="str">
        <f>HYPERLINK("http://slimages.macys.com/is/image/MCY/3890904 ")</f>
        <v xml:space="preserve">http://slimages.macys.com/is/image/MCY/3890904 </v>
      </c>
    </row>
    <row r="33" spans="1:13" ht="15.2" customHeight="1" x14ac:dyDescent="0.2">
      <c r="A33" s="26" t="s">
        <v>9968</v>
      </c>
      <c r="B33" s="27" t="s">
        <v>9969</v>
      </c>
      <c r="C33" s="28">
        <v>1</v>
      </c>
      <c r="D33" s="29">
        <v>22.95</v>
      </c>
      <c r="E33" s="29">
        <v>22.95</v>
      </c>
      <c r="F33" s="30">
        <v>49.99</v>
      </c>
      <c r="G33" s="29">
        <v>49.99</v>
      </c>
      <c r="H33" s="28" t="s">
        <v>1099</v>
      </c>
      <c r="I33" s="27" t="s">
        <v>22</v>
      </c>
      <c r="J33" s="31" t="s">
        <v>71</v>
      </c>
      <c r="K33" s="27" t="s">
        <v>41</v>
      </c>
      <c r="L33" s="27" t="s">
        <v>90</v>
      </c>
      <c r="M33" s="32" t="str">
        <f>HYPERLINK("http://slimages.macys.com/is/image/MCY/3828718 ")</f>
        <v xml:space="preserve">http://slimages.macys.com/is/image/MCY/3828718 </v>
      </c>
    </row>
    <row r="34" spans="1:13" ht="15.2" customHeight="1" x14ac:dyDescent="0.2">
      <c r="A34" s="26" t="s">
        <v>4595</v>
      </c>
      <c r="B34" s="27" t="s">
        <v>4596</v>
      </c>
      <c r="C34" s="28">
        <v>1</v>
      </c>
      <c r="D34" s="29">
        <v>22.8</v>
      </c>
      <c r="E34" s="29">
        <v>22.8</v>
      </c>
      <c r="F34" s="30">
        <v>59</v>
      </c>
      <c r="G34" s="29">
        <v>59</v>
      </c>
      <c r="H34" s="28" t="s">
        <v>2551</v>
      </c>
      <c r="I34" s="27" t="s">
        <v>4</v>
      </c>
      <c r="J34" s="31" t="s">
        <v>5</v>
      </c>
      <c r="K34" s="27" t="s">
        <v>42</v>
      </c>
      <c r="L34" s="27" t="s">
        <v>43</v>
      </c>
      <c r="M34" s="32" t="str">
        <f>HYPERLINK("http://slimages.macys.com/is/image/MCY/3611242 ")</f>
        <v xml:space="preserve">http://slimages.macys.com/is/image/MCY/3611242 </v>
      </c>
    </row>
    <row r="35" spans="1:13" ht="15.2" customHeight="1" x14ac:dyDescent="0.2">
      <c r="A35" s="26" t="s">
        <v>11336</v>
      </c>
      <c r="B35" s="27" t="s">
        <v>11337</v>
      </c>
      <c r="C35" s="28">
        <v>1</v>
      </c>
      <c r="D35" s="29">
        <v>22.5</v>
      </c>
      <c r="E35" s="29">
        <v>22.5</v>
      </c>
      <c r="F35" s="30">
        <v>49.99</v>
      </c>
      <c r="G35" s="29">
        <v>49.99</v>
      </c>
      <c r="H35" s="28" t="s">
        <v>9409</v>
      </c>
      <c r="I35" s="27" t="s">
        <v>39</v>
      </c>
      <c r="J35" s="31"/>
      <c r="K35" s="27" t="s">
        <v>70</v>
      </c>
      <c r="L35" s="27" t="s">
        <v>67</v>
      </c>
      <c r="M35" s="32" t="str">
        <f>HYPERLINK("http://slimages.macys.com/is/image/MCY/3666160 ")</f>
        <v xml:space="preserve">http://slimages.macys.com/is/image/MCY/3666160 </v>
      </c>
    </row>
    <row r="36" spans="1:13" ht="15.2" customHeight="1" x14ac:dyDescent="0.2">
      <c r="A36" s="26" t="s">
        <v>11338</v>
      </c>
      <c r="B36" s="27" t="s">
        <v>11339</v>
      </c>
      <c r="C36" s="28">
        <v>1</v>
      </c>
      <c r="D36" s="29">
        <v>22.5</v>
      </c>
      <c r="E36" s="29">
        <v>22.5</v>
      </c>
      <c r="F36" s="30">
        <v>69</v>
      </c>
      <c r="G36" s="29">
        <v>69</v>
      </c>
      <c r="H36" s="28" t="s">
        <v>6402</v>
      </c>
      <c r="I36" s="27" t="s">
        <v>4</v>
      </c>
      <c r="J36" s="31" t="s">
        <v>23</v>
      </c>
      <c r="K36" s="27" t="s">
        <v>24</v>
      </c>
      <c r="L36" s="27" t="s">
        <v>650</v>
      </c>
      <c r="M36" s="32" t="str">
        <f>HYPERLINK("http://slimages.macys.com/is/image/MCY/3712166 ")</f>
        <v xml:space="preserve">http://slimages.macys.com/is/image/MCY/3712166 </v>
      </c>
    </row>
    <row r="37" spans="1:13" ht="15.2" customHeight="1" x14ac:dyDescent="0.2">
      <c r="A37" s="26" t="s">
        <v>9970</v>
      </c>
      <c r="B37" s="27" t="s">
        <v>9971</v>
      </c>
      <c r="C37" s="28">
        <v>1</v>
      </c>
      <c r="D37" s="29">
        <v>22.46</v>
      </c>
      <c r="E37" s="29">
        <v>22.46</v>
      </c>
      <c r="F37" s="30">
        <v>50.99</v>
      </c>
      <c r="G37" s="29">
        <v>50.99</v>
      </c>
      <c r="H37" s="28" t="s">
        <v>9972</v>
      </c>
      <c r="I37" s="27" t="s">
        <v>1</v>
      </c>
      <c r="J37" s="31" t="s">
        <v>65</v>
      </c>
      <c r="K37" s="27" t="s">
        <v>41</v>
      </c>
      <c r="L37" s="27" t="s">
        <v>45</v>
      </c>
      <c r="M37" s="32" t="str">
        <f>HYPERLINK("http://slimages.macys.com/is/image/MCY/3623550 ")</f>
        <v xml:space="preserve">http://slimages.macys.com/is/image/MCY/3623550 </v>
      </c>
    </row>
    <row r="38" spans="1:13" ht="15.2" customHeight="1" x14ac:dyDescent="0.2">
      <c r="A38" s="26" t="s">
        <v>11340</v>
      </c>
      <c r="B38" s="27" t="s">
        <v>11341</v>
      </c>
      <c r="C38" s="28">
        <v>1</v>
      </c>
      <c r="D38" s="29">
        <v>22.4</v>
      </c>
      <c r="E38" s="29">
        <v>22.4</v>
      </c>
      <c r="F38" s="30">
        <v>64</v>
      </c>
      <c r="G38" s="29">
        <v>64</v>
      </c>
      <c r="H38" s="28" t="s">
        <v>6405</v>
      </c>
      <c r="I38" s="27" t="s">
        <v>2324</v>
      </c>
      <c r="J38" s="31" t="s">
        <v>21</v>
      </c>
      <c r="K38" s="27" t="s">
        <v>795</v>
      </c>
      <c r="L38" s="27" t="s">
        <v>796</v>
      </c>
      <c r="M38" s="32" t="str">
        <f>HYPERLINK("http://slimages.macys.com/is/image/MCY/3704449 ")</f>
        <v xml:space="preserve">http://slimages.macys.com/is/image/MCY/3704449 </v>
      </c>
    </row>
    <row r="39" spans="1:13" ht="15.2" customHeight="1" x14ac:dyDescent="0.2">
      <c r="A39" s="26" t="s">
        <v>9498</v>
      </c>
      <c r="B39" s="27" t="s">
        <v>9499</v>
      </c>
      <c r="C39" s="28">
        <v>1</v>
      </c>
      <c r="D39" s="29">
        <v>22</v>
      </c>
      <c r="E39" s="29">
        <v>22</v>
      </c>
      <c r="F39" s="30">
        <v>69</v>
      </c>
      <c r="G39" s="29">
        <v>69</v>
      </c>
      <c r="H39" s="28" t="s">
        <v>7637</v>
      </c>
      <c r="I39" s="27" t="s">
        <v>377</v>
      </c>
      <c r="J39" s="31" t="s">
        <v>71</v>
      </c>
      <c r="K39" s="27" t="s">
        <v>37</v>
      </c>
      <c r="L39" s="27" t="s">
        <v>38</v>
      </c>
      <c r="M39" s="32" t="str">
        <f>HYPERLINK("http://slimages.macys.com/is/image/MCY/3670411 ")</f>
        <v xml:space="preserve">http://slimages.macys.com/is/image/MCY/3670411 </v>
      </c>
    </row>
    <row r="40" spans="1:13" ht="15.2" customHeight="1" x14ac:dyDescent="0.2">
      <c r="A40" s="26" t="s">
        <v>11342</v>
      </c>
      <c r="B40" s="27" t="s">
        <v>11343</v>
      </c>
      <c r="C40" s="28">
        <v>1</v>
      </c>
      <c r="D40" s="29">
        <v>22</v>
      </c>
      <c r="E40" s="29">
        <v>22</v>
      </c>
      <c r="F40" s="30">
        <v>69</v>
      </c>
      <c r="G40" s="29">
        <v>69</v>
      </c>
      <c r="H40" s="28" t="s">
        <v>4935</v>
      </c>
      <c r="I40" s="27" t="s">
        <v>59</v>
      </c>
      <c r="J40" s="31" t="s">
        <v>216</v>
      </c>
      <c r="K40" s="27" t="s">
        <v>24</v>
      </c>
      <c r="L40" s="27" t="s">
        <v>485</v>
      </c>
      <c r="M40" s="32" t="str">
        <f>HYPERLINK("http://slimages.macys.com/is/image/MCY/3721284 ")</f>
        <v xml:space="preserve">http://slimages.macys.com/is/image/MCY/3721284 </v>
      </c>
    </row>
    <row r="41" spans="1:13" ht="15.2" customHeight="1" x14ac:dyDescent="0.2">
      <c r="A41" s="26" t="s">
        <v>8359</v>
      </c>
      <c r="B41" s="27" t="s">
        <v>8360</v>
      </c>
      <c r="C41" s="28">
        <v>1</v>
      </c>
      <c r="D41" s="29">
        <v>21.75</v>
      </c>
      <c r="E41" s="29">
        <v>21.75</v>
      </c>
      <c r="F41" s="30">
        <v>69</v>
      </c>
      <c r="G41" s="29">
        <v>69</v>
      </c>
      <c r="H41" s="28" t="s">
        <v>4334</v>
      </c>
      <c r="I41" s="27" t="s">
        <v>4</v>
      </c>
      <c r="J41" s="31" t="s">
        <v>216</v>
      </c>
      <c r="K41" s="27" t="s">
        <v>24</v>
      </c>
      <c r="L41" s="27" t="s">
        <v>2806</v>
      </c>
      <c r="M41" s="32" t="str">
        <f>HYPERLINK("http://slimages.macys.com/is/image/MCY/3856447 ")</f>
        <v xml:space="preserve">http://slimages.macys.com/is/image/MCY/3856447 </v>
      </c>
    </row>
    <row r="42" spans="1:13" ht="15.2" customHeight="1" x14ac:dyDescent="0.2">
      <c r="A42" s="26" t="s">
        <v>11344</v>
      </c>
      <c r="B42" s="27" t="s">
        <v>11345</v>
      </c>
      <c r="C42" s="28">
        <v>1</v>
      </c>
      <c r="D42" s="29">
        <v>21.75</v>
      </c>
      <c r="E42" s="29">
        <v>21.75</v>
      </c>
      <c r="F42" s="30">
        <v>69</v>
      </c>
      <c r="G42" s="29">
        <v>69</v>
      </c>
      <c r="H42" s="28" t="s">
        <v>8358</v>
      </c>
      <c r="I42" s="27" t="s">
        <v>59</v>
      </c>
      <c r="J42" s="31" t="s">
        <v>113</v>
      </c>
      <c r="K42" s="27" t="s">
        <v>24</v>
      </c>
      <c r="L42" s="27" t="s">
        <v>2806</v>
      </c>
      <c r="M42" s="32" t="str">
        <f>HYPERLINK("http://slimages.macys.com/is/image/MCY/3811812 ")</f>
        <v xml:space="preserve">http://slimages.macys.com/is/image/MCY/3811812 </v>
      </c>
    </row>
    <row r="43" spans="1:13" ht="15.2" customHeight="1" x14ac:dyDescent="0.2">
      <c r="A43" s="26" t="s">
        <v>11346</v>
      </c>
      <c r="B43" s="27" t="s">
        <v>11347</v>
      </c>
      <c r="C43" s="28">
        <v>1</v>
      </c>
      <c r="D43" s="29">
        <v>21.71</v>
      </c>
      <c r="E43" s="29">
        <v>21.71</v>
      </c>
      <c r="F43" s="30">
        <v>59.5</v>
      </c>
      <c r="G43" s="29">
        <v>59.5</v>
      </c>
      <c r="H43" s="28" t="s">
        <v>8246</v>
      </c>
      <c r="I43" s="27" t="s">
        <v>82</v>
      </c>
      <c r="J43" s="31" t="s">
        <v>5</v>
      </c>
      <c r="K43" s="27" t="s">
        <v>41</v>
      </c>
      <c r="L43" s="27" t="s">
        <v>45</v>
      </c>
      <c r="M43" s="32" t="str">
        <f>HYPERLINK("http://slimages.macys.com/is/image/MCY/3751085 ")</f>
        <v xml:space="preserve">http://slimages.macys.com/is/image/MCY/3751085 </v>
      </c>
    </row>
    <row r="44" spans="1:13" ht="15.2" customHeight="1" x14ac:dyDescent="0.2">
      <c r="A44" s="26" t="s">
        <v>11348</v>
      </c>
      <c r="B44" s="27" t="s">
        <v>11349</v>
      </c>
      <c r="C44" s="28">
        <v>1</v>
      </c>
      <c r="D44" s="29">
        <v>21.01</v>
      </c>
      <c r="E44" s="29">
        <v>21.01</v>
      </c>
      <c r="F44" s="30">
        <v>59.5</v>
      </c>
      <c r="G44" s="29">
        <v>59.5</v>
      </c>
      <c r="H44" s="28" t="s">
        <v>11350</v>
      </c>
      <c r="I44" s="27" t="s">
        <v>4</v>
      </c>
      <c r="J44" s="31" t="s">
        <v>52</v>
      </c>
      <c r="K44" s="27" t="s">
        <v>53</v>
      </c>
      <c r="L44" s="27" t="s">
        <v>54</v>
      </c>
      <c r="M44" s="32" t="str">
        <f>HYPERLINK("http://slimages.macys.com/is/image/MCY/3578255 ")</f>
        <v xml:space="preserve">http://slimages.macys.com/is/image/MCY/3578255 </v>
      </c>
    </row>
    <row r="45" spans="1:13" ht="15.2" customHeight="1" x14ac:dyDescent="0.2">
      <c r="A45" s="26" t="s">
        <v>9784</v>
      </c>
      <c r="B45" s="27" t="s">
        <v>9785</v>
      </c>
      <c r="C45" s="28">
        <v>1</v>
      </c>
      <c r="D45" s="29">
        <v>21</v>
      </c>
      <c r="E45" s="29">
        <v>21</v>
      </c>
      <c r="F45" s="30">
        <v>47.99</v>
      </c>
      <c r="G45" s="29">
        <v>47.99</v>
      </c>
      <c r="H45" s="28" t="s">
        <v>9786</v>
      </c>
      <c r="I45" s="27" t="s">
        <v>36</v>
      </c>
      <c r="J45" s="31"/>
      <c r="K45" s="27" t="s">
        <v>70</v>
      </c>
      <c r="L45" s="27" t="s">
        <v>67</v>
      </c>
      <c r="M45" s="32" t="str">
        <f>HYPERLINK("http://slimages.macys.com/is/image/MCY/3666152 ")</f>
        <v xml:space="preserve">http://slimages.macys.com/is/image/MCY/3666152 </v>
      </c>
    </row>
    <row r="46" spans="1:13" ht="15.2" customHeight="1" x14ac:dyDescent="0.2">
      <c r="A46" s="26" t="s">
        <v>9787</v>
      </c>
      <c r="B46" s="27" t="s">
        <v>9788</v>
      </c>
      <c r="C46" s="28">
        <v>1</v>
      </c>
      <c r="D46" s="29">
        <v>21</v>
      </c>
      <c r="E46" s="29">
        <v>21</v>
      </c>
      <c r="F46" s="30">
        <v>51.99</v>
      </c>
      <c r="G46" s="29">
        <v>51.99</v>
      </c>
      <c r="H46" s="28" t="s">
        <v>7355</v>
      </c>
      <c r="I46" s="27" t="s">
        <v>22</v>
      </c>
      <c r="J46" s="31"/>
      <c r="K46" s="27" t="s">
        <v>70</v>
      </c>
      <c r="L46" s="27" t="s">
        <v>67</v>
      </c>
      <c r="M46" s="32" t="str">
        <f>HYPERLINK("http://slimages.macys.com/is/image/MCY/3723628 ")</f>
        <v xml:space="preserve">http://slimages.macys.com/is/image/MCY/3723628 </v>
      </c>
    </row>
    <row r="47" spans="1:13" ht="15.2" customHeight="1" x14ac:dyDescent="0.2">
      <c r="A47" s="26" t="s">
        <v>9907</v>
      </c>
      <c r="B47" s="27" t="s">
        <v>9908</v>
      </c>
      <c r="C47" s="28">
        <v>1</v>
      </c>
      <c r="D47" s="29">
        <v>21</v>
      </c>
      <c r="E47" s="29">
        <v>21</v>
      </c>
      <c r="F47" s="30">
        <v>69</v>
      </c>
      <c r="G47" s="29">
        <v>69</v>
      </c>
      <c r="H47" s="28" t="s">
        <v>7879</v>
      </c>
      <c r="I47" s="27" t="s">
        <v>900</v>
      </c>
      <c r="J47" s="31" t="s">
        <v>69</v>
      </c>
      <c r="K47" s="27" t="s">
        <v>24</v>
      </c>
      <c r="L47" s="27" t="s">
        <v>1079</v>
      </c>
      <c r="M47" s="32" t="str">
        <f>HYPERLINK("http://slimages.macys.com/is/image/MCY/3779996 ")</f>
        <v xml:space="preserve">http://slimages.macys.com/is/image/MCY/3779996 </v>
      </c>
    </row>
    <row r="48" spans="1:13" ht="15.2" customHeight="1" x14ac:dyDescent="0.2">
      <c r="A48" s="26" t="s">
        <v>11351</v>
      </c>
      <c r="B48" s="27" t="s">
        <v>11352</v>
      </c>
      <c r="C48" s="28">
        <v>1</v>
      </c>
      <c r="D48" s="29">
        <v>21</v>
      </c>
      <c r="E48" s="29">
        <v>21</v>
      </c>
      <c r="F48" s="30">
        <v>47.99</v>
      </c>
      <c r="G48" s="29">
        <v>47.99</v>
      </c>
      <c r="H48" s="28" t="s">
        <v>9786</v>
      </c>
      <c r="I48" s="27" t="s">
        <v>36</v>
      </c>
      <c r="J48" s="31"/>
      <c r="K48" s="27" t="s">
        <v>70</v>
      </c>
      <c r="L48" s="27" t="s">
        <v>67</v>
      </c>
      <c r="M48" s="32" t="str">
        <f>HYPERLINK("http://slimages.macys.com/is/image/MCY/3666152 ")</f>
        <v xml:space="preserve">http://slimages.macys.com/is/image/MCY/3666152 </v>
      </c>
    </row>
    <row r="49" spans="1:13" ht="15.2" customHeight="1" x14ac:dyDescent="0.2">
      <c r="A49" s="26" t="s">
        <v>1110</v>
      </c>
      <c r="B49" s="27" t="s">
        <v>1111</v>
      </c>
      <c r="C49" s="28">
        <v>1</v>
      </c>
      <c r="D49" s="29">
        <v>20.86</v>
      </c>
      <c r="E49" s="29">
        <v>20.86</v>
      </c>
      <c r="F49" s="30">
        <v>50.99</v>
      </c>
      <c r="G49" s="29">
        <v>50.99</v>
      </c>
      <c r="H49" s="28" t="s">
        <v>1112</v>
      </c>
      <c r="I49" s="27" t="s">
        <v>4</v>
      </c>
      <c r="J49" s="31" t="s">
        <v>71</v>
      </c>
      <c r="K49" s="27" t="s">
        <v>41</v>
      </c>
      <c r="L49" s="27" t="s">
        <v>45</v>
      </c>
      <c r="M49" s="32" t="str">
        <f>HYPERLINK("http://slimages.macys.com/is/image/MCY/3598728 ")</f>
        <v xml:space="preserve">http://slimages.macys.com/is/image/MCY/3598728 </v>
      </c>
    </row>
    <row r="50" spans="1:13" ht="15.2" customHeight="1" x14ac:dyDescent="0.2">
      <c r="A50" s="26" t="s">
        <v>11082</v>
      </c>
      <c r="B50" s="27" t="s">
        <v>11083</v>
      </c>
      <c r="C50" s="28">
        <v>1</v>
      </c>
      <c r="D50" s="29">
        <v>20.53</v>
      </c>
      <c r="E50" s="29">
        <v>20.53</v>
      </c>
      <c r="F50" s="30">
        <v>59.5</v>
      </c>
      <c r="G50" s="29">
        <v>59.5</v>
      </c>
      <c r="H50" s="28" t="s">
        <v>2823</v>
      </c>
      <c r="I50" s="27" t="s">
        <v>215</v>
      </c>
      <c r="J50" s="31" t="s">
        <v>71</v>
      </c>
      <c r="K50" s="27" t="s">
        <v>53</v>
      </c>
      <c r="L50" s="27" t="s">
        <v>54</v>
      </c>
      <c r="M50" s="32" t="str">
        <f>HYPERLINK("http://slimages.macys.com/is/image/MCY/3666245 ")</f>
        <v xml:space="preserve">http://slimages.macys.com/is/image/MCY/3666245 </v>
      </c>
    </row>
    <row r="51" spans="1:13" ht="15.2" customHeight="1" x14ac:dyDescent="0.2">
      <c r="A51" s="26" t="s">
        <v>11353</v>
      </c>
      <c r="B51" s="27" t="s">
        <v>11354</v>
      </c>
      <c r="C51" s="28">
        <v>1</v>
      </c>
      <c r="D51" s="29">
        <v>20.53</v>
      </c>
      <c r="E51" s="29">
        <v>20.53</v>
      </c>
      <c r="F51" s="30">
        <v>59.5</v>
      </c>
      <c r="G51" s="29">
        <v>59.5</v>
      </c>
      <c r="H51" s="28" t="s">
        <v>2823</v>
      </c>
      <c r="I51" s="27" t="s">
        <v>215</v>
      </c>
      <c r="J51" s="31" t="s">
        <v>5</v>
      </c>
      <c r="K51" s="27" t="s">
        <v>53</v>
      </c>
      <c r="L51" s="27" t="s">
        <v>54</v>
      </c>
      <c r="M51" s="32" t="str">
        <f>HYPERLINK("http://slimages.macys.com/is/image/MCY/3666245 ")</f>
        <v xml:space="preserve">http://slimages.macys.com/is/image/MCY/3666245 </v>
      </c>
    </row>
    <row r="52" spans="1:13" ht="15.2" customHeight="1" x14ac:dyDescent="0.2">
      <c r="A52" s="26" t="s">
        <v>7880</v>
      </c>
      <c r="B52" s="27" t="s">
        <v>7881</v>
      </c>
      <c r="C52" s="28">
        <v>1</v>
      </c>
      <c r="D52" s="29">
        <v>20.52</v>
      </c>
      <c r="E52" s="29">
        <v>20.52</v>
      </c>
      <c r="F52" s="30">
        <v>59.5</v>
      </c>
      <c r="G52" s="29">
        <v>59.5</v>
      </c>
      <c r="H52" s="28" t="s">
        <v>6836</v>
      </c>
      <c r="I52" s="27" t="s">
        <v>4</v>
      </c>
      <c r="J52" s="31" t="s">
        <v>5</v>
      </c>
      <c r="K52" s="27" t="s">
        <v>53</v>
      </c>
      <c r="L52" s="27" t="s">
        <v>167</v>
      </c>
      <c r="M52" s="32" t="str">
        <f>HYPERLINK("http://slimages.macys.com/is/image/MCY/3836396 ")</f>
        <v xml:space="preserve">http://slimages.macys.com/is/image/MCY/3836396 </v>
      </c>
    </row>
    <row r="53" spans="1:13" ht="15.2" customHeight="1" x14ac:dyDescent="0.2">
      <c r="A53" s="26" t="s">
        <v>11355</v>
      </c>
      <c r="B53" s="27" t="s">
        <v>11356</v>
      </c>
      <c r="C53" s="28">
        <v>1</v>
      </c>
      <c r="D53" s="29">
        <v>20.5</v>
      </c>
      <c r="E53" s="29">
        <v>20.5</v>
      </c>
      <c r="F53" s="30">
        <v>59</v>
      </c>
      <c r="G53" s="29">
        <v>59</v>
      </c>
      <c r="H53" s="28" t="s">
        <v>6839</v>
      </c>
      <c r="I53" s="27" t="s">
        <v>94</v>
      </c>
      <c r="J53" s="31" t="s">
        <v>172</v>
      </c>
      <c r="K53" s="27" t="s">
        <v>37</v>
      </c>
      <c r="L53" s="27" t="s">
        <v>38</v>
      </c>
      <c r="M53" s="32" t="str">
        <f>HYPERLINK("http://slimages.macys.com/is/image/MCY/3670371 ")</f>
        <v xml:space="preserve">http://slimages.macys.com/is/image/MCY/3670371 </v>
      </c>
    </row>
    <row r="54" spans="1:13" ht="15.2" customHeight="1" x14ac:dyDescent="0.2">
      <c r="A54" s="26" t="s">
        <v>7882</v>
      </c>
      <c r="B54" s="27" t="s">
        <v>7883</v>
      </c>
      <c r="C54" s="28">
        <v>1</v>
      </c>
      <c r="D54" s="29">
        <v>20.5</v>
      </c>
      <c r="E54" s="29">
        <v>20.5</v>
      </c>
      <c r="F54" s="30">
        <v>59</v>
      </c>
      <c r="G54" s="29">
        <v>59</v>
      </c>
      <c r="H54" s="28" t="s">
        <v>6839</v>
      </c>
      <c r="I54" s="27" t="s">
        <v>94</v>
      </c>
      <c r="J54" s="31" t="s">
        <v>71</v>
      </c>
      <c r="K54" s="27" t="s">
        <v>37</v>
      </c>
      <c r="L54" s="27" t="s">
        <v>38</v>
      </c>
      <c r="M54" s="32" t="str">
        <f>HYPERLINK("http://slimages.macys.com/is/image/MCY/3670371 ")</f>
        <v xml:space="preserve">http://slimages.macys.com/is/image/MCY/3670371 </v>
      </c>
    </row>
    <row r="55" spans="1:13" ht="15.2" customHeight="1" x14ac:dyDescent="0.2">
      <c r="A55" s="26" t="s">
        <v>7360</v>
      </c>
      <c r="B55" s="27" t="s">
        <v>7361</v>
      </c>
      <c r="C55" s="28">
        <v>1</v>
      </c>
      <c r="D55" s="29">
        <v>20.36</v>
      </c>
      <c r="E55" s="29">
        <v>20.36</v>
      </c>
      <c r="F55" s="30">
        <v>49.5</v>
      </c>
      <c r="G55" s="29">
        <v>49.5</v>
      </c>
      <c r="H55" s="28" t="s">
        <v>7362</v>
      </c>
      <c r="I55" s="27" t="s">
        <v>4</v>
      </c>
      <c r="J55" s="31" t="s">
        <v>52</v>
      </c>
      <c r="K55" s="27" t="s">
        <v>41</v>
      </c>
      <c r="L55" s="27" t="s">
        <v>31</v>
      </c>
      <c r="M55" s="32" t="str">
        <f>HYPERLINK("http://slimages.macys.com/is/image/MCY/3367589 ")</f>
        <v xml:space="preserve">http://slimages.macys.com/is/image/MCY/3367589 </v>
      </c>
    </row>
    <row r="56" spans="1:13" ht="15.2" customHeight="1" x14ac:dyDescent="0.2">
      <c r="A56" s="26" t="s">
        <v>61</v>
      </c>
      <c r="B56" s="27" t="s">
        <v>62</v>
      </c>
      <c r="C56" s="28">
        <v>1</v>
      </c>
      <c r="D56" s="29">
        <v>20.22</v>
      </c>
      <c r="E56" s="29">
        <v>20.22</v>
      </c>
      <c r="F56" s="30">
        <v>59.5</v>
      </c>
      <c r="G56" s="29">
        <v>59.5</v>
      </c>
      <c r="H56" s="28" t="s">
        <v>63</v>
      </c>
      <c r="I56" s="27" t="s">
        <v>64</v>
      </c>
      <c r="J56" s="31" t="s">
        <v>65</v>
      </c>
      <c r="K56" s="27" t="s">
        <v>53</v>
      </c>
      <c r="L56" s="27" t="s">
        <v>54</v>
      </c>
      <c r="M56" s="32" t="str">
        <f>HYPERLINK("http://slimages.macys.com/is/image/MCY/3578361 ")</f>
        <v xml:space="preserve">http://slimages.macys.com/is/image/MCY/3578361 </v>
      </c>
    </row>
    <row r="57" spans="1:13" ht="15.2" customHeight="1" x14ac:dyDescent="0.2">
      <c r="A57" s="26" t="s">
        <v>11357</v>
      </c>
      <c r="B57" s="27" t="s">
        <v>11358</v>
      </c>
      <c r="C57" s="28">
        <v>1</v>
      </c>
      <c r="D57" s="29">
        <v>20</v>
      </c>
      <c r="E57" s="29">
        <v>20</v>
      </c>
      <c r="F57" s="30">
        <v>69</v>
      </c>
      <c r="G57" s="29">
        <v>69</v>
      </c>
      <c r="H57" s="28" t="s">
        <v>11359</v>
      </c>
      <c r="I57" s="27"/>
      <c r="J57" s="31" t="s">
        <v>5</v>
      </c>
      <c r="K57" s="27" t="s">
        <v>24</v>
      </c>
      <c r="L57" s="27" t="s">
        <v>155</v>
      </c>
      <c r="M57" s="32" t="str">
        <f>HYPERLINK("http://slimages.macys.com/is/image/MCY/3817444 ")</f>
        <v xml:space="preserve">http://slimages.macys.com/is/image/MCY/3817444 </v>
      </c>
    </row>
    <row r="58" spans="1:13" ht="15.2" customHeight="1" x14ac:dyDescent="0.2">
      <c r="A58" s="26" t="s">
        <v>6410</v>
      </c>
      <c r="B58" s="27" t="s">
        <v>6411</v>
      </c>
      <c r="C58" s="28">
        <v>1</v>
      </c>
      <c r="D58" s="29">
        <v>20</v>
      </c>
      <c r="E58" s="29">
        <v>20</v>
      </c>
      <c r="F58" s="30">
        <v>49.99</v>
      </c>
      <c r="G58" s="29">
        <v>49.99</v>
      </c>
      <c r="H58" s="28" t="s">
        <v>6412</v>
      </c>
      <c r="I58" s="27" t="s">
        <v>82</v>
      </c>
      <c r="J58" s="31"/>
      <c r="K58" s="27" t="s">
        <v>70</v>
      </c>
      <c r="L58" s="27" t="s">
        <v>67</v>
      </c>
      <c r="M58" s="32" t="str">
        <f>HYPERLINK("http://slimages.macys.com/is/image/MCY/3666158 ")</f>
        <v xml:space="preserve">http://slimages.macys.com/is/image/MCY/3666158 </v>
      </c>
    </row>
    <row r="59" spans="1:13" ht="15.2" customHeight="1" x14ac:dyDescent="0.2">
      <c r="A59" s="26" t="s">
        <v>11360</v>
      </c>
      <c r="B59" s="27" t="s">
        <v>11361</v>
      </c>
      <c r="C59" s="28">
        <v>1</v>
      </c>
      <c r="D59" s="29">
        <v>20</v>
      </c>
      <c r="E59" s="29">
        <v>20</v>
      </c>
      <c r="F59" s="30">
        <v>69</v>
      </c>
      <c r="G59" s="29">
        <v>69</v>
      </c>
      <c r="H59" s="28" t="s">
        <v>11359</v>
      </c>
      <c r="I59" s="27"/>
      <c r="J59" s="31" t="s">
        <v>40</v>
      </c>
      <c r="K59" s="27" t="s">
        <v>24</v>
      </c>
      <c r="L59" s="27" t="s">
        <v>155</v>
      </c>
      <c r="M59" s="32" t="str">
        <f>HYPERLINK("http://slimages.macys.com/is/image/MCY/3817444 ")</f>
        <v xml:space="preserve">http://slimages.macys.com/is/image/MCY/3817444 </v>
      </c>
    </row>
    <row r="60" spans="1:13" ht="15.2" customHeight="1" x14ac:dyDescent="0.2">
      <c r="A60" s="26" t="s">
        <v>11362</v>
      </c>
      <c r="B60" s="27" t="s">
        <v>11363</v>
      </c>
      <c r="C60" s="28">
        <v>1</v>
      </c>
      <c r="D60" s="29">
        <v>20</v>
      </c>
      <c r="E60" s="29">
        <v>20</v>
      </c>
      <c r="F60" s="30">
        <v>59</v>
      </c>
      <c r="G60" s="29">
        <v>59</v>
      </c>
      <c r="H60" s="28" t="s">
        <v>11364</v>
      </c>
      <c r="I60" s="27" t="s">
        <v>189</v>
      </c>
      <c r="J60" s="31" t="s">
        <v>5</v>
      </c>
      <c r="K60" s="27" t="s">
        <v>154</v>
      </c>
      <c r="L60" s="27" t="s">
        <v>9897</v>
      </c>
      <c r="M60" s="32" t="str">
        <f>HYPERLINK("http://slimages.macys.com/is/image/MCY/3774817 ")</f>
        <v xml:space="preserve">http://slimages.macys.com/is/image/MCY/3774817 </v>
      </c>
    </row>
    <row r="61" spans="1:13" ht="15.2" customHeight="1" x14ac:dyDescent="0.2">
      <c r="A61" s="26" t="s">
        <v>11365</v>
      </c>
      <c r="B61" s="27" t="s">
        <v>11366</v>
      </c>
      <c r="C61" s="28">
        <v>1</v>
      </c>
      <c r="D61" s="29">
        <v>20</v>
      </c>
      <c r="E61" s="29">
        <v>20</v>
      </c>
      <c r="F61" s="30">
        <v>69</v>
      </c>
      <c r="G61" s="29">
        <v>69</v>
      </c>
      <c r="H61" s="28" t="s">
        <v>11359</v>
      </c>
      <c r="I61" s="27"/>
      <c r="J61" s="31" t="s">
        <v>71</v>
      </c>
      <c r="K61" s="27" t="s">
        <v>24</v>
      </c>
      <c r="L61" s="27" t="s">
        <v>155</v>
      </c>
      <c r="M61" s="32" t="str">
        <f>HYPERLINK("http://slimages.macys.com/is/image/MCY/3817444 ")</f>
        <v xml:space="preserve">http://slimages.macys.com/is/image/MCY/3817444 </v>
      </c>
    </row>
    <row r="62" spans="1:13" ht="15.2" customHeight="1" x14ac:dyDescent="0.2">
      <c r="A62" s="26" t="s">
        <v>11367</v>
      </c>
      <c r="B62" s="27" t="s">
        <v>11368</v>
      </c>
      <c r="C62" s="28">
        <v>1</v>
      </c>
      <c r="D62" s="29">
        <v>20</v>
      </c>
      <c r="E62" s="29">
        <v>20</v>
      </c>
      <c r="F62" s="30">
        <v>69</v>
      </c>
      <c r="G62" s="29">
        <v>69</v>
      </c>
      <c r="H62" s="28">
        <v>1108123</v>
      </c>
      <c r="I62" s="27" t="s">
        <v>4</v>
      </c>
      <c r="J62" s="31" t="s">
        <v>210</v>
      </c>
      <c r="K62" s="27" t="s">
        <v>24</v>
      </c>
      <c r="L62" s="27" t="s">
        <v>155</v>
      </c>
      <c r="M62" s="32" t="str">
        <f>HYPERLINK("http://slimages.macys.com/is/image/MCY/3690385 ")</f>
        <v xml:space="preserve">http://slimages.macys.com/is/image/MCY/3690385 </v>
      </c>
    </row>
    <row r="63" spans="1:13" ht="15.2" customHeight="1" x14ac:dyDescent="0.2">
      <c r="A63" s="26" t="s">
        <v>7491</v>
      </c>
      <c r="B63" s="27" t="s">
        <v>7492</v>
      </c>
      <c r="C63" s="28">
        <v>1</v>
      </c>
      <c r="D63" s="29">
        <v>19.600000000000001</v>
      </c>
      <c r="E63" s="29">
        <v>19.600000000000001</v>
      </c>
      <c r="F63" s="30">
        <v>69</v>
      </c>
      <c r="G63" s="29">
        <v>69</v>
      </c>
      <c r="H63" s="28" t="s">
        <v>5996</v>
      </c>
      <c r="I63" s="27"/>
      <c r="J63" s="31" t="s">
        <v>5</v>
      </c>
      <c r="K63" s="27" t="s">
        <v>42</v>
      </c>
      <c r="L63" s="27" t="s">
        <v>43</v>
      </c>
      <c r="M63" s="32" t="str">
        <f>HYPERLINK("http://slimages.macys.com/is/image/MCY/3611180 ")</f>
        <v xml:space="preserve">http://slimages.macys.com/is/image/MCY/3611180 </v>
      </c>
    </row>
    <row r="64" spans="1:13" ht="15.2" customHeight="1" x14ac:dyDescent="0.2">
      <c r="A64" s="26" t="s">
        <v>9411</v>
      </c>
      <c r="B64" s="27" t="s">
        <v>9412</v>
      </c>
      <c r="C64" s="28">
        <v>1</v>
      </c>
      <c r="D64" s="29">
        <v>19.600000000000001</v>
      </c>
      <c r="E64" s="29">
        <v>19.600000000000001</v>
      </c>
      <c r="F64" s="30">
        <v>69</v>
      </c>
      <c r="G64" s="29">
        <v>69</v>
      </c>
      <c r="H64" s="28" t="s">
        <v>5996</v>
      </c>
      <c r="I64" s="27"/>
      <c r="J64" s="31" t="s">
        <v>52</v>
      </c>
      <c r="K64" s="27" t="s">
        <v>42</v>
      </c>
      <c r="L64" s="27" t="s">
        <v>43</v>
      </c>
      <c r="M64" s="32" t="str">
        <f>HYPERLINK("http://slimages.macys.com/is/image/MCY/3611180 ")</f>
        <v xml:space="preserve">http://slimages.macys.com/is/image/MCY/3611180 </v>
      </c>
    </row>
    <row r="65" spans="1:13" ht="15.2" customHeight="1" x14ac:dyDescent="0.2">
      <c r="A65" s="26" t="s">
        <v>11369</v>
      </c>
      <c r="B65" s="27" t="s">
        <v>11370</v>
      </c>
      <c r="C65" s="28">
        <v>1</v>
      </c>
      <c r="D65" s="29">
        <v>19.5</v>
      </c>
      <c r="E65" s="29">
        <v>19.5</v>
      </c>
      <c r="F65" s="30">
        <v>39.979999999999997</v>
      </c>
      <c r="G65" s="29">
        <v>39.979999999999997</v>
      </c>
      <c r="H65" s="28" t="s">
        <v>4601</v>
      </c>
      <c r="I65" s="27" t="s">
        <v>343</v>
      </c>
      <c r="J65" s="31"/>
      <c r="K65" s="27" t="s">
        <v>37</v>
      </c>
      <c r="L65" s="27" t="s">
        <v>38</v>
      </c>
      <c r="M65" s="32" t="str">
        <f>HYPERLINK("http://slimages.macys.com/is/image/MCY/2058387 ")</f>
        <v xml:space="preserve">http://slimages.macys.com/is/image/MCY/2058387 </v>
      </c>
    </row>
    <row r="66" spans="1:13" ht="15.2" customHeight="1" x14ac:dyDescent="0.2">
      <c r="A66" s="26" t="s">
        <v>11371</v>
      </c>
      <c r="B66" s="27" t="s">
        <v>11372</v>
      </c>
      <c r="C66" s="28">
        <v>1</v>
      </c>
      <c r="D66" s="29">
        <v>19</v>
      </c>
      <c r="E66" s="29">
        <v>19</v>
      </c>
      <c r="F66" s="30">
        <v>59</v>
      </c>
      <c r="G66" s="29">
        <v>59</v>
      </c>
      <c r="H66" s="28" t="s">
        <v>11373</v>
      </c>
      <c r="I66" s="27" t="s">
        <v>4</v>
      </c>
      <c r="J66" s="31"/>
      <c r="K66" s="27" t="s">
        <v>24</v>
      </c>
      <c r="L66" s="27" t="s">
        <v>67</v>
      </c>
      <c r="M66" s="32" t="str">
        <f>HYPERLINK("http://slimages.macys.com/is/image/MCY/3809392 ")</f>
        <v xml:space="preserve">http://slimages.macys.com/is/image/MCY/3809392 </v>
      </c>
    </row>
    <row r="67" spans="1:13" ht="15.2" customHeight="1" x14ac:dyDescent="0.2">
      <c r="A67" s="26" t="s">
        <v>7493</v>
      </c>
      <c r="B67" s="27" t="s">
        <v>7494</v>
      </c>
      <c r="C67" s="28">
        <v>1</v>
      </c>
      <c r="D67" s="29">
        <v>19</v>
      </c>
      <c r="E67" s="29">
        <v>19</v>
      </c>
      <c r="F67" s="30">
        <v>59</v>
      </c>
      <c r="G67" s="29">
        <v>59</v>
      </c>
      <c r="H67" s="28" t="s">
        <v>7495</v>
      </c>
      <c r="I67" s="27" t="s">
        <v>4</v>
      </c>
      <c r="J67" s="31" t="s">
        <v>69</v>
      </c>
      <c r="K67" s="27" t="s">
        <v>24</v>
      </c>
      <c r="L67" s="27" t="s">
        <v>101</v>
      </c>
      <c r="M67" s="32" t="str">
        <f>HYPERLINK("http://slimages.macys.com/is/image/MCY/3832800 ")</f>
        <v xml:space="preserve">http://slimages.macys.com/is/image/MCY/3832800 </v>
      </c>
    </row>
    <row r="68" spans="1:13" ht="15.2" customHeight="1" x14ac:dyDescent="0.2">
      <c r="A68" s="26" t="s">
        <v>8764</v>
      </c>
      <c r="B68" s="27" t="s">
        <v>8765</v>
      </c>
      <c r="C68" s="28">
        <v>1</v>
      </c>
      <c r="D68" s="29">
        <v>19</v>
      </c>
      <c r="E68" s="29">
        <v>19</v>
      </c>
      <c r="F68" s="30">
        <v>59</v>
      </c>
      <c r="G68" s="29">
        <v>59</v>
      </c>
      <c r="H68" s="28" t="s">
        <v>7495</v>
      </c>
      <c r="I68" s="27" t="s">
        <v>4</v>
      </c>
      <c r="J68" s="31" t="s">
        <v>216</v>
      </c>
      <c r="K68" s="27" t="s">
        <v>24</v>
      </c>
      <c r="L68" s="27" t="s">
        <v>101</v>
      </c>
      <c r="M68" s="32" t="str">
        <f>HYPERLINK("http://slimages.macys.com/is/image/MCY/3832800 ")</f>
        <v xml:space="preserve">http://slimages.macys.com/is/image/MCY/3832800 </v>
      </c>
    </row>
    <row r="69" spans="1:13" ht="15.2" customHeight="1" x14ac:dyDescent="0.2">
      <c r="A69" s="26" t="s">
        <v>1134</v>
      </c>
      <c r="B69" s="27" t="s">
        <v>1135</v>
      </c>
      <c r="C69" s="28">
        <v>2</v>
      </c>
      <c r="D69" s="29">
        <v>18.399999999999999</v>
      </c>
      <c r="E69" s="29">
        <v>36.799999999999997</v>
      </c>
      <c r="F69" s="30">
        <v>49.99</v>
      </c>
      <c r="G69" s="29">
        <v>99.98</v>
      </c>
      <c r="H69" s="28" t="s">
        <v>1136</v>
      </c>
      <c r="I69" s="27" t="s">
        <v>22</v>
      </c>
      <c r="J69" s="31" t="s">
        <v>5</v>
      </c>
      <c r="K69" s="27" t="s">
        <v>41</v>
      </c>
      <c r="L69" s="27" t="s">
        <v>45</v>
      </c>
      <c r="M69" s="32" t="str">
        <f>HYPERLINK("http://slimages.macys.com/is/image/MCY/3635663 ")</f>
        <v xml:space="preserve">http://slimages.macys.com/is/image/MCY/3635663 </v>
      </c>
    </row>
    <row r="70" spans="1:13" ht="15.2" customHeight="1" x14ac:dyDescent="0.2">
      <c r="A70" s="26" t="s">
        <v>11374</v>
      </c>
      <c r="B70" s="27" t="s">
        <v>11375</v>
      </c>
      <c r="C70" s="28">
        <v>1</v>
      </c>
      <c r="D70" s="29">
        <v>18.399999999999999</v>
      </c>
      <c r="E70" s="29">
        <v>18.399999999999999</v>
      </c>
      <c r="F70" s="30">
        <v>49.99</v>
      </c>
      <c r="G70" s="29">
        <v>49.99</v>
      </c>
      <c r="H70" s="28" t="s">
        <v>1136</v>
      </c>
      <c r="I70" s="27" t="s">
        <v>22</v>
      </c>
      <c r="J70" s="31" t="s">
        <v>172</v>
      </c>
      <c r="K70" s="27" t="s">
        <v>41</v>
      </c>
      <c r="L70" s="27" t="s">
        <v>45</v>
      </c>
      <c r="M70" s="32" t="str">
        <f>HYPERLINK("http://slimages.macys.com/is/image/MCY/3635663 ")</f>
        <v xml:space="preserve">http://slimages.macys.com/is/image/MCY/3635663 </v>
      </c>
    </row>
    <row r="71" spans="1:13" ht="15.2" customHeight="1" x14ac:dyDescent="0.2">
      <c r="A71" s="26" t="s">
        <v>84</v>
      </c>
      <c r="B71" s="27" t="s">
        <v>85</v>
      </c>
      <c r="C71" s="28">
        <v>1</v>
      </c>
      <c r="D71" s="29">
        <v>18.21</v>
      </c>
      <c r="E71" s="29">
        <v>18.21</v>
      </c>
      <c r="F71" s="30">
        <v>50.99</v>
      </c>
      <c r="G71" s="29">
        <v>50.99</v>
      </c>
      <c r="H71" s="28" t="s">
        <v>86</v>
      </c>
      <c r="I71" s="27" t="s">
        <v>82</v>
      </c>
      <c r="J71" s="31" t="s">
        <v>5</v>
      </c>
      <c r="K71" s="27" t="s">
        <v>41</v>
      </c>
      <c r="L71" s="27" t="s">
        <v>45</v>
      </c>
      <c r="M71" s="32" t="str">
        <f>HYPERLINK("http://slimages.macys.com/is/image/MCY/3598726 ")</f>
        <v xml:space="preserve">http://slimages.macys.com/is/image/MCY/3598726 </v>
      </c>
    </row>
    <row r="72" spans="1:13" ht="15.2" customHeight="1" x14ac:dyDescent="0.2">
      <c r="A72" s="26" t="s">
        <v>11376</v>
      </c>
      <c r="B72" s="27" t="s">
        <v>11377</v>
      </c>
      <c r="C72" s="28">
        <v>1</v>
      </c>
      <c r="D72" s="29">
        <v>18.21</v>
      </c>
      <c r="E72" s="29">
        <v>18.21</v>
      </c>
      <c r="F72" s="30">
        <v>50.99</v>
      </c>
      <c r="G72" s="29">
        <v>50.99</v>
      </c>
      <c r="H72" s="28" t="s">
        <v>11378</v>
      </c>
      <c r="I72" s="27" t="s">
        <v>4</v>
      </c>
      <c r="J72" s="31" t="s">
        <v>5</v>
      </c>
      <c r="K72" s="27" t="s">
        <v>41</v>
      </c>
      <c r="L72" s="27" t="s">
        <v>45</v>
      </c>
      <c r="M72" s="32" t="str">
        <f>HYPERLINK("http://slimages.macys.com/is/image/MCY/3612236 ")</f>
        <v xml:space="preserve">http://slimages.macys.com/is/image/MCY/3612236 </v>
      </c>
    </row>
    <row r="73" spans="1:13" ht="15.2" customHeight="1" x14ac:dyDescent="0.2">
      <c r="A73" s="26" t="s">
        <v>8366</v>
      </c>
      <c r="B73" s="27" t="s">
        <v>8367</v>
      </c>
      <c r="C73" s="28">
        <v>1</v>
      </c>
      <c r="D73" s="29">
        <v>18.079999999999998</v>
      </c>
      <c r="E73" s="29">
        <v>18.079999999999998</v>
      </c>
      <c r="F73" s="30">
        <v>49.5</v>
      </c>
      <c r="G73" s="29">
        <v>49.5</v>
      </c>
      <c r="H73" s="28" t="s">
        <v>2094</v>
      </c>
      <c r="I73" s="27" t="s">
        <v>4</v>
      </c>
      <c r="J73" s="31" t="s">
        <v>21</v>
      </c>
      <c r="K73" s="27" t="s">
        <v>41</v>
      </c>
      <c r="L73" s="27" t="s">
        <v>45</v>
      </c>
      <c r="M73" s="32" t="str">
        <f>HYPERLINK("http://slimages.macys.com/is/image/MCY/3802113 ")</f>
        <v xml:space="preserve">http://slimages.macys.com/is/image/MCY/3802113 </v>
      </c>
    </row>
    <row r="74" spans="1:13" ht="15.2" customHeight="1" x14ac:dyDescent="0.2">
      <c r="A74" s="26" t="s">
        <v>11379</v>
      </c>
      <c r="B74" s="27" t="s">
        <v>11380</v>
      </c>
      <c r="C74" s="28">
        <v>1</v>
      </c>
      <c r="D74" s="29">
        <v>18.07</v>
      </c>
      <c r="E74" s="29">
        <v>18.07</v>
      </c>
      <c r="F74" s="30">
        <v>49.5</v>
      </c>
      <c r="G74" s="29">
        <v>49.5</v>
      </c>
      <c r="H74" s="28" t="s">
        <v>8766</v>
      </c>
      <c r="I74" s="27" t="s">
        <v>26</v>
      </c>
      <c r="J74" s="31" t="s">
        <v>40</v>
      </c>
      <c r="K74" s="27" t="s">
        <v>53</v>
      </c>
      <c r="L74" s="27" t="s">
        <v>54</v>
      </c>
      <c r="M74" s="32" t="str">
        <f>HYPERLINK("http://slimages.macys.com/is/image/MCY/3578335 ")</f>
        <v xml:space="preserve">http://slimages.macys.com/is/image/MCY/3578335 </v>
      </c>
    </row>
    <row r="75" spans="1:13" ht="15.2" customHeight="1" x14ac:dyDescent="0.2">
      <c r="A75" s="26" t="s">
        <v>9847</v>
      </c>
      <c r="B75" s="27" t="s">
        <v>9848</v>
      </c>
      <c r="C75" s="28">
        <v>2</v>
      </c>
      <c r="D75" s="29">
        <v>18.059999999999999</v>
      </c>
      <c r="E75" s="29">
        <v>36.119999999999997</v>
      </c>
      <c r="F75" s="30">
        <v>49.5</v>
      </c>
      <c r="G75" s="29">
        <v>99</v>
      </c>
      <c r="H75" s="28" t="s">
        <v>2099</v>
      </c>
      <c r="I75" s="27" t="s">
        <v>4</v>
      </c>
      <c r="J75" s="31" t="s">
        <v>5</v>
      </c>
      <c r="K75" s="27" t="s">
        <v>41</v>
      </c>
      <c r="L75" s="27" t="s">
        <v>90</v>
      </c>
      <c r="M75" s="32" t="str">
        <f>HYPERLINK("http://slimages.macys.com/is/image/MCY/3707200 ")</f>
        <v xml:space="preserve">http://slimages.macys.com/is/image/MCY/3707200 </v>
      </c>
    </row>
    <row r="76" spans="1:13" ht="15.2" customHeight="1" x14ac:dyDescent="0.2">
      <c r="A76" s="26" t="s">
        <v>11381</v>
      </c>
      <c r="B76" s="27" t="s">
        <v>11382</v>
      </c>
      <c r="C76" s="28">
        <v>1</v>
      </c>
      <c r="D76" s="29">
        <v>18.04</v>
      </c>
      <c r="E76" s="29">
        <v>18.04</v>
      </c>
      <c r="F76" s="30">
        <v>49.5</v>
      </c>
      <c r="G76" s="29">
        <v>49.5</v>
      </c>
      <c r="H76" s="28" t="s">
        <v>6011</v>
      </c>
      <c r="I76" s="27" t="s">
        <v>4</v>
      </c>
      <c r="J76" s="31" t="s">
        <v>5</v>
      </c>
      <c r="K76" s="27" t="s">
        <v>41</v>
      </c>
      <c r="L76" s="27" t="s">
        <v>45</v>
      </c>
      <c r="M76" s="32" t="str">
        <f>HYPERLINK("http://slimages.macys.com/is/image/MCY/3802081 ")</f>
        <v xml:space="preserve">http://slimages.macys.com/is/image/MCY/3802081 </v>
      </c>
    </row>
    <row r="77" spans="1:13" ht="15.2" customHeight="1" x14ac:dyDescent="0.2">
      <c r="A77" s="26" t="s">
        <v>11383</v>
      </c>
      <c r="B77" s="27" t="s">
        <v>11384</v>
      </c>
      <c r="C77" s="28">
        <v>1</v>
      </c>
      <c r="D77" s="29">
        <v>18</v>
      </c>
      <c r="E77" s="29">
        <v>18</v>
      </c>
      <c r="F77" s="30">
        <v>59</v>
      </c>
      <c r="G77" s="29">
        <v>59</v>
      </c>
      <c r="H77" s="28" t="s">
        <v>1151</v>
      </c>
      <c r="I77" s="27" t="s">
        <v>82</v>
      </c>
      <c r="J77" s="31" t="s">
        <v>69</v>
      </c>
      <c r="K77" s="27" t="s">
        <v>24</v>
      </c>
      <c r="L77" s="27" t="s">
        <v>1079</v>
      </c>
      <c r="M77" s="32" t="str">
        <f>HYPERLINK("http://slimages.macys.com/is/image/MCY/3705704 ")</f>
        <v xml:space="preserve">http://slimages.macys.com/is/image/MCY/3705704 </v>
      </c>
    </row>
    <row r="78" spans="1:13" ht="15.2" customHeight="1" x14ac:dyDescent="0.2">
      <c r="A78" s="26" t="s">
        <v>6139</v>
      </c>
      <c r="B78" s="27" t="s">
        <v>6140</v>
      </c>
      <c r="C78" s="28">
        <v>1</v>
      </c>
      <c r="D78" s="29">
        <v>18</v>
      </c>
      <c r="E78" s="29">
        <v>18</v>
      </c>
      <c r="F78" s="30">
        <v>59</v>
      </c>
      <c r="G78" s="29">
        <v>59</v>
      </c>
      <c r="H78" s="28" t="s">
        <v>100</v>
      </c>
      <c r="I78" s="27" t="s">
        <v>4</v>
      </c>
      <c r="J78" s="31" t="s">
        <v>5</v>
      </c>
      <c r="K78" s="27" t="s">
        <v>24</v>
      </c>
      <c r="L78" s="27" t="s">
        <v>101</v>
      </c>
      <c r="M78" s="32" t="str">
        <f>HYPERLINK("http://slimages.macys.com/is/image/MCY/3912998 ")</f>
        <v xml:space="preserve">http://slimages.macys.com/is/image/MCY/3912998 </v>
      </c>
    </row>
    <row r="79" spans="1:13" ht="15.2" customHeight="1" x14ac:dyDescent="0.2">
      <c r="A79" s="26" t="s">
        <v>11385</v>
      </c>
      <c r="B79" s="27" t="s">
        <v>11386</v>
      </c>
      <c r="C79" s="28">
        <v>1</v>
      </c>
      <c r="D79" s="29">
        <v>18</v>
      </c>
      <c r="E79" s="29">
        <v>18</v>
      </c>
      <c r="F79" s="30">
        <v>59</v>
      </c>
      <c r="G79" s="29">
        <v>59</v>
      </c>
      <c r="H79" s="28" t="s">
        <v>1151</v>
      </c>
      <c r="I79" s="27" t="s">
        <v>82</v>
      </c>
      <c r="J79" s="31" t="s">
        <v>216</v>
      </c>
      <c r="K79" s="27" t="s">
        <v>24</v>
      </c>
      <c r="L79" s="27" t="s">
        <v>1079</v>
      </c>
      <c r="M79" s="32" t="str">
        <f>HYPERLINK("http://slimages.macys.com/is/image/MCY/3705704 ")</f>
        <v xml:space="preserve">http://slimages.macys.com/is/image/MCY/3705704 </v>
      </c>
    </row>
    <row r="80" spans="1:13" ht="15.2" customHeight="1" x14ac:dyDescent="0.2">
      <c r="A80" s="26" t="s">
        <v>11387</v>
      </c>
      <c r="B80" s="27" t="s">
        <v>11388</v>
      </c>
      <c r="C80" s="28">
        <v>1</v>
      </c>
      <c r="D80" s="29">
        <v>17.850000000000001</v>
      </c>
      <c r="E80" s="29">
        <v>17.850000000000001</v>
      </c>
      <c r="F80" s="30">
        <v>59.5</v>
      </c>
      <c r="G80" s="29">
        <v>59.5</v>
      </c>
      <c r="H80" s="28">
        <v>49022878</v>
      </c>
      <c r="I80" s="27" t="s">
        <v>4</v>
      </c>
      <c r="J80" s="31" t="s">
        <v>5</v>
      </c>
      <c r="K80" s="27" t="s">
        <v>6</v>
      </c>
      <c r="L80" s="27" t="s">
        <v>7</v>
      </c>
      <c r="M80" s="32" t="str">
        <f>HYPERLINK("http://slimages.macys.com/is/image/MCY/3940875 ")</f>
        <v xml:space="preserve">http://slimages.macys.com/is/image/MCY/3940875 </v>
      </c>
    </row>
    <row r="81" spans="1:13" ht="15.2" customHeight="1" x14ac:dyDescent="0.2">
      <c r="A81" s="26" t="s">
        <v>11389</v>
      </c>
      <c r="B81" s="27" t="s">
        <v>11390</v>
      </c>
      <c r="C81" s="28">
        <v>1</v>
      </c>
      <c r="D81" s="29">
        <v>17.8</v>
      </c>
      <c r="E81" s="29">
        <v>17.8</v>
      </c>
      <c r="F81" s="30">
        <v>89</v>
      </c>
      <c r="G81" s="29">
        <v>89</v>
      </c>
      <c r="H81" s="28" t="s">
        <v>11391</v>
      </c>
      <c r="I81" s="27" t="s">
        <v>238</v>
      </c>
      <c r="J81" s="31" t="s">
        <v>5</v>
      </c>
      <c r="K81" s="27" t="s">
        <v>654</v>
      </c>
      <c r="L81" s="27" t="s">
        <v>655</v>
      </c>
      <c r="M81" s="32" t="str">
        <f>HYPERLINK("http://slimages.macys.com/is/image/MCY/3750187 ")</f>
        <v xml:space="preserve">http://slimages.macys.com/is/image/MCY/3750187 </v>
      </c>
    </row>
    <row r="82" spans="1:13" ht="15.2" customHeight="1" x14ac:dyDescent="0.2">
      <c r="A82" s="26" t="s">
        <v>10278</v>
      </c>
      <c r="B82" s="27" t="s">
        <v>10279</v>
      </c>
      <c r="C82" s="28">
        <v>1</v>
      </c>
      <c r="D82" s="29">
        <v>17.760000000000002</v>
      </c>
      <c r="E82" s="29">
        <v>17.760000000000002</v>
      </c>
      <c r="F82" s="30">
        <v>49.5</v>
      </c>
      <c r="G82" s="29">
        <v>49.5</v>
      </c>
      <c r="H82" s="28" t="s">
        <v>10224</v>
      </c>
      <c r="I82" s="27" t="s">
        <v>33</v>
      </c>
      <c r="J82" s="31" t="s">
        <v>21</v>
      </c>
      <c r="K82" s="27" t="s">
        <v>41</v>
      </c>
      <c r="L82" s="27" t="s">
        <v>45</v>
      </c>
      <c r="M82" s="32" t="str">
        <f>HYPERLINK("http://slimages.macys.com/is/image/MCY/3623727 ")</f>
        <v xml:space="preserve">http://slimages.macys.com/is/image/MCY/3623727 </v>
      </c>
    </row>
    <row r="83" spans="1:13" ht="15.2" customHeight="1" x14ac:dyDescent="0.2">
      <c r="A83" s="26" t="s">
        <v>11392</v>
      </c>
      <c r="B83" s="27" t="s">
        <v>11393</v>
      </c>
      <c r="C83" s="28">
        <v>1</v>
      </c>
      <c r="D83" s="29">
        <v>17.760000000000002</v>
      </c>
      <c r="E83" s="29">
        <v>17.760000000000002</v>
      </c>
      <c r="F83" s="30">
        <v>49.5</v>
      </c>
      <c r="G83" s="29">
        <v>49.5</v>
      </c>
      <c r="H83" s="28" t="s">
        <v>10418</v>
      </c>
      <c r="I83" s="27" t="s">
        <v>107</v>
      </c>
      <c r="J83" s="31" t="s">
        <v>65</v>
      </c>
      <c r="K83" s="27" t="s">
        <v>41</v>
      </c>
      <c r="L83" s="27" t="s">
        <v>45</v>
      </c>
      <c r="M83" s="32" t="str">
        <f>HYPERLINK("http://slimages.macys.com/is/image/MCY/3610415 ")</f>
        <v xml:space="preserve">http://slimages.macys.com/is/image/MCY/3610415 </v>
      </c>
    </row>
    <row r="84" spans="1:13" ht="15.2" customHeight="1" x14ac:dyDescent="0.2">
      <c r="A84" s="26" t="s">
        <v>120</v>
      </c>
      <c r="B84" s="27" t="s">
        <v>121</v>
      </c>
      <c r="C84" s="28">
        <v>1</v>
      </c>
      <c r="D84" s="29">
        <v>17.13</v>
      </c>
      <c r="E84" s="29">
        <v>17.13</v>
      </c>
      <c r="F84" s="30">
        <v>49.5</v>
      </c>
      <c r="G84" s="29">
        <v>49.5</v>
      </c>
      <c r="H84" s="28" t="s">
        <v>122</v>
      </c>
      <c r="I84" s="27" t="s">
        <v>4</v>
      </c>
      <c r="J84" s="31" t="s">
        <v>5</v>
      </c>
      <c r="K84" s="27" t="s">
        <v>53</v>
      </c>
      <c r="L84" s="27" t="s">
        <v>123</v>
      </c>
      <c r="M84" s="32" t="str">
        <f>HYPERLINK("http://slimages.macys.com/is/image/MCY/3761878 ")</f>
        <v xml:space="preserve">http://slimages.macys.com/is/image/MCY/3761878 </v>
      </c>
    </row>
    <row r="85" spans="1:13" ht="15.2" customHeight="1" x14ac:dyDescent="0.2">
      <c r="A85" s="26" t="s">
        <v>7368</v>
      </c>
      <c r="B85" s="27" t="s">
        <v>7369</v>
      </c>
      <c r="C85" s="28">
        <v>3</v>
      </c>
      <c r="D85" s="29">
        <v>17</v>
      </c>
      <c r="E85" s="29">
        <v>51</v>
      </c>
      <c r="F85" s="30">
        <v>42.99</v>
      </c>
      <c r="G85" s="29">
        <v>128.97</v>
      </c>
      <c r="H85" s="28" t="s">
        <v>1157</v>
      </c>
      <c r="I85" s="27" t="s">
        <v>22</v>
      </c>
      <c r="J85" s="31" t="s">
        <v>71</v>
      </c>
      <c r="K85" s="27" t="s">
        <v>70</v>
      </c>
      <c r="L85" s="27" t="s">
        <v>25</v>
      </c>
      <c r="M85" s="32" t="str">
        <f>HYPERLINK("http://slimages.macys.com/is/image/MCY/3563258 ")</f>
        <v xml:space="preserve">http://slimages.macys.com/is/image/MCY/3563258 </v>
      </c>
    </row>
    <row r="86" spans="1:13" ht="15.2" customHeight="1" x14ac:dyDescent="0.2">
      <c r="A86" s="26" t="s">
        <v>8202</v>
      </c>
      <c r="B86" s="27" t="s">
        <v>8203</v>
      </c>
      <c r="C86" s="28">
        <v>1</v>
      </c>
      <c r="D86" s="29">
        <v>17</v>
      </c>
      <c r="E86" s="29">
        <v>17</v>
      </c>
      <c r="F86" s="30">
        <v>59</v>
      </c>
      <c r="G86" s="29">
        <v>59</v>
      </c>
      <c r="H86" s="28" t="s">
        <v>7367</v>
      </c>
      <c r="I86" s="27" t="s">
        <v>29</v>
      </c>
      <c r="J86" s="31" t="s">
        <v>71</v>
      </c>
      <c r="K86" s="27" t="s">
        <v>154</v>
      </c>
      <c r="L86" s="27" t="s">
        <v>155</v>
      </c>
      <c r="M86" s="32" t="str">
        <f>HYPERLINK("http://slimages.macys.com/is/image/MCY/3667499 ")</f>
        <v xml:space="preserve">http://slimages.macys.com/is/image/MCY/3667499 </v>
      </c>
    </row>
    <row r="87" spans="1:13" ht="15.2" customHeight="1" x14ac:dyDescent="0.2">
      <c r="A87" s="26" t="s">
        <v>11394</v>
      </c>
      <c r="B87" s="27" t="s">
        <v>11395</v>
      </c>
      <c r="C87" s="28">
        <v>1</v>
      </c>
      <c r="D87" s="29">
        <v>17</v>
      </c>
      <c r="E87" s="29">
        <v>17</v>
      </c>
      <c r="F87" s="30">
        <v>39.99</v>
      </c>
      <c r="G87" s="29">
        <v>39.99</v>
      </c>
      <c r="H87" s="28" t="s">
        <v>11396</v>
      </c>
      <c r="I87" s="27" t="s">
        <v>1</v>
      </c>
      <c r="J87" s="31" t="s">
        <v>234</v>
      </c>
      <c r="K87" s="27" t="s">
        <v>70</v>
      </c>
      <c r="L87" s="27" t="s">
        <v>128</v>
      </c>
      <c r="M87" s="32" t="str">
        <f>HYPERLINK("http://slimages.macys.com/is/image/MCY/3250734 ")</f>
        <v xml:space="preserve">http://slimages.macys.com/is/image/MCY/3250734 </v>
      </c>
    </row>
    <row r="88" spans="1:13" ht="15.2" customHeight="1" x14ac:dyDescent="0.2">
      <c r="A88" s="26" t="s">
        <v>11397</v>
      </c>
      <c r="B88" s="27" t="s">
        <v>11398</v>
      </c>
      <c r="C88" s="28">
        <v>1</v>
      </c>
      <c r="D88" s="29">
        <v>16.940000000000001</v>
      </c>
      <c r="E88" s="29">
        <v>16.940000000000001</v>
      </c>
      <c r="F88" s="30">
        <v>44.5</v>
      </c>
      <c r="G88" s="29">
        <v>44.5</v>
      </c>
      <c r="H88" s="28" t="s">
        <v>6012</v>
      </c>
      <c r="I88" s="27" t="s">
        <v>49</v>
      </c>
      <c r="J88" s="31" t="s">
        <v>5</v>
      </c>
      <c r="K88" s="27" t="s">
        <v>41</v>
      </c>
      <c r="L88" s="27" t="s">
        <v>80</v>
      </c>
      <c r="M88" s="32" t="str">
        <f>HYPERLINK("http://slimages.macys.com/is/image/MCY/2914985 ")</f>
        <v xml:space="preserve">http://slimages.macys.com/is/image/MCY/2914985 </v>
      </c>
    </row>
    <row r="89" spans="1:13" ht="15.2" customHeight="1" x14ac:dyDescent="0.2">
      <c r="A89" s="26" t="s">
        <v>11399</v>
      </c>
      <c r="B89" s="27" t="s">
        <v>11400</v>
      </c>
      <c r="C89" s="28">
        <v>1</v>
      </c>
      <c r="D89" s="29">
        <v>16.53</v>
      </c>
      <c r="E89" s="29">
        <v>16.53</v>
      </c>
      <c r="F89" s="30">
        <v>49.5</v>
      </c>
      <c r="G89" s="29">
        <v>49.5</v>
      </c>
      <c r="H89" s="28" t="s">
        <v>9915</v>
      </c>
      <c r="I89" s="27" t="s">
        <v>82</v>
      </c>
      <c r="J89" s="31" t="s">
        <v>21</v>
      </c>
      <c r="K89" s="27" t="s">
        <v>53</v>
      </c>
      <c r="L89" s="27" t="s">
        <v>54</v>
      </c>
      <c r="M89" s="32" t="str">
        <f>HYPERLINK("http://slimages.macys.com/is/image/MCY/2759255 ")</f>
        <v xml:space="preserve">http://slimages.macys.com/is/image/MCY/2759255 </v>
      </c>
    </row>
    <row r="90" spans="1:13" ht="15.2" customHeight="1" x14ac:dyDescent="0.2">
      <c r="A90" s="26" t="s">
        <v>9529</v>
      </c>
      <c r="B90" s="27" t="s">
        <v>9530</v>
      </c>
      <c r="C90" s="28">
        <v>1</v>
      </c>
      <c r="D90" s="29">
        <v>16.53</v>
      </c>
      <c r="E90" s="29">
        <v>16.53</v>
      </c>
      <c r="F90" s="30">
        <v>49.5</v>
      </c>
      <c r="G90" s="29">
        <v>49.5</v>
      </c>
      <c r="H90" s="28" t="s">
        <v>7918</v>
      </c>
      <c r="I90" s="27" t="s">
        <v>94</v>
      </c>
      <c r="J90" s="31" t="s">
        <v>5</v>
      </c>
      <c r="K90" s="27" t="s">
        <v>53</v>
      </c>
      <c r="L90" s="27" t="s">
        <v>54</v>
      </c>
      <c r="M90" s="32" t="str">
        <f>HYPERLINK("http://slimages.macys.com/is/image/MCY/2759255 ")</f>
        <v xml:space="preserve">http://slimages.macys.com/is/image/MCY/2759255 </v>
      </c>
    </row>
    <row r="91" spans="1:13" ht="15.2" customHeight="1" x14ac:dyDescent="0.2">
      <c r="A91" s="26" t="s">
        <v>6907</v>
      </c>
      <c r="B91" s="27" t="s">
        <v>6908</v>
      </c>
      <c r="C91" s="28">
        <v>1</v>
      </c>
      <c r="D91" s="29">
        <v>16.25</v>
      </c>
      <c r="E91" s="29">
        <v>16.25</v>
      </c>
      <c r="F91" s="30">
        <v>44.5</v>
      </c>
      <c r="G91" s="29">
        <v>44.5</v>
      </c>
      <c r="H91" s="28" t="s">
        <v>6909</v>
      </c>
      <c r="I91" s="27" t="s">
        <v>4</v>
      </c>
      <c r="J91" s="31" t="s">
        <v>52</v>
      </c>
      <c r="K91" s="27" t="s">
        <v>53</v>
      </c>
      <c r="L91" s="27" t="s">
        <v>54</v>
      </c>
      <c r="M91" s="32" t="str">
        <f>HYPERLINK("http://slimages.macys.com/is/image/MCY/3582142 ")</f>
        <v xml:space="preserve">http://slimages.macys.com/is/image/MCY/3582142 </v>
      </c>
    </row>
    <row r="92" spans="1:13" ht="15.2" customHeight="1" x14ac:dyDescent="0.2">
      <c r="A92" s="26" t="s">
        <v>10318</v>
      </c>
      <c r="B92" s="27" t="s">
        <v>10319</v>
      </c>
      <c r="C92" s="28">
        <v>1</v>
      </c>
      <c r="D92" s="29">
        <v>16.25</v>
      </c>
      <c r="E92" s="29">
        <v>16.25</v>
      </c>
      <c r="F92" s="30">
        <v>40</v>
      </c>
      <c r="G92" s="29">
        <v>40</v>
      </c>
      <c r="H92" s="28" t="s">
        <v>8602</v>
      </c>
      <c r="I92" s="27" t="s">
        <v>59</v>
      </c>
      <c r="J92" s="31" t="s">
        <v>5</v>
      </c>
      <c r="K92" s="27" t="s">
        <v>70</v>
      </c>
      <c r="L92" s="27" t="s">
        <v>999</v>
      </c>
      <c r="M92" s="32" t="str">
        <f>HYPERLINK("http://slimages.macys.com/is/image/MCY/3723533 ")</f>
        <v xml:space="preserve">http://slimages.macys.com/is/image/MCY/3723533 </v>
      </c>
    </row>
    <row r="93" spans="1:13" ht="15.2" customHeight="1" x14ac:dyDescent="0.2">
      <c r="A93" s="26" t="s">
        <v>7502</v>
      </c>
      <c r="B93" s="27" t="s">
        <v>7503</v>
      </c>
      <c r="C93" s="28">
        <v>1</v>
      </c>
      <c r="D93" s="29">
        <v>16.239999999999998</v>
      </c>
      <c r="E93" s="29">
        <v>16.239999999999998</v>
      </c>
      <c r="F93" s="30">
        <v>44.5</v>
      </c>
      <c r="G93" s="29">
        <v>44.5</v>
      </c>
      <c r="H93" s="28" t="s">
        <v>711</v>
      </c>
      <c r="I93" s="27" t="s">
        <v>49</v>
      </c>
      <c r="J93" s="31" t="s">
        <v>5</v>
      </c>
      <c r="K93" s="27" t="s">
        <v>41</v>
      </c>
      <c r="L93" s="27" t="s">
        <v>90</v>
      </c>
      <c r="M93" s="32" t="str">
        <f>HYPERLINK("http://slimages.macys.com/is/image/MCY/3774436 ")</f>
        <v xml:space="preserve">http://slimages.macys.com/is/image/MCY/3774436 </v>
      </c>
    </row>
    <row r="94" spans="1:13" ht="15.2" customHeight="1" x14ac:dyDescent="0.2">
      <c r="A94" s="26" t="s">
        <v>2114</v>
      </c>
      <c r="B94" s="27" t="s">
        <v>2115</v>
      </c>
      <c r="C94" s="28">
        <v>1</v>
      </c>
      <c r="D94" s="29">
        <v>16.239999999999998</v>
      </c>
      <c r="E94" s="29">
        <v>16.239999999999998</v>
      </c>
      <c r="F94" s="30">
        <v>44.5</v>
      </c>
      <c r="G94" s="29">
        <v>44.5</v>
      </c>
      <c r="H94" s="28">
        <v>40329</v>
      </c>
      <c r="I94" s="27" t="s">
        <v>94</v>
      </c>
      <c r="J94" s="31" t="s">
        <v>40</v>
      </c>
      <c r="K94" s="27" t="s">
        <v>41</v>
      </c>
      <c r="L94" s="27" t="s">
        <v>90</v>
      </c>
      <c r="M94" s="32" t="str">
        <f>HYPERLINK("http://slimages.macys.com/is/image/MCY/3774436 ")</f>
        <v xml:space="preserve">http://slimages.macys.com/is/image/MCY/3774436 </v>
      </c>
    </row>
    <row r="95" spans="1:13" ht="15.2" customHeight="1" x14ac:dyDescent="0.2">
      <c r="A95" s="26" t="s">
        <v>707</v>
      </c>
      <c r="B95" s="27" t="s">
        <v>708</v>
      </c>
      <c r="C95" s="28">
        <v>1</v>
      </c>
      <c r="D95" s="29">
        <v>16.239999999999998</v>
      </c>
      <c r="E95" s="29">
        <v>16.239999999999998</v>
      </c>
      <c r="F95" s="30">
        <v>44.5</v>
      </c>
      <c r="G95" s="29">
        <v>44.5</v>
      </c>
      <c r="H95" s="28" t="s">
        <v>140</v>
      </c>
      <c r="I95" s="27" t="s">
        <v>10</v>
      </c>
      <c r="J95" s="31" t="s">
        <v>5</v>
      </c>
      <c r="K95" s="27" t="s">
        <v>41</v>
      </c>
      <c r="L95" s="27" t="s">
        <v>90</v>
      </c>
      <c r="M95" s="32" t="str">
        <f>HYPERLINK("http://slimages.macys.com/is/image/MCY/3774436 ")</f>
        <v xml:space="preserve">http://slimages.macys.com/is/image/MCY/3774436 </v>
      </c>
    </row>
    <row r="96" spans="1:13" ht="15.2" customHeight="1" x14ac:dyDescent="0.2">
      <c r="A96" s="26" t="s">
        <v>2106</v>
      </c>
      <c r="B96" s="27" t="s">
        <v>2107</v>
      </c>
      <c r="C96" s="28">
        <v>1</v>
      </c>
      <c r="D96" s="29">
        <v>16.239999999999998</v>
      </c>
      <c r="E96" s="29">
        <v>16.239999999999998</v>
      </c>
      <c r="F96" s="30">
        <v>44.5</v>
      </c>
      <c r="G96" s="29">
        <v>44.5</v>
      </c>
      <c r="H96" s="28" t="s">
        <v>2105</v>
      </c>
      <c r="I96" s="27" t="s">
        <v>4</v>
      </c>
      <c r="J96" s="31" t="s">
        <v>65</v>
      </c>
      <c r="K96" s="27" t="s">
        <v>53</v>
      </c>
      <c r="L96" s="27" t="s">
        <v>54</v>
      </c>
      <c r="M96" s="32" t="str">
        <f>HYPERLINK("http://slimages.macys.com/is/image/MCY/3811529 ")</f>
        <v xml:space="preserve">http://slimages.macys.com/is/image/MCY/3811529 </v>
      </c>
    </row>
    <row r="97" spans="1:13" ht="15.2" customHeight="1" x14ac:dyDescent="0.2">
      <c r="A97" s="26" t="s">
        <v>2103</v>
      </c>
      <c r="B97" s="27" t="s">
        <v>2104</v>
      </c>
      <c r="C97" s="28">
        <v>1</v>
      </c>
      <c r="D97" s="29">
        <v>16.239999999999998</v>
      </c>
      <c r="E97" s="29">
        <v>16.239999999999998</v>
      </c>
      <c r="F97" s="30">
        <v>44.5</v>
      </c>
      <c r="G97" s="29">
        <v>44.5</v>
      </c>
      <c r="H97" s="28" t="s">
        <v>2105</v>
      </c>
      <c r="I97" s="27" t="s">
        <v>4</v>
      </c>
      <c r="J97" s="31" t="s">
        <v>5</v>
      </c>
      <c r="K97" s="27" t="s">
        <v>53</v>
      </c>
      <c r="L97" s="27" t="s">
        <v>54</v>
      </c>
      <c r="M97" s="32" t="str">
        <f>HYPERLINK("http://slimages.macys.com/is/image/MCY/3811529 ")</f>
        <v xml:space="preserve">http://slimages.macys.com/is/image/MCY/3811529 </v>
      </c>
    </row>
    <row r="98" spans="1:13" ht="15.2" customHeight="1" x14ac:dyDescent="0.2">
      <c r="A98" s="26" t="s">
        <v>10795</v>
      </c>
      <c r="B98" s="27" t="s">
        <v>10796</v>
      </c>
      <c r="C98" s="28">
        <v>2</v>
      </c>
      <c r="D98" s="29">
        <v>15.75</v>
      </c>
      <c r="E98" s="29">
        <v>31.5</v>
      </c>
      <c r="F98" s="30">
        <v>49</v>
      </c>
      <c r="G98" s="29">
        <v>98</v>
      </c>
      <c r="H98" s="28" t="s">
        <v>1166</v>
      </c>
      <c r="I98" s="27" t="s">
        <v>377</v>
      </c>
      <c r="J98" s="31" t="s">
        <v>5</v>
      </c>
      <c r="K98" s="27" t="s">
        <v>37</v>
      </c>
      <c r="L98" s="27" t="s">
        <v>38</v>
      </c>
      <c r="M98" s="32" t="str">
        <f>HYPERLINK("http://slimages.macys.com/is/image/MCY/3670401 ")</f>
        <v xml:space="preserve">http://slimages.macys.com/is/image/MCY/3670401 </v>
      </c>
    </row>
    <row r="99" spans="1:13" ht="15.2" customHeight="1" x14ac:dyDescent="0.2">
      <c r="A99" s="26" t="s">
        <v>11401</v>
      </c>
      <c r="B99" s="27" t="s">
        <v>11402</v>
      </c>
      <c r="C99" s="28">
        <v>1</v>
      </c>
      <c r="D99" s="29">
        <v>15.75</v>
      </c>
      <c r="E99" s="29">
        <v>15.75</v>
      </c>
      <c r="F99" s="30">
        <v>49</v>
      </c>
      <c r="G99" s="29">
        <v>49</v>
      </c>
      <c r="H99" s="28" t="s">
        <v>1166</v>
      </c>
      <c r="I99" s="27" t="s">
        <v>377</v>
      </c>
      <c r="J99" s="31" t="s">
        <v>52</v>
      </c>
      <c r="K99" s="27" t="s">
        <v>37</v>
      </c>
      <c r="L99" s="27" t="s">
        <v>38</v>
      </c>
      <c r="M99" s="32" t="str">
        <f>HYPERLINK("http://slimages.macys.com/is/image/MCY/3670401 ")</f>
        <v xml:space="preserve">http://slimages.macys.com/is/image/MCY/3670401 </v>
      </c>
    </row>
    <row r="100" spans="1:13" ht="15.2" customHeight="1" x14ac:dyDescent="0.2">
      <c r="A100" s="26" t="s">
        <v>10427</v>
      </c>
      <c r="B100" s="27" t="s">
        <v>10428</v>
      </c>
      <c r="C100" s="28">
        <v>1</v>
      </c>
      <c r="D100" s="29">
        <v>15.75</v>
      </c>
      <c r="E100" s="29">
        <v>15.75</v>
      </c>
      <c r="F100" s="30">
        <v>49</v>
      </c>
      <c r="G100" s="29">
        <v>49</v>
      </c>
      <c r="H100" s="28" t="s">
        <v>712</v>
      </c>
      <c r="I100" s="27" t="s">
        <v>94</v>
      </c>
      <c r="J100" s="31" t="s">
        <v>40</v>
      </c>
      <c r="K100" s="27" t="s">
        <v>37</v>
      </c>
      <c r="L100" s="27" t="s">
        <v>38</v>
      </c>
      <c r="M100" s="32" t="str">
        <f>HYPERLINK("http://slimages.macys.com/is/image/MCY/3667771 ")</f>
        <v xml:space="preserve">http://slimages.macys.com/is/image/MCY/3667771 </v>
      </c>
    </row>
    <row r="101" spans="1:13" ht="15.2" customHeight="1" x14ac:dyDescent="0.2">
      <c r="A101" s="26" t="s">
        <v>11403</v>
      </c>
      <c r="B101" s="27" t="s">
        <v>11404</v>
      </c>
      <c r="C101" s="28">
        <v>2</v>
      </c>
      <c r="D101" s="29">
        <v>15.5</v>
      </c>
      <c r="E101" s="29">
        <v>31</v>
      </c>
      <c r="F101" s="30">
        <v>36.99</v>
      </c>
      <c r="G101" s="29">
        <v>73.98</v>
      </c>
      <c r="H101" s="28" t="s">
        <v>11405</v>
      </c>
      <c r="I101" s="27" t="s">
        <v>103</v>
      </c>
      <c r="J101" s="31" t="s">
        <v>40</v>
      </c>
      <c r="K101" s="27" t="s">
        <v>159</v>
      </c>
      <c r="L101" s="27" t="s">
        <v>160</v>
      </c>
      <c r="M101" s="32" t="str">
        <f>HYPERLINK("http://slimages.macys.com/is/image/MCY/3409428 ")</f>
        <v xml:space="preserve">http://slimages.macys.com/is/image/MCY/3409428 </v>
      </c>
    </row>
    <row r="102" spans="1:13" ht="15.2" customHeight="1" x14ac:dyDescent="0.2">
      <c r="A102" s="26" t="s">
        <v>11406</v>
      </c>
      <c r="B102" s="27" t="s">
        <v>11407</v>
      </c>
      <c r="C102" s="28">
        <v>1</v>
      </c>
      <c r="D102" s="29">
        <v>15.41</v>
      </c>
      <c r="E102" s="29">
        <v>15.41</v>
      </c>
      <c r="F102" s="30">
        <v>36.99</v>
      </c>
      <c r="G102" s="29">
        <v>36.99</v>
      </c>
      <c r="H102" s="28" t="s">
        <v>11408</v>
      </c>
      <c r="I102" s="27" t="s">
        <v>4</v>
      </c>
      <c r="J102" s="31" t="s">
        <v>71</v>
      </c>
      <c r="K102" s="27" t="s">
        <v>159</v>
      </c>
      <c r="L102" s="27" t="s">
        <v>160</v>
      </c>
      <c r="M102" s="32" t="str">
        <f>HYPERLINK("http://slimages.macys.com/is/image/MCY/3265735 ")</f>
        <v xml:space="preserve">http://slimages.macys.com/is/image/MCY/3265735 </v>
      </c>
    </row>
    <row r="103" spans="1:13" ht="15.2" customHeight="1" x14ac:dyDescent="0.2">
      <c r="A103" s="26" t="s">
        <v>2836</v>
      </c>
      <c r="B103" s="27" t="s">
        <v>2837</v>
      </c>
      <c r="C103" s="28">
        <v>1</v>
      </c>
      <c r="D103" s="29">
        <v>15.2</v>
      </c>
      <c r="E103" s="29">
        <v>15.2</v>
      </c>
      <c r="F103" s="30">
        <v>44</v>
      </c>
      <c r="G103" s="29">
        <v>44</v>
      </c>
      <c r="H103" s="28" t="s">
        <v>2838</v>
      </c>
      <c r="I103" s="27" t="s">
        <v>189</v>
      </c>
      <c r="J103" s="31" t="s">
        <v>5</v>
      </c>
      <c r="K103" s="27" t="s">
        <v>42</v>
      </c>
      <c r="L103" s="27" t="s">
        <v>43</v>
      </c>
      <c r="M103" s="32" t="str">
        <f>HYPERLINK("http://slimages.macys.com/is/image/MCY/3611429 ")</f>
        <v xml:space="preserve">http://slimages.macys.com/is/image/MCY/3611429 </v>
      </c>
    </row>
    <row r="104" spans="1:13" ht="15.2" customHeight="1" x14ac:dyDescent="0.2">
      <c r="A104" s="26" t="s">
        <v>721</v>
      </c>
      <c r="B104" s="27" t="s">
        <v>722</v>
      </c>
      <c r="C104" s="28">
        <v>1</v>
      </c>
      <c r="D104" s="29">
        <v>15</v>
      </c>
      <c r="E104" s="29">
        <v>15</v>
      </c>
      <c r="F104" s="30">
        <v>39.5</v>
      </c>
      <c r="G104" s="29">
        <v>39.5</v>
      </c>
      <c r="H104" s="28" t="s">
        <v>718</v>
      </c>
      <c r="I104" s="27" t="s">
        <v>20</v>
      </c>
      <c r="J104" s="31" t="s">
        <v>71</v>
      </c>
      <c r="K104" s="27" t="s">
        <v>17</v>
      </c>
      <c r="L104" s="27" t="s">
        <v>18</v>
      </c>
      <c r="M104" s="32" t="str">
        <f>HYPERLINK("http://slimages.macys.com/is/image/MCY/3895640 ")</f>
        <v xml:space="preserve">http://slimages.macys.com/is/image/MCY/3895640 </v>
      </c>
    </row>
    <row r="105" spans="1:13" ht="15.2" customHeight="1" x14ac:dyDescent="0.2">
      <c r="A105" s="26" t="s">
        <v>8440</v>
      </c>
      <c r="B105" s="27" t="s">
        <v>8441</v>
      </c>
      <c r="C105" s="28">
        <v>1</v>
      </c>
      <c r="D105" s="29">
        <v>15</v>
      </c>
      <c r="E105" s="29">
        <v>15</v>
      </c>
      <c r="F105" s="30">
        <v>45</v>
      </c>
      <c r="G105" s="29">
        <v>45</v>
      </c>
      <c r="H105" s="28" t="s">
        <v>8442</v>
      </c>
      <c r="I105" s="27"/>
      <c r="J105" s="31" t="s">
        <v>216</v>
      </c>
      <c r="K105" s="27" t="s">
        <v>154</v>
      </c>
      <c r="L105" s="27" t="s">
        <v>155</v>
      </c>
      <c r="M105" s="32" t="str">
        <f>HYPERLINK("http://slimages.macys.com/is/image/MCY/3667567 ")</f>
        <v xml:space="preserve">http://slimages.macys.com/is/image/MCY/3667567 </v>
      </c>
    </row>
    <row r="106" spans="1:13" ht="15.2" customHeight="1" x14ac:dyDescent="0.2">
      <c r="A106" s="26" t="s">
        <v>1766</v>
      </c>
      <c r="B106" s="27" t="s">
        <v>1767</v>
      </c>
      <c r="C106" s="28">
        <v>1</v>
      </c>
      <c r="D106" s="29">
        <v>14.5</v>
      </c>
      <c r="E106" s="29">
        <v>14.5</v>
      </c>
      <c r="F106" s="30">
        <v>45</v>
      </c>
      <c r="G106" s="29">
        <v>45</v>
      </c>
      <c r="H106" s="28" t="s">
        <v>1768</v>
      </c>
      <c r="I106" s="27" t="s">
        <v>82</v>
      </c>
      <c r="J106" s="31" t="s">
        <v>52</v>
      </c>
      <c r="K106" s="27" t="s">
        <v>154</v>
      </c>
      <c r="L106" s="27" t="s">
        <v>155</v>
      </c>
      <c r="M106" s="32" t="str">
        <f>HYPERLINK("http://slimages.macys.com/is/image/MCY/3841161 ")</f>
        <v xml:space="preserve">http://slimages.macys.com/is/image/MCY/3841161 </v>
      </c>
    </row>
    <row r="107" spans="1:13" ht="15.2" customHeight="1" x14ac:dyDescent="0.2">
      <c r="A107" s="26" t="s">
        <v>10232</v>
      </c>
      <c r="B107" s="27" t="s">
        <v>10233</v>
      </c>
      <c r="C107" s="28">
        <v>2</v>
      </c>
      <c r="D107" s="29">
        <v>14</v>
      </c>
      <c r="E107" s="29">
        <v>28</v>
      </c>
      <c r="F107" s="30">
        <v>59</v>
      </c>
      <c r="G107" s="29">
        <v>118</v>
      </c>
      <c r="H107" s="28" t="s">
        <v>2852</v>
      </c>
      <c r="I107" s="27" t="s">
        <v>26</v>
      </c>
      <c r="J107" s="31" t="s">
        <v>71</v>
      </c>
      <c r="K107" s="27" t="s">
        <v>154</v>
      </c>
      <c r="L107" s="27" t="s">
        <v>155</v>
      </c>
      <c r="M107" s="32" t="str">
        <f>HYPERLINK("http://slimages.macys.com/is/image/MCY/3721265 ")</f>
        <v xml:space="preserve">http://slimages.macys.com/is/image/MCY/3721265 </v>
      </c>
    </row>
    <row r="108" spans="1:13" ht="15.2" customHeight="1" x14ac:dyDescent="0.2">
      <c r="A108" s="26" t="s">
        <v>11409</v>
      </c>
      <c r="B108" s="27" t="s">
        <v>11410</v>
      </c>
      <c r="C108" s="28">
        <v>1</v>
      </c>
      <c r="D108" s="29">
        <v>14</v>
      </c>
      <c r="E108" s="29">
        <v>14</v>
      </c>
      <c r="F108" s="30">
        <v>44</v>
      </c>
      <c r="G108" s="29">
        <v>44</v>
      </c>
      <c r="H108" s="28" t="s">
        <v>8520</v>
      </c>
      <c r="I108" s="27" t="s">
        <v>248</v>
      </c>
      <c r="J108" s="31" t="s">
        <v>172</v>
      </c>
      <c r="K108" s="27" t="s">
        <v>37</v>
      </c>
      <c r="L108" s="27" t="s">
        <v>38</v>
      </c>
      <c r="M108" s="32" t="str">
        <f>HYPERLINK("http://slimages.macys.com/is/image/MCY/3717676 ")</f>
        <v xml:space="preserve">http://slimages.macys.com/is/image/MCY/3717676 </v>
      </c>
    </row>
    <row r="109" spans="1:13" ht="15.2" customHeight="1" x14ac:dyDescent="0.2">
      <c r="A109" s="26" t="s">
        <v>11136</v>
      </c>
      <c r="B109" s="27" t="s">
        <v>11137</v>
      </c>
      <c r="C109" s="28">
        <v>1</v>
      </c>
      <c r="D109" s="29">
        <v>13.5</v>
      </c>
      <c r="E109" s="29">
        <v>13.5</v>
      </c>
      <c r="F109" s="30">
        <v>29.99</v>
      </c>
      <c r="G109" s="29">
        <v>29.99</v>
      </c>
      <c r="H109" s="28" t="s">
        <v>8268</v>
      </c>
      <c r="I109" s="27" t="s">
        <v>59</v>
      </c>
      <c r="J109" s="31" t="s">
        <v>113</v>
      </c>
      <c r="K109" s="27" t="s">
        <v>200</v>
      </c>
      <c r="L109" s="27" t="s">
        <v>741</v>
      </c>
      <c r="M109" s="32" t="str">
        <f>HYPERLINK("http://slimages.macys.com/is/image/MCY/3732749 ")</f>
        <v xml:space="preserve">http://slimages.macys.com/is/image/MCY/3732749 </v>
      </c>
    </row>
    <row r="110" spans="1:13" ht="15.2" customHeight="1" x14ac:dyDescent="0.2">
      <c r="A110" s="26" t="s">
        <v>11411</v>
      </c>
      <c r="B110" s="27" t="s">
        <v>11412</v>
      </c>
      <c r="C110" s="28">
        <v>1</v>
      </c>
      <c r="D110" s="29">
        <v>13.5</v>
      </c>
      <c r="E110" s="29">
        <v>13.5</v>
      </c>
      <c r="F110" s="30">
        <v>29.99</v>
      </c>
      <c r="G110" s="29">
        <v>29.99</v>
      </c>
      <c r="H110" s="28" t="s">
        <v>4823</v>
      </c>
      <c r="I110" s="27" t="s">
        <v>26</v>
      </c>
      <c r="J110" s="31" t="s">
        <v>69</v>
      </c>
      <c r="K110" s="27" t="s">
        <v>200</v>
      </c>
      <c r="L110" s="27" t="s">
        <v>287</v>
      </c>
      <c r="M110" s="32" t="str">
        <f>HYPERLINK("http://slimages.macys.com/is/image/MCY/3631723 ")</f>
        <v xml:space="preserve">http://slimages.macys.com/is/image/MCY/3631723 </v>
      </c>
    </row>
    <row r="111" spans="1:13" ht="15.2" customHeight="1" x14ac:dyDescent="0.2">
      <c r="A111" s="26" t="s">
        <v>2142</v>
      </c>
      <c r="B111" s="27" t="s">
        <v>2143</v>
      </c>
      <c r="C111" s="28">
        <v>1</v>
      </c>
      <c r="D111" s="29">
        <v>13.5</v>
      </c>
      <c r="E111" s="29">
        <v>13.5</v>
      </c>
      <c r="F111" s="30">
        <v>29.99</v>
      </c>
      <c r="G111" s="29">
        <v>29.99</v>
      </c>
      <c r="H111" s="28" t="s">
        <v>739</v>
      </c>
      <c r="I111" s="27" t="s">
        <v>189</v>
      </c>
      <c r="J111" s="31" t="s">
        <v>214</v>
      </c>
      <c r="K111" s="27" t="s">
        <v>200</v>
      </c>
      <c r="L111" s="27" t="s">
        <v>133</v>
      </c>
      <c r="M111" s="32" t="str">
        <f>HYPERLINK("http://slimages.macys.com/is/image/MCY/3866347 ")</f>
        <v xml:space="preserve">http://slimages.macys.com/is/image/MCY/3866347 </v>
      </c>
    </row>
    <row r="112" spans="1:13" ht="15.2" customHeight="1" x14ac:dyDescent="0.2">
      <c r="A112" s="26" t="s">
        <v>11413</v>
      </c>
      <c r="B112" s="27" t="s">
        <v>11414</v>
      </c>
      <c r="C112" s="28">
        <v>1</v>
      </c>
      <c r="D112" s="29">
        <v>13.5</v>
      </c>
      <c r="E112" s="29">
        <v>13.5</v>
      </c>
      <c r="F112" s="30">
        <v>29.99</v>
      </c>
      <c r="G112" s="29">
        <v>29.99</v>
      </c>
      <c r="H112" s="28" t="s">
        <v>2860</v>
      </c>
      <c r="I112" s="27" t="s">
        <v>4</v>
      </c>
      <c r="J112" s="31" t="s">
        <v>214</v>
      </c>
      <c r="K112" s="27" t="s">
        <v>200</v>
      </c>
      <c r="L112" s="27" t="s">
        <v>741</v>
      </c>
      <c r="M112" s="32" t="str">
        <f>HYPERLINK("http://slimages.macys.com/is/image/MCY/3732749 ")</f>
        <v xml:space="preserve">http://slimages.macys.com/is/image/MCY/3732749 </v>
      </c>
    </row>
    <row r="113" spans="1:13" ht="15.2" customHeight="1" x14ac:dyDescent="0.2">
      <c r="A113" s="26" t="s">
        <v>1779</v>
      </c>
      <c r="B113" s="27" t="s">
        <v>1780</v>
      </c>
      <c r="C113" s="28">
        <v>1</v>
      </c>
      <c r="D113" s="29">
        <v>13.5</v>
      </c>
      <c r="E113" s="29">
        <v>13.5</v>
      </c>
      <c r="F113" s="30">
        <v>29.99</v>
      </c>
      <c r="G113" s="29">
        <v>29.99</v>
      </c>
      <c r="H113" s="28" t="s">
        <v>739</v>
      </c>
      <c r="I113" s="27" t="s">
        <v>189</v>
      </c>
      <c r="J113" s="31" t="s">
        <v>216</v>
      </c>
      <c r="K113" s="27" t="s">
        <v>200</v>
      </c>
      <c r="L113" s="27" t="s">
        <v>133</v>
      </c>
      <c r="M113" s="32" t="str">
        <f>HYPERLINK("http://slimages.macys.com/is/image/MCY/3866347 ")</f>
        <v xml:space="preserve">http://slimages.macys.com/is/image/MCY/3866347 </v>
      </c>
    </row>
    <row r="114" spans="1:13" ht="15.2" customHeight="1" x14ac:dyDescent="0.2">
      <c r="A114" s="26" t="s">
        <v>7515</v>
      </c>
      <c r="B114" s="27" t="s">
        <v>7516</v>
      </c>
      <c r="C114" s="28">
        <v>1</v>
      </c>
      <c r="D114" s="29">
        <v>13.5</v>
      </c>
      <c r="E114" s="29">
        <v>13.5</v>
      </c>
      <c r="F114" s="30">
        <v>29.99</v>
      </c>
      <c r="G114" s="29">
        <v>29.99</v>
      </c>
      <c r="H114" s="28" t="s">
        <v>7517</v>
      </c>
      <c r="I114" s="27" t="s">
        <v>189</v>
      </c>
      <c r="J114" s="31" t="s">
        <v>210</v>
      </c>
      <c r="K114" s="27" t="s">
        <v>200</v>
      </c>
      <c r="L114" s="27" t="s">
        <v>133</v>
      </c>
      <c r="M114" s="32" t="str">
        <f>HYPERLINK("http://slimages.macys.com/is/image/MCY/3755490 ")</f>
        <v xml:space="preserve">http://slimages.macys.com/is/image/MCY/3755490 </v>
      </c>
    </row>
    <row r="115" spans="1:13" ht="15.2" customHeight="1" x14ac:dyDescent="0.2">
      <c r="A115" s="26" t="s">
        <v>5420</v>
      </c>
      <c r="B115" s="27" t="s">
        <v>5421</v>
      </c>
      <c r="C115" s="28">
        <v>1</v>
      </c>
      <c r="D115" s="29">
        <v>13.5</v>
      </c>
      <c r="E115" s="29">
        <v>13.5</v>
      </c>
      <c r="F115" s="30">
        <v>29.99</v>
      </c>
      <c r="G115" s="29">
        <v>29.99</v>
      </c>
      <c r="H115" s="28" t="s">
        <v>739</v>
      </c>
      <c r="I115" s="27" t="s">
        <v>189</v>
      </c>
      <c r="J115" s="31" t="s">
        <v>113</v>
      </c>
      <c r="K115" s="27" t="s">
        <v>200</v>
      </c>
      <c r="L115" s="27" t="s">
        <v>133</v>
      </c>
      <c r="M115" s="32" t="str">
        <f>HYPERLINK("http://slimages.macys.com/is/image/MCY/3866347 ")</f>
        <v xml:space="preserve">http://slimages.macys.com/is/image/MCY/3866347 </v>
      </c>
    </row>
    <row r="116" spans="1:13" ht="15.2" customHeight="1" x14ac:dyDescent="0.2">
      <c r="A116" s="26" t="s">
        <v>193</v>
      </c>
      <c r="B116" s="27" t="s">
        <v>194</v>
      </c>
      <c r="C116" s="28">
        <v>2</v>
      </c>
      <c r="D116" s="29">
        <v>13.25</v>
      </c>
      <c r="E116" s="29">
        <v>26.5</v>
      </c>
      <c r="F116" s="30">
        <v>24.99</v>
      </c>
      <c r="G116" s="29">
        <v>49.98</v>
      </c>
      <c r="H116" s="28" t="s">
        <v>195</v>
      </c>
      <c r="I116" s="27" t="s">
        <v>8</v>
      </c>
      <c r="J116" s="31" t="s">
        <v>21</v>
      </c>
      <c r="K116" s="27" t="s">
        <v>196</v>
      </c>
      <c r="L116" s="27" t="s">
        <v>197</v>
      </c>
      <c r="M116" s="32" t="str">
        <f>HYPERLINK("http://slimages.macys.com/is/image/MCY/3734929 ")</f>
        <v xml:space="preserve">http://slimages.macys.com/is/image/MCY/3734929 </v>
      </c>
    </row>
    <row r="117" spans="1:13" ht="15.2" customHeight="1" x14ac:dyDescent="0.2">
      <c r="A117" s="26" t="s">
        <v>742</v>
      </c>
      <c r="B117" s="27" t="s">
        <v>743</v>
      </c>
      <c r="C117" s="28">
        <v>3</v>
      </c>
      <c r="D117" s="29">
        <v>13.25</v>
      </c>
      <c r="E117" s="29">
        <v>39.75</v>
      </c>
      <c r="F117" s="30">
        <v>24.99</v>
      </c>
      <c r="G117" s="29">
        <v>74.97</v>
      </c>
      <c r="H117" s="28" t="s">
        <v>744</v>
      </c>
      <c r="I117" s="27" t="s">
        <v>4</v>
      </c>
      <c r="J117" s="31" t="s">
        <v>21</v>
      </c>
      <c r="K117" s="27" t="s">
        <v>196</v>
      </c>
      <c r="L117" s="27" t="s">
        <v>197</v>
      </c>
      <c r="M117" s="32" t="str">
        <f>HYPERLINK("http://slimages.macys.com/is/image/MCY/3734929 ")</f>
        <v xml:space="preserve">http://slimages.macys.com/is/image/MCY/3734929 </v>
      </c>
    </row>
    <row r="118" spans="1:13" ht="15.2" customHeight="1" x14ac:dyDescent="0.2">
      <c r="A118" s="26" t="s">
        <v>7379</v>
      </c>
      <c r="B118" s="27" t="s">
        <v>7380</v>
      </c>
      <c r="C118" s="28">
        <v>1</v>
      </c>
      <c r="D118" s="29">
        <v>13.25</v>
      </c>
      <c r="E118" s="29">
        <v>13.25</v>
      </c>
      <c r="F118" s="30">
        <v>24.99</v>
      </c>
      <c r="G118" s="29">
        <v>24.99</v>
      </c>
      <c r="H118" s="28" t="s">
        <v>744</v>
      </c>
      <c r="I118" s="27" t="s">
        <v>4</v>
      </c>
      <c r="J118" s="31" t="s">
        <v>40</v>
      </c>
      <c r="K118" s="27" t="s">
        <v>196</v>
      </c>
      <c r="L118" s="27" t="s">
        <v>197</v>
      </c>
      <c r="M118" s="32" t="str">
        <f>HYPERLINK("http://slimages.macys.com/is/image/MCY/3734929 ")</f>
        <v xml:space="preserve">http://slimages.macys.com/is/image/MCY/3734929 </v>
      </c>
    </row>
    <row r="119" spans="1:13" ht="15.2" customHeight="1" x14ac:dyDescent="0.2">
      <c r="A119" s="26" t="s">
        <v>8496</v>
      </c>
      <c r="B119" s="27" t="s">
        <v>8497</v>
      </c>
      <c r="C119" s="28">
        <v>1</v>
      </c>
      <c r="D119" s="29">
        <v>13.25</v>
      </c>
      <c r="E119" s="29">
        <v>13.25</v>
      </c>
      <c r="F119" s="30">
        <v>24.99</v>
      </c>
      <c r="G119" s="29">
        <v>24.99</v>
      </c>
      <c r="H119" s="28" t="s">
        <v>744</v>
      </c>
      <c r="I119" s="27" t="s">
        <v>4</v>
      </c>
      <c r="J119" s="31" t="s">
        <v>71</v>
      </c>
      <c r="K119" s="27" t="s">
        <v>196</v>
      </c>
      <c r="L119" s="27" t="s">
        <v>197</v>
      </c>
      <c r="M119" s="32" t="str">
        <f>HYPERLINK("http://slimages.macys.com/is/image/MCY/3734929 ")</f>
        <v xml:space="preserve">http://slimages.macys.com/is/image/MCY/3734929 </v>
      </c>
    </row>
    <row r="120" spans="1:13" ht="15.2" customHeight="1" x14ac:dyDescent="0.2">
      <c r="A120" s="26" t="s">
        <v>1199</v>
      </c>
      <c r="B120" s="27" t="s">
        <v>1200</v>
      </c>
      <c r="C120" s="28">
        <v>2</v>
      </c>
      <c r="D120" s="29">
        <v>13.25</v>
      </c>
      <c r="E120" s="29">
        <v>26.5</v>
      </c>
      <c r="F120" s="30">
        <v>24.99</v>
      </c>
      <c r="G120" s="29">
        <v>49.98</v>
      </c>
      <c r="H120" s="28" t="s">
        <v>744</v>
      </c>
      <c r="I120" s="27" t="s">
        <v>4</v>
      </c>
      <c r="J120" s="31" t="s">
        <v>5</v>
      </c>
      <c r="K120" s="27" t="s">
        <v>196</v>
      </c>
      <c r="L120" s="27" t="s">
        <v>197</v>
      </c>
      <c r="M120" s="32" t="str">
        <f>HYPERLINK("http://slimages.macys.com/is/image/MCY/3734929 ")</f>
        <v xml:space="preserve">http://slimages.macys.com/is/image/MCY/3734929 </v>
      </c>
    </row>
    <row r="121" spans="1:13" ht="15.2" customHeight="1" x14ac:dyDescent="0.2">
      <c r="A121" s="26" t="s">
        <v>2869</v>
      </c>
      <c r="B121" s="27" t="s">
        <v>2870</v>
      </c>
      <c r="C121" s="28">
        <v>1</v>
      </c>
      <c r="D121" s="29">
        <v>13.14</v>
      </c>
      <c r="E121" s="29">
        <v>13.14</v>
      </c>
      <c r="F121" s="30">
        <v>36.5</v>
      </c>
      <c r="G121" s="29">
        <v>36.5</v>
      </c>
      <c r="H121" s="28" t="s">
        <v>1176</v>
      </c>
      <c r="I121" s="27" t="s">
        <v>152</v>
      </c>
      <c r="J121" s="31" t="s">
        <v>71</v>
      </c>
      <c r="K121" s="27" t="s">
        <v>27</v>
      </c>
      <c r="L121" s="27" t="s">
        <v>28</v>
      </c>
      <c r="M121" s="32" t="str">
        <f>HYPERLINK("http://slimages.macys.com/is/image/MCY/3810647 ")</f>
        <v xml:space="preserve">http://slimages.macys.com/is/image/MCY/3810647 </v>
      </c>
    </row>
    <row r="122" spans="1:13" ht="15.2" customHeight="1" x14ac:dyDescent="0.2">
      <c r="A122" s="26" t="s">
        <v>11415</v>
      </c>
      <c r="B122" s="27" t="s">
        <v>11416</v>
      </c>
      <c r="C122" s="28">
        <v>1</v>
      </c>
      <c r="D122" s="29">
        <v>13.14</v>
      </c>
      <c r="E122" s="29">
        <v>13.14</v>
      </c>
      <c r="F122" s="30">
        <v>36.5</v>
      </c>
      <c r="G122" s="29">
        <v>36.5</v>
      </c>
      <c r="H122" s="28" t="s">
        <v>1176</v>
      </c>
      <c r="I122" s="27" t="s">
        <v>152</v>
      </c>
      <c r="J122" s="31" t="s">
        <v>52</v>
      </c>
      <c r="K122" s="27" t="s">
        <v>27</v>
      </c>
      <c r="L122" s="27" t="s">
        <v>28</v>
      </c>
      <c r="M122" s="32" t="str">
        <f>HYPERLINK("http://slimages.macys.com/is/image/MCY/3810647 ")</f>
        <v xml:space="preserve">http://slimages.macys.com/is/image/MCY/3810647 </v>
      </c>
    </row>
    <row r="123" spans="1:13" ht="15.2" customHeight="1" x14ac:dyDescent="0.2">
      <c r="A123" s="26" t="s">
        <v>7741</v>
      </c>
      <c r="B123" s="27" t="s">
        <v>7742</v>
      </c>
      <c r="C123" s="28">
        <v>1</v>
      </c>
      <c r="D123" s="29">
        <v>13</v>
      </c>
      <c r="E123" s="29">
        <v>13</v>
      </c>
      <c r="F123" s="30">
        <v>44</v>
      </c>
      <c r="G123" s="29">
        <v>44</v>
      </c>
      <c r="H123" s="28" t="s">
        <v>6030</v>
      </c>
      <c r="I123" s="27" t="s">
        <v>144</v>
      </c>
      <c r="J123" s="31" t="s">
        <v>52</v>
      </c>
      <c r="K123" s="27" t="s">
        <v>42</v>
      </c>
      <c r="L123" s="27" t="s">
        <v>43</v>
      </c>
      <c r="M123" s="32" t="str">
        <f>HYPERLINK("http://slimages.macys.com/is/image/MCY/3611254 ")</f>
        <v xml:space="preserve">http://slimages.macys.com/is/image/MCY/3611254 </v>
      </c>
    </row>
    <row r="124" spans="1:13" ht="15.2" customHeight="1" x14ac:dyDescent="0.2">
      <c r="A124" s="26" t="s">
        <v>11417</v>
      </c>
      <c r="B124" s="27" t="s">
        <v>11418</v>
      </c>
      <c r="C124" s="28">
        <v>1</v>
      </c>
      <c r="D124" s="29">
        <v>13</v>
      </c>
      <c r="E124" s="29">
        <v>13</v>
      </c>
      <c r="F124" s="30">
        <v>59</v>
      </c>
      <c r="G124" s="29">
        <v>59</v>
      </c>
      <c r="H124" s="28" t="s">
        <v>745</v>
      </c>
      <c r="I124" s="27" t="s">
        <v>59</v>
      </c>
      <c r="J124" s="31" t="s">
        <v>172</v>
      </c>
      <c r="K124" s="27" t="s">
        <v>132</v>
      </c>
      <c r="L124" s="27" t="s">
        <v>190</v>
      </c>
      <c r="M124" s="32" t="str">
        <f>HYPERLINK("http://slimages.macys.com/is/image/MCY/3902777 ")</f>
        <v xml:space="preserve">http://slimages.macys.com/is/image/MCY/3902777 </v>
      </c>
    </row>
    <row r="125" spans="1:13" ht="15.2" customHeight="1" x14ac:dyDescent="0.2">
      <c r="A125" s="26" t="s">
        <v>6028</v>
      </c>
      <c r="B125" s="27" t="s">
        <v>6029</v>
      </c>
      <c r="C125" s="28">
        <v>1</v>
      </c>
      <c r="D125" s="29">
        <v>13</v>
      </c>
      <c r="E125" s="29">
        <v>13</v>
      </c>
      <c r="F125" s="30">
        <v>44</v>
      </c>
      <c r="G125" s="29">
        <v>44</v>
      </c>
      <c r="H125" s="28" t="s">
        <v>6030</v>
      </c>
      <c r="I125" s="27" t="s">
        <v>144</v>
      </c>
      <c r="J125" s="31" t="s">
        <v>21</v>
      </c>
      <c r="K125" s="27" t="s">
        <v>42</v>
      </c>
      <c r="L125" s="27" t="s">
        <v>43</v>
      </c>
      <c r="M125" s="32" t="str">
        <f>HYPERLINK("http://slimages.macys.com/is/image/MCY/3611254 ")</f>
        <v xml:space="preserve">http://slimages.macys.com/is/image/MCY/3611254 </v>
      </c>
    </row>
    <row r="126" spans="1:13" ht="15.2" customHeight="1" x14ac:dyDescent="0.2">
      <c r="A126" s="26" t="s">
        <v>11419</v>
      </c>
      <c r="B126" s="27" t="s">
        <v>11420</v>
      </c>
      <c r="C126" s="28">
        <v>1</v>
      </c>
      <c r="D126" s="29">
        <v>12.75</v>
      </c>
      <c r="E126" s="29">
        <v>12.75</v>
      </c>
      <c r="F126" s="30">
        <v>29.99</v>
      </c>
      <c r="G126" s="29">
        <v>29.99</v>
      </c>
      <c r="H126" s="28" t="s">
        <v>2880</v>
      </c>
      <c r="I126" s="27" t="s">
        <v>10</v>
      </c>
      <c r="J126" s="31" t="s">
        <v>214</v>
      </c>
      <c r="K126" s="27" t="s">
        <v>200</v>
      </c>
      <c r="L126" s="27" t="s">
        <v>552</v>
      </c>
      <c r="M126" s="32" t="str">
        <f>HYPERLINK("http://slimages.macys.com/is/image/MCY/3779565 ")</f>
        <v xml:space="preserve">http://slimages.macys.com/is/image/MCY/3779565 </v>
      </c>
    </row>
    <row r="127" spans="1:13" ht="15.2" customHeight="1" x14ac:dyDescent="0.2">
      <c r="A127" s="26" t="s">
        <v>2157</v>
      </c>
      <c r="B127" s="27" t="s">
        <v>2158</v>
      </c>
      <c r="C127" s="28">
        <v>1</v>
      </c>
      <c r="D127" s="29">
        <v>12.65</v>
      </c>
      <c r="E127" s="29">
        <v>12.65</v>
      </c>
      <c r="F127" s="30">
        <v>29.99</v>
      </c>
      <c r="G127" s="29">
        <v>29.99</v>
      </c>
      <c r="H127" s="28" t="s">
        <v>766</v>
      </c>
      <c r="I127" s="27" t="s">
        <v>22</v>
      </c>
      <c r="J127" s="31" t="s">
        <v>214</v>
      </c>
      <c r="K127" s="27" t="s">
        <v>200</v>
      </c>
      <c r="L127" s="27" t="s">
        <v>765</v>
      </c>
      <c r="M127" s="32" t="str">
        <f>HYPERLINK("http://slimages.macys.com/is/image/MCY/3797822 ")</f>
        <v xml:space="preserve">http://slimages.macys.com/is/image/MCY/3797822 </v>
      </c>
    </row>
    <row r="128" spans="1:13" ht="15.2" customHeight="1" x14ac:dyDescent="0.2">
      <c r="A128" s="26" t="s">
        <v>11421</v>
      </c>
      <c r="B128" s="27" t="s">
        <v>11422</v>
      </c>
      <c r="C128" s="28">
        <v>1</v>
      </c>
      <c r="D128" s="29">
        <v>12.59</v>
      </c>
      <c r="E128" s="29">
        <v>12.59</v>
      </c>
      <c r="F128" s="30">
        <v>34.5</v>
      </c>
      <c r="G128" s="29">
        <v>34.5</v>
      </c>
      <c r="H128" s="28" t="s">
        <v>11423</v>
      </c>
      <c r="I128" s="27" t="s">
        <v>82</v>
      </c>
      <c r="J128" s="31" t="s">
        <v>52</v>
      </c>
      <c r="K128" s="27" t="s">
        <v>41</v>
      </c>
      <c r="L128" s="27" t="s">
        <v>45</v>
      </c>
      <c r="M128" s="32" t="str">
        <f>HYPERLINK("http://slimages.macys.com/is/image/MCY/3612227 ")</f>
        <v xml:space="preserve">http://slimages.macys.com/is/image/MCY/3612227 </v>
      </c>
    </row>
    <row r="129" spans="1:13" ht="15.2" customHeight="1" x14ac:dyDescent="0.2">
      <c r="A129" s="26" t="s">
        <v>11424</v>
      </c>
      <c r="B129" s="27" t="s">
        <v>11425</v>
      </c>
      <c r="C129" s="28">
        <v>1</v>
      </c>
      <c r="D129" s="29">
        <v>12.5</v>
      </c>
      <c r="E129" s="29">
        <v>12.5</v>
      </c>
      <c r="F129" s="30">
        <v>29.99</v>
      </c>
      <c r="G129" s="29">
        <v>29.99</v>
      </c>
      <c r="H129" s="28" t="s">
        <v>11426</v>
      </c>
      <c r="I129" s="27" t="s">
        <v>29</v>
      </c>
      <c r="J129" s="31" t="s">
        <v>23</v>
      </c>
      <c r="K129" s="27" t="s">
        <v>200</v>
      </c>
      <c r="L129" s="27" t="s">
        <v>747</v>
      </c>
      <c r="M129" s="32" t="str">
        <f>HYPERLINK("http://slimages.macys.com/is/image/MCY/3364108 ")</f>
        <v xml:space="preserve">http://slimages.macys.com/is/image/MCY/3364108 </v>
      </c>
    </row>
    <row r="130" spans="1:13" ht="15.2" customHeight="1" x14ac:dyDescent="0.2">
      <c r="A130" s="26" t="s">
        <v>8271</v>
      </c>
      <c r="B130" s="27" t="s">
        <v>8272</v>
      </c>
      <c r="C130" s="28">
        <v>1</v>
      </c>
      <c r="D130" s="29">
        <v>12.5</v>
      </c>
      <c r="E130" s="29">
        <v>12.5</v>
      </c>
      <c r="F130" s="30">
        <v>45</v>
      </c>
      <c r="G130" s="29">
        <v>45</v>
      </c>
      <c r="H130" s="28" t="s">
        <v>6031</v>
      </c>
      <c r="I130" s="27"/>
      <c r="J130" s="31" t="s">
        <v>71</v>
      </c>
      <c r="K130" s="27" t="s">
        <v>154</v>
      </c>
      <c r="L130" s="27" t="s">
        <v>155</v>
      </c>
      <c r="M130" s="32" t="str">
        <f>HYPERLINK("http://slimages.macys.com/is/image/MCY/3718868 ")</f>
        <v xml:space="preserve">http://slimages.macys.com/is/image/MCY/3718868 </v>
      </c>
    </row>
    <row r="131" spans="1:13" ht="15.2" customHeight="1" x14ac:dyDescent="0.2">
      <c r="A131" s="26" t="s">
        <v>11427</v>
      </c>
      <c r="B131" s="27" t="s">
        <v>11428</v>
      </c>
      <c r="C131" s="28">
        <v>1</v>
      </c>
      <c r="D131" s="29">
        <v>12.5</v>
      </c>
      <c r="E131" s="29">
        <v>12.5</v>
      </c>
      <c r="F131" s="30">
        <v>29.99</v>
      </c>
      <c r="G131" s="29">
        <v>29.99</v>
      </c>
      <c r="H131" s="28" t="s">
        <v>9802</v>
      </c>
      <c r="I131" s="27"/>
      <c r="J131" s="31" t="s">
        <v>23</v>
      </c>
      <c r="K131" s="27" t="s">
        <v>200</v>
      </c>
      <c r="L131" s="27" t="s">
        <v>201</v>
      </c>
      <c r="M131" s="32" t="str">
        <f>HYPERLINK("http://slimages.macys.com/is/image/MCY/3606434 ")</f>
        <v xml:space="preserve">http://slimages.macys.com/is/image/MCY/3606434 </v>
      </c>
    </row>
    <row r="132" spans="1:13" ht="15.2" customHeight="1" x14ac:dyDescent="0.2">
      <c r="A132" s="26" t="s">
        <v>4615</v>
      </c>
      <c r="B132" s="27" t="s">
        <v>4616</v>
      </c>
      <c r="C132" s="28">
        <v>1</v>
      </c>
      <c r="D132" s="29">
        <v>12.5</v>
      </c>
      <c r="E132" s="29">
        <v>12.5</v>
      </c>
      <c r="F132" s="30">
        <v>29.99</v>
      </c>
      <c r="G132" s="29">
        <v>29.99</v>
      </c>
      <c r="H132" s="28" t="s">
        <v>1222</v>
      </c>
      <c r="I132" s="27" t="s">
        <v>4</v>
      </c>
      <c r="J132" s="31" t="s">
        <v>214</v>
      </c>
      <c r="K132" s="27" t="s">
        <v>200</v>
      </c>
      <c r="L132" s="27" t="s">
        <v>133</v>
      </c>
      <c r="M132" s="32" t="str">
        <f>HYPERLINK("http://slimages.macys.com/is/image/MCY/3866441 ")</f>
        <v xml:space="preserve">http://slimages.macys.com/is/image/MCY/3866441 </v>
      </c>
    </row>
    <row r="133" spans="1:13" ht="15.2" customHeight="1" x14ac:dyDescent="0.2">
      <c r="A133" s="26" t="s">
        <v>11429</v>
      </c>
      <c r="B133" s="27" t="s">
        <v>11430</v>
      </c>
      <c r="C133" s="28">
        <v>1</v>
      </c>
      <c r="D133" s="29">
        <v>12.5</v>
      </c>
      <c r="E133" s="29">
        <v>12.5</v>
      </c>
      <c r="F133" s="30">
        <v>29.99</v>
      </c>
      <c r="G133" s="29">
        <v>29.99</v>
      </c>
      <c r="H133" s="28" t="s">
        <v>4456</v>
      </c>
      <c r="I133" s="27" t="s">
        <v>127</v>
      </c>
      <c r="J133" s="31" t="s">
        <v>52</v>
      </c>
      <c r="K133" s="27" t="s">
        <v>70</v>
      </c>
      <c r="L133" s="27" t="s">
        <v>250</v>
      </c>
      <c r="M133" s="32" t="str">
        <f>HYPERLINK("http://slimages.macys.com/is/image/MCY/3736971 ")</f>
        <v xml:space="preserve">http://slimages.macys.com/is/image/MCY/3736971 </v>
      </c>
    </row>
    <row r="134" spans="1:13" ht="15.2" customHeight="1" x14ac:dyDescent="0.2">
      <c r="A134" s="26" t="s">
        <v>11021</v>
      </c>
      <c r="B134" s="27" t="s">
        <v>11022</v>
      </c>
      <c r="C134" s="28">
        <v>1</v>
      </c>
      <c r="D134" s="29">
        <v>12</v>
      </c>
      <c r="E134" s="29">
        <v>12</v>
      </c>
      <c r="F134" s="30">
        <v>25.99</v>
      </c>
      <c r="G134" s="29">
        <v>25.99</v>
      </c>
      <c r="H134" s="28" t="s">
        <v>1798</v>
      </c>
      <c r="I134" s="27" t="s">
        <v>1472</v>
      </c>
      <c r="J134" s="31" t="s">
        <v>69</v>
      </c>
      <c r="K134" s="27" t="s">
        <v>200</v>
      </c>
      <c r="L134" s="27" t="s">
        <v>243</v>
      </c>
      <c r="M134" s="32" t="str">
        <f>HYPERLINK("http://slimages.macys.com/is/image/MCY/3832869 ")</f>
        <v xml:space="preserve">http://slimages.macys.com/is/image/MCY/3832869 </v>
      </c>
    </row>
    <row r="135" spans="1:13" ht="15.2" customHeight="1" x14ac:dyDescent="0.2">
      <c r="A135" s="26" t="s">
        <v>3264</v>
      </c>
      <c r="B135" s="27" t="s">
        <v>3265</v>
      </c>
      <c r="C135" s="28">
        <v>1</v>
      </c>
      <c r="D135" s="29">
        <v>12</v>
      </c>
      <c r="E135" s="29">
        <v>12</v>
      </c>
      <c r="F135" s="30">
        <v>29.99</v>
      </c>
      <c r="G135" s="29">
        <v>29.99</v>
      </c>
      <c r="H135" s="28" t="s">
        <v>1233</v>
      </c>
      <c r="I135" s="27" t="s">
        <v>29</v>
      </c>
      <c r="J135" s="31" t="s">
        <v>205</v>
      </c>
      <c r="K135" s="27" t="s">
        <v>200</v>
      </c>
      <c r="L135" s="27" t="s">
        <v>552</v>
      </c>
      <c r="M135" s="32" t="str">
        <f>HYPERLINK("http://slimages.macys.com/is/image/MCY/3777681 ")</f>
        <v xml:space="preserve">http://slimages.macys.com/is/image/MCY/3777681 </v>
      </c>
    </row>
    <row r="136" spans="1:13" ht="15.2" customHeight="1" x14ac:dyDescent="0.2">
      <c r="A136" s="26" t="s">
        <v>11431</v>
      </c>
      <c r="B136" s="27" t="s">
        <v>11432</v>
      </c>
      <c r="C136" s="28">
        <v>1</v>
      </c>
      <c r="D136" s="29">
        <v>12</v>
      </c>
      <c r="E136" s="29">
        <v>12</v>
      </c>
      <c r="F136" s="30">
        <v>39</v>
      </c>
      <c r="G136" s="29">
        <v>39</v>
      </c>
      <c r="H136" s="28">
        <v>4045434</v>
      </c>
      <c r="I136" s="27" t="s">
        <v>4</v>
      </c>
      <c r="J136" s="31" t="s">
        <v>71</v>
      </c>
      <c r="K136" s="27" t="s">
        <v>154</v>
      </c>
      <c r="L136" s="27" t="s">
        <v>155</v>
      </c>
      <c r="M136" s="32" t="str">
        <f>HYPERLINK("http://slimages.macys.com/is/image/MCY/2035406 ")</f>
        <v xml:space="preserve">http://slimages.macys.com/is/image/MCY/2035406 </v>
      </c>
    </row>
    <row r="137" spans="1:13" ht="15.2" customHeight="1" x14ac:dyDescent="0.2">
      <c r="A137" s="26" t="s">
        <v>9856</v>
      </c>
      <c r="B137" s="27" t="s">
        <v>9857</v>
      </c>
      <c r="C137" s="28">
        <v>1</v>
      </c>
      <c r="D137" s="29">
        <v>12</v>
      </c>
      <c r="E137" s="29">
        <v>12</v>
      </c>
      <c r="F137" s="30">
        <v>39</v>
      </c>
      <c r="G137" s="29">
        <v>39</v>
      </c>
      <c r="H137" s="28" t="s">
        <v>2609</v>
      </c>
      <c r="I137" s="27" t="s">
        <v>4</v>
      </c>
      <c r="J137" s="31" t="s">
        <v>40</v>
      </c>
      <c r="K137" s="27" t="s">
        <v>154</v>
      </c>
      <c r="L137" s="27" t="s">
        <v>155</v>
      </c>
      <c r="M137" s="32" t="str">
        <f>HYPERLINK("http://slimages.macys.com/is/image/MCY/3721152 ")</f>
        <v xml:space="preserve">http://slimages.macys.com/is/image/MCY/3721152 </v>
      </c>
    </row>
    <row r="138" spans="1:13" ht="15.2" customHeight="1" x14ac:dyDescent="0.2">
      <c r="A138" s="26" t="s">
        <v>11433</v>
      </c>
      <c r="B138" s="27" t="s">
        <v>11434</v>
      </c>
      <c r="C138" s="28">
        <v>1</v>
      </c>
      <c r="D138" s="29">
        <v>12</v>
      </c>
      <c r="E138" s="29">
        <v>12</v>
      </c>
      <c r="F138" s="30">
        <v>28.99</v>
      </c>
      <c r="G138" s="29">
        <v>28.99</v>
      </c>
      <c r="H138" s="28" t="s">
        <v>9424</v>
      </c>
      <c r="I138" s="27" t="s">
        <v>333</v>
      </c>
      <c r="J138" s="31" t="s">
        <v>40</v>
      </c>
      <c r="K138" s="27" t="s">
        <v>70</v>
      </c>
      <c r="L138" s="27" t="s">
        <v>25</v>
      </c>
      <c r="M138" s="32" t="str">
        <f>HYPERLINK("http://slimages.macys.com/is/image/MCY/3615241 ")</f>
        <v xml:space="preserve">http://slimages.macys.com/is/image/MCY/3615241 </v>
      </c>
    </row>
    <row r="139" spans="1:13" ht="15.2" customHeight="1" x14ac:dyDescent="0.2">
      <c r="A139" s="26" t="s">
        <v>2889</v>
      </c>
      <c r="B139" s="27" t="s">
        <v>2890</v>
      </c>
      <c r="C139" s="28">
        <v>1</v>
      </c>
      <c r="D139" s="29">
        <v>12</v>
      </c>
      <c r="E139" s="29">
        <v>12</v>
      </c>
      <c r="F139" s="30">
        <v>29.99</v>
      </c>
      <c r="G139" s="29">
        <v>29.99</v>
      </c>
      <c r="H139" s="28" t="s">
        <v>2887</v>
      </c>
      <c r="I139" s="27" t="s">
        <v>10</v>
      </c>
      <c r="J139" s="31" t="s">
        <v>5</v>
      </c>
      <c r="K139" s="27" t="s">
        <v>70</v>
      </c>
      <c r="L139" s="27" t="s">
        <v>128</v>
      </c>
      <c r="M139" s="32" t="str">
        <f>HYPERLINK("http://slimages.macys.com/is/image/MCY/3676843 ")</f>
        <v xml:space="preserve">http://slimages.macys.com/is/image/MCY/3676843 </v>
      </c>
    </row>
    <row r="140" spans="1:13" ht="15.2" customHeight="1" x14ac:dyDescent="0.2">
      <c r="A140" s="26" t="s">
        <v>10838</v>
      </c>
      <c r="B140" s="27" t="s">
        <v>10839</v>
      </c>
      <c r="C140" s="28">
        <v>1</v>
      </c>
      <c r="D140" s="29">
        <v>12</v>
      </c>
      <c r="E140" s="29">
        <v>12</v>
      </c>
      <c r="F140" s="30">
        <v>29.99</v>
      </c>
      <c r="G140" s="29">
        <v>29.99</v>
      </c>
      <c r="H140" s="28" t="s">
        <v>2887</v>
      </c>
      <c r="I140" s="27" t="s">
        <v>10</v>
      </c>
      <c r="J140" s="31" t="s">
        <v>65</v>
      </c>
      <c r="K140" s="27" t="s">
        <v>70</v>
      </c>
      <c r="L140" s="27" t="s">
        <v>128</v>
      </c>
      <c r="M140" s="32" t="str">
        <f>HYPERLINK("http://slimages.macys.com/is/image/MCY/3676843 ")</f>
        <v xml:space="preserve">http://slimages.macys.com/is/image/MCY/3676843 </v>
      </c>
    </row>
    <row r="141" spans="1:13" ht="15.2" customHeight="1" x14ac:dyDescent="0.2">
      <c r="A141" s="26" t="s">
        <v>7528</v>
      </c>
      <c r="B141" s="27" t="s">
        <v>7529</v>
      </c>
      <c r="C141" s="28">
        <v>1</v>
      </c>
      <c r="D141" s="29">
        <v>12</v>
      </c>
      <c r="E141" s="29">
        <v>12</v>
      </c>
      <c r="F141" s="30">
        <v>25.99</v>
      </c>
      <c r="G141" s="29">
        <v>25.99</v>
      </c>
      <c r="H141" s="28" t="s">
        <v>1798</v>
      </c>
      <c r="I141" s="27" t="s">
        <v>59</v>
      </c>
      <c r="J141" s="31" t="s">
        <v>210</v>
      </c>
      <c r="K141" s="27" t="s">
        <v>200</v>
      </c>
      <c r="L141" s="27" t="s">
        <v>243</v>
      </c>
      <c r="M141" s="32" t="str">
        <f>HYPERLINK("http://slimages.macys.com/is/image/MCY/3832882 ")</f>
        <v xml:space="preserve">http://slimages.macys.com/is/image/MCY/3832882 </v>
      </c>
    </row>
    <row r="142" spans="1:13" ht="15.2" customHeight="1" x14ac:dyDescent="0.2">
      <c r="A142" s="26" t="s">
        <v>5424</v>
      </c>
      <c r="B142" s="27" t="s">
        <v>5425</v>
      </c>
      <c r="C142" s="28">
        <v>1</v>
      </c>
      <c r="D142" s="29">
        <v>12</v>
      </c>
      <c r="E142" s="29">
        <v>12</v>
      </c>
      <c r="F142" s="30">
        <v>25.99</v>
      </c>
      <c r="G142" s="29">
        <v>25.99</v>
      </c>
      <c r="H142" s="28" t="s">
        <v>1798</v>
      </c>
      <c r="I142" s="27" t="s">
        <v>1472</v>
      </c>
      <c r="J142" s="31" t="s">
        <v>216</v>
      </c>
      <c r="K142" s="27" t="s">
        <v>200</v>
      </c>
      <c r="L142" s="27" t="s">
        <v>243</v>
      </c>
      <c r="M142" s="32" t="str">
        <f>HYPERLINK("http://slimages.macys.com/is/image/MCY/3832869 ")</f>
        <v xml:space="preserve">http://slimages.macys.com/is/image/MCY/3832869 </v>
      </c>
    </row>
    <row r="143" spans="1:13" ht="15.2" customHeight="1" x14ac:dyDescent="0.2">
      <c r="A143" s="26" t="s">
        <v>11435</v>
      </c>
      <c r="B143" s="27" t="s">
        <v>11436</v>
      </c>
      <c r="C143" s="28">
        <v>1</v>
      </c>
      <c r="D143" s="29">
        <v>12</v>
      </c>
      <c r="E143" s="29">
        <v>12</v>
      </c>
      <c r="F143" s="30">
        <v>25.99</v>
      </c>
      <c r="G143" s="29">
        <v>25.99</v>
      </c>
      <c r="H143" s="28" t="s">
        <v>1798</v>
      </c>
      <c r="I143" s="27" t="s">
        <v>4</v>
      </c>
      <c r="J143" s="31" t="s">
        <v>216</v>
      </c>
      <c r="K143" s="27" t="s">
        <v>200</v>
      </c>
      <c r="L143" s="27" t="s">
        <v>243</v>
      </c>
      <c r="M143" s="32" t="str">
        <f>HYPERLINK("http://slimages.macys.com/is/image/MCY/3832860 ")</f>
        <v xml:space="preserve">http://slimages.macys.com/is/image/MCY/3832860 </v>
      </c>
    </row>
    <row r="144" spans="1:13" ht="15.2" customHeight="1" x14ac:dyDescent="0.2">
      <c r="A144" s="26" t="s">
        <v>11437</v>
      </c>
      <c r="B144" s="27" t="s">
        <v>11438</v>
      </c>
      <c r="C144" s="28">
        <v>1</v>
      </c>
      <c r="D144" s="29">
        <v>12</v>
      </c>
      <c r="E144" s="29">
        <v>12</v>
      </c>
      <c r="F144" s="30">
        <v>25.99</v>
      </c>
      <c r="G144" s="29">
        <v>25.99</v>
      </c>
      <c r="H144" s="28" t="s">
        <v>8612</v>
      </c>
      <c r="I144" s="27" t="s">
        <v>36</v>
      </c>
      <c r="J144" s="31" t="s">
        <v>214</v>
      </c>
      <c r="K144" s="27" t="s">
        <v>200</v>
      </c>
      <c r="L144" s="27" t="s">
        <v>133</v>
      </c>
      <c r="M144" s="32" t="str">
        <f>HYPERLINK("http://slimages.macys.com/is/image/MCY/3755516 ")</f>
        <v xml:space="preserve">http://slimages.macys.com/is/image/MCY/3755516 </v>
      </c>
    </row>
    <row r="145" spans="1:13" ht="15.2" customHeight="1" x14ac:dyDescent="0.2">
      <c r="A145" s="26" t="s">
        <v>8379</v>
      </c>
      <c r="B145" s="27" t="s">
        <v>8380</v>
      </c>
      <c r="C145" s="28">
        <v>1</v>
      </c>
      <c r="D145" s="29">
        <v>12</v>
      </c>
      <c r="E145" s="29">
        <v>12</v>
      </c>
      <c r="F145" s="30">
        <v>25.99</v>
      </c>
      <c r="G145" s="29">
        <v>25.99</v>
      </c>
      <c r="H145" s="28" t="s">
        <v>1798</v>
      </c>
      <c r="I145" s="27" t="s">
        <v>59</v>
      </c>
      <c r="J145" s="31" t="s">
        <v>205</v>
      </c>
      <c r="K145" s="27" t="s">
        <v>200</v>
      </c>
      <c r="L145" s="27" t="s">
        <v>243</v>
      </c>
      <c r="M145" s="32" t="str">
        <f>HYPERLINK("http://slimages.macys.com/is/image/MCY/3832882 ")</f>
        <v xml:space="preserve">http://slimages.macys.com/is/image/MCY/3832882 </v>
      </c>
    </row>
    <row r="146" spans="1:13" ht="15.2" customHeight="1" x14ac:dyDescent="0.2">
      <c r="A146" s="26" t="s">
        <v>7657</v>
      </c>
      <c r="B146" s="27" t="s">
        <v>7658</v>
      </c>
      <c r="C146" s="28">
        <v>1</v>
      </c>
      <c r="D146" s="29">
        <v>11.75</v>
      </c>
      <c r="E146" s="29">
        <v>11.75</v>
      </c>
      <c r="F146" s="30">
        <v>59</v>
      </c>
      <c r="G146" s="29">
        <v>59</v>
      </c>
      <c r="H146" s="28" t="s">
        <v>1253</v>
      </c>
      <c r="I146" s="27" t="s">
        <v>152</v>
      </c>
      <c r="J146" s="31" t="s">
        <v>69</v>
      </c>
      <c r="K146" s="27" t="s">
        <v>24</v>
      </c>
      <c r="L146" s="27" t="s">
        <v>999</v>
      </c>
      <c r="M146" s="32" t="str">
        <f>HYPERLINK("http://slimages.macys.com/is/image/MCY/2745963 ")</f>
        <v xml:space="preserve">http://slimages.macys.com/is/image/MCY/2745963 </v>
      </c>
    </row>
    <row r="147" spans="1:13" ht="15.2" customHeight="1" x14ac:dyDescent="0.2">
      <c r="A147" s="26" t="s">
        <v>8786</v>
      </c>
      <c r="B147" s="27" t="s">
        <v>8787</v>
      </c>
      <c r="C147" s="28">
        <v>1</v>
      </c>
      <c r="D147" s="29">
        <v>11.65</v>
      </c>
      <c r="E147" s="29">
        <v>11.65</v>
      </c>
      <c r="F147" s="30">
        <v>29.99</v>
      </c>
      <c r="G147" s="29">
        <v>29.99</v>
      </c>
      <c r="H147" s="28" t="s">
        <v>2185</v>
      </c>
      <c r="I147" s="27" t="s">
        <v>4</v>
      </c>
      <c r="J147" s="31" t="s">
        <v>205</v>
      </c>
      <c r="K147" s="27" t="s">
        <v>200</v>
      </c>
      <c r="L147" s="27" t="s">
        <v>552</v>
      </c>
      <c r="M147" s="32" t="str">
        <f>HYPERLINK("http://slimages.macys.com/is/image/MCY/3683142 ")</f>
        <v xml:space="preserve">http://slimages.macys.com/is/image/MCY/3683142 </v>
      </c>
    </row>
    <row r="148" spans="1:13" ht="15.2" customHeight="1" x14ac:dyDescent="0.2">
      <c r="A148" s="26" t="s">
        <v>11439</v>
      </c>
      <c r="B148" s="27" t="s">
        <v>11440</v>
      </c>
      <c r="C148" s="28">
        <v>1</v>
      </c>
      <c r="D148" s="29">
        <v>11.5</v>
      </c>
      <c r="E148" s="29">
        <v>11.5</v>
      </c>
      <c r="F148" s="30">
        <v>39</v>
      </c>
      <c r="G148" s="29">
        <v>39</v>
      </c>
      <c r="H148" s="28" t="s">
        <v>782</v>
      </c>
      <c r="I148" s="27" t="s">
        <v>4</v>
      </c>
      <c r="J148" s="31" t="s">
        <v>210</v>
      </c>
      <c r="K148" s="27" t="s">
        <v>154</v>
      </c>
      <c r="L148" s="27" t="s">
        <v>155</v>
      </c>
      <c r="M148" s="32" t="str">
        <f>HYPERLINK("http://slimages.macys.com/is/image/MCY/3907754 ")</f>
        <v xml:space="preserve">http://slimages.macys.com/is/image/MCY/3907754 </v>
      </c>
    </row>
    <row r="149" spans="1:13" ht="15.2" customHeight="1" x14ac:dyDescent="0.2">
      <c r="A149" s="26" t="s">
        <v>11441</v>
      </c>
      <c r="B149" s="27" t="s">
        <v>11442</v>
      </c>
      <c r="C149" s="28">
        <v>1</v>
      </c>
      <c r="D149" s="29">
        <v>11.5</v>
      </c>
      <c r="E149" s="29">
        <v>11.5</v>
      </c>
      <c r="F149" s="30">
        <v>39</v>
      </c>
      <c r="G149" s="29">
        <v>39</v>
      </c>
      <c r="H149" s="28" t="s">
        <v>1264</v>
      </c>
      <c r="I149" s="27" t="s">
        <v>22</v>
      </c>
      <c r="J149" s="31" t="s">
        <v>21</v>
      </c>
      <c r="K149" s="27" t="s">
        <v>154</v>
      </c>
      <c r="L149" s="27" t="s">
        <v>155</v>
      </c>
      <c r="M149" s="32" t="str">
        <f>HYPERLINK("http://slimages.macys.com/is/image/MCY/3884259 ")</f>
        <v xml:space="preserve">http://slimages.macys.com/is/image/MCY/3884259 </v>
      </c>
    </row>
    <row r="150" spans="1:13" ht="15.2" customHeight="1" x14ac:dyDescent="0.2">
      <c r="A150" s="26" t="s">
        <v>5430</v>
      </c>
      <c r="B150" s="27" t="s">
        <v>5431</v>
      </c>
      <c r="C150" s="28">
        <v>1</v>
      </c>
      <c r="D150" s="29">
        <v>11.5</v>
      </c>
      <c r="E150" s="29">
        <v>11.5</v>
      </c>
      <c r="F150" s="30">
        <v>27.99</v>
      </c>
      <c r="G150" s="29">
        <v>27.99</v>
      </c>
      <c r="H150" s="28" t="s">
        <v>223</v>
      </c>
      <c r="I150" s="27" t="s">
        <v>59</v>
      </c>
      <c r="J150" s="31" t="s">
        <v>52</v>
      </c>
      <c r="K150" s="27" t="s">
        <v>224</v>
      </c>
      <c r="L150" s="27" t="s">
        <v>225</v>
      </c>
      <c r="M150" s="32" t="str">
        <f>HYPERLINK("http://slimages.macys.com/is/image/MCY/3777812 ")</f>
        <v xml:space="preserve">http://slimages.macys.com/is/image/MCY/3777812 </v>
      </c>
    </row>
    <row r="151" spans="1:13" ht="15.2" customHeight="1" x14ac:dyDescent="0.2">
      <c r="A151" s="26" t="s">
        <v>221</v>
      </c>
      <c r="B151" s="27" t="s">
        <v>222</v>
      </c>
      <c r="C151" s="28">
        <v>1</v>
      </c>
      <c r="D151" s="29">
        <v>11.5</v>
      </c>
      <c r="E151" s="29">
        <v>11.5</v>
      </c>
      <c r="F151" s="30">
        <v>27.99</v>
      </c>
      <c r="G151" s="29">
        <v>27.99</v>
      </c>
      <c r="H151" s="28" t="s">
        <v>223</v>
      </c>
      <c r="I151" s="27" t="s">
        <v>59</v>
      </c>
      <c r="J151" s="31" t="s">
        <v>52</v>
      </c>
      <c r="K151" s="27" t="s">
        <v>224</v>
      </c>
      <c r="L151" s="27" t="s">
        <v>225</v>
      </c>
      <c r="M151" s="32" t="str">
        <f>HYPERLINK("http://slimages.macys.com/is/image/MCY/3777812 ")</f>
        <v xml:space="preserve">http://slimages.macys.com/is/image/MCY/3777812 </v>
      </c>
    </row>
    <row r="152" spans="1:13" ht="15.2" customHeight="1" x14ac:dyDescent="0.2">
      <c r="A152" s="26" t="s">
        <v>3820</v>
      </c>
      <c r="B152" s="27" t="s">
        <v>3821</v>
      </c>
      <c r="C152" s="28">
        <v>1</v>
      </c>
      <c r="D152" s="29">
        <v>11.5</v>
      </c>
      <c r="E152" s="29">
        <v>11.5</v>
      </c>
      <c r="F152" s="30">
        <v>29.99</v>
      </c>
      <c r="G152" s="29">
        <v>29.99</v>
      </c>
      <c r="H152" s="28" t="s">
        <v>3822</v>
      </c>
      <c r="I152" s="27" t="s">
        <v>1</v>
      </c>
      <c r="J152" s="31" t="s">
        <v>23</v>
      </c>
      <c r="K152" s="27" t="s">
        <v>200</v>
      </c>
      <c r="L152" s="27" t="s">
        <v>765</v>
      </c>
      <c r="M152" s="32" t="str">
        <f>HYPERLINK("http://slimages.macys.com/is/image/MCY/3581689 ")</f>
        <v xml:space="preserve">http://slimages.macys.com/is/image/MCY/3581689 </v>
      </c>
    </row>
    <row r="153" spans="1:13" ht="15.2" customHeight="1" x14ac:dyDescent="0.2">
      <c r="A153" s="26" t="s">
        <v>8794</v>
      </c>
      <c r="B153" s="27" t="s">
        <v>8795</v>
      </c>
      <c r="C153" s="28">
        <v>1</v>
      </c>
      <c r="D153" s="29">
        <v>11.5</v>
      </c>
      <c r="E153" s="29">
        <v>11.5</v>
      </c>
      <c r="F153" s="30">
        <v>29.99</v>
      </c>
      <c r="G153" s="29">
        <v>29.99</v>
      </c>
      <c r="H153" s="28" t="s">
        <v>3822</v>
      </c>
      <c r="I153" s="27" t="s">
        <v>1</v>
      </c>
      <c r="J153" s="31" t="s">
        <v>216</v>
      </c>
      <c r="K153" s="27" t="s">
        <v>200</v>
      </c>
      <c r="L153" s="27" t="s">
        <v>765</v>
      </c>
      <c r="M153" s="32" t="str">
        <f>HYPERLINK("http://slimages.macys.com/is/image/MCY/3581689 ")</f>
        <v xml:space="preserve">http://slimages.macys.com/is/image/MCY/3581689 </v>
      </c>
    </row>
    <row r="154" spans="1:13" ht="15.2" customHeight="1" x14ac:dyDescent="0.2">
      <c r="A154" s="26" t="s">
        <v>7542</v>
      </c>
      <c r="B154" s="27" t="s">
        <v>7543</v>
      </c>
      <c r="C154" s="28">
        <v>1</v>
      </c>
      <c r="D154" s="29">
        <v>11.25</v>
      </c>
      <c r="E154" s="29">
        <v>11.25</v>
      </c>
      <c r="F154" s="30">
        <v>25.99</v>
      </c>
      <c r="G154" s="29">
        <v>25.99</v>
      </c>
      <c r="H154" s="28" t="s">
        <v>783</v>
      </c>
      <c r="I154" s="27" t="s">
        <v>10</v>
      </c>
      <c r="J154" s="31" t="s">
        <v>69</v>
      </c>
      <c r="K154" s="27" t="s">
        <v>200</v>
      </c>
      <c r="L154" s="27" t="s">
        <v>552</v>
      </c>
      <c r="M154" s="32" t="str">
        <f>HYPERLINK("http://slimages.macys.com/is/image/MCY/3755250 ")</f>
        <v xml:space="preserve">http://slimages.macys.com/is/image/MCY/3755250 </v>
      </c>
    </row>
    <row r="155" spans="1:13" ht="15.2" customHeight="1" x14ac:dyDescent="0.2">
      <c r="A155" s="26" t="s">
        <v>11443</v>
      </c>
      <c r="B155" s="27" t="s">
        <v>11444</v>
      </c>
      <c r="C155" s="28">
        <v>1</v>
      </c>
      <c r="D155" s="29">
        <v>11.14</v>
      </c>
      <c r="E155" s="29">
        <v>11.14</v>
      </c>
      <c r="F155" s="30">
        <v>30.5</v>
      </c>
      <c r="G155" s="29">
        <v>30.5</v>
      </c>
      <c r="H155" s="28" t="s">
        <v>11445</v>
      </c>
      <c r="I155" s="27" t="s">
        <v>107</v>
      </c>
      <c r="J155" s="31" t="s">
        <v>172</v>
      </c>
      <c r="K155" s="27" t="s">
        <v>41</v>
      </c>
      <c r="L155" s="27" t="s">
        <v>45</v>
      </c>
      <c r="M155" s="32" t="str">
        <f>HYPERLINK("http://slimages.macys.com/is/image/MCY/3549696 ")</f>
        <v xml:space="preserve">http://slimages.macys.com/is/image/MCY/3549696 </v>
      </c>
    </row>
    <row r="156" spans="1:13" ht="15.2" customHeight="1" x14ac:dyDescent="0.2">
      <c r="A156" s="26" t="s">
        <v>11446</v>
      </c>
      <c r="B156" s="27" t="s">
        <v>11447</v>
      </c>
      <c r="C156" s="28">
        <v>1</v>
      </c>
      <c r="D156" s="29">
        <v>11</v>
      </c>
      <c r="E156" s="29">
        <v>11</v>
      </c>
      <c r="F156" s="30">
        <v>22.99</v>
      </c>
      <c r="G156" s="29">
        <v>22.99</v>
      </c>
      <c r="H156" s="28" t="s">
        <v>11448</v>
      </c>
      <c r="I156" s="27" t="s">
        <v>215</v>
      </c>
      <c r="J156" s="31" t="s">
        <v>21</v>
      </c>
      <c r="K156" s="27" t="s">
        <v>208</v>
      </c>
      <c r="L156" s="27" t="s">
        <v>197</v>
      </c>
      <c r="M156" s="32" t="str">
        <f>HYPERLINK("http://slimages.macys.com/is/image/MCY/3219807 ")</f>
        <v xml:space="preserve">http://slimages.macys.com/is/image/MCY/3219807 </v>
      </c>
    </row>
    <row r="157" spans="1:13" ht="15.2" customHeight="1" x14ac:dyDescent="0.2">
      <c r="A157" s="26" t="s">
        <v>11449</v>
      </c>
      <c r="B157" s="27" t="s">
        <v>11450</v>
      </c>
      <c r="C157" s="28">
        <v>1</v>
      </c>
      <c r="D157" s="29">
        <v>11</v>
      </c>
      <c r="E157" s="29">
        <v>11</v>
      </c>
      <c r="F157" s="30">
        <v>29.99</v>
      </c>
      <c r="G157" s="29">
        <v>29.99</v>
      </c>
      <c r="H157" s="28" t="s">
        <v>8500</v>
      </c>
      <c r="I157" s="27" t="s">
        <v>1</v>
      </c>
      <c r="J157" s="31" t="s">
        <v>69</v>
      </c>
      <c r="K157" s="27" t="s">
        <v>200</v>
      </c>
      <c r="L157" s="27" t="s">
        <v>765</v>
      </c>
      <c r="M157" s="32" t="str">
        <f>HYPERLINK("http://slimages.macys.com/is/image/MCY/3952554 ")</f>
        <v xml:space="preserve">http://slimages.macys.com/is/image/MCY/3952554 </v>
      </c>
    </row>
    <row r="158" spans="1:13" ht="15.2" customHeight="1" x14ac:dyDescent="0.2">
      <c r="A158" s="26" t="s">
        <v>11451</v>
      </c>
      <c r="B158" s="27" t="s">
        <v>11452</v>
      </c>
      <c r="C158" s="28">
        <v>1</v>
      </c>
      <c r="D158" s="29">
        <v>11</v>
      </c>
      <c r="E158" s="29">
        <v>11</v>
      </c>
      <c r="F158" s="30">
        <v>22.99</v>
      </c>
      <c r="G158" s="29">
        <v>22.99</v>
      </c>
      <c r="H158" s="28" t="s">
        <v>4461</v>
      </c>
      <c r="I158" s="27" t="s">
        <v>10</v>
      </c>
      <c r="J158" s="31" t="s">
        <v>21</v>
      </c>
      <c r="K158" s="27" t="s">
        <v>200</v>
      </c>
      <c r="L158" s="27" t="s">
        <v>243</v>
      </c>
      <c r="M158" s="32" t="str">
        <f>HYPERLINK("http://slimages.macys.com/is/image/MCY/3755177 ")</f>
        <v xml:space="preserve">http://slimages.macys.com/is/image/MCY/3755177 </v>
      </c>
    </row>
    <row r="159" spans="1:13" ht="15.2" customHeight="1" x14ac:dyDescent="0.2">
      <c r="A159" s="26" t="s">
        <v>11453</v>
      </c>
      <c r="B159" s="27" t="s">
        <v>11454</v>
      </c>
      <c r="C159" s="28">
        <v>1</v>
      </c>
      <c r="D159" s="29">
        <v>10.93</v>
      </c>
      <c r="E159" s="29">
        <v>10.93</v>
      </c>
      <c r="F159" s="30">
        <v>24.99</v>
      </c>
      <c r="G159" s="29">
        <v>24.99</v>
      </c>
      <c r="H159" s="28" t="s">
        <v>11455</v>
      </c>
      <c r="I159" s="27" t="s">
        <v>82</v>
      </c>
      <c r="J159" s="31" t="s">
        <v>5</v>
      </c>
      <c r="K159" s="27" t="s">
        <v>41</v>
      </c>
      <c r="L159" s="27" t="s">
        <v>45</v>
      </c>
      <c r="M159" s="32" t="str">
        <f>HYPERLINK("http://slimages.macys.com/is/image/MCY/3241578 ")</f>
        <v xml:space="preserve">http://slimages.macys.com/is/image/MCY/3241578 </v>
      </c>
    </row>
    <row r="160" spans="1:13" ht="15.2" customHeight="1" x14ac:dyDescent="0.2">
      <c r="A160" s="26" t="s">
        <v>6990</v>
      </c>
      <c r="B160" s="27" t="s">
        <v>6991</v>
      </c>
      <c r="C160" s="28">
        <v>1</v>
      </c>
      <c r="D160" s="29">
        <v>10.77</v>
      </c>
      <c r="E160" s="29">
        <v>10.77</v>
      </c>
      <c r="F160" s="30">
        <v>29.5</v>
      </c>
      <c r="G160" s="29">
        <v>29.5</v>
      </c>
      <c r="H160" s="28" t="s">
        <v>2205</v>
      </c>
      <c r="I160" s="27" t="s">
        <v>215</v>
      </c>
      <c r="J160" s="31" t="s">
        <v>5</v>
      </c>
      <c r="K160" s="27" t="s">
        <v>41</v>
      </c>
      <c r="L160" s="27" t="s">
        <v>90</v>
      </c>
      <c r="M160" s="32" t="str">
        <f>HYPERLINK("http://slimages.macys.com/is/image/MCY/3711110 ")</f>
        <v xml:space="preserve">http://slimages.macys.com/is/image/MCY/3711110 </v>
      </c>
    </row>
    <row r="161" spans="1:13" ht="15.2" customHeight="1" x14ac:dyDescent="0.2">
      <c r="A161" s="26" t="s">
        <v>8470</v>
      </c>
      <c r="B161" s="27" t="s">
        <v>8471</v>
      </c>
      <c r="C161" s="28">
        <v>2</v>
      </c>
      <c r="D161" s="29">
        <v>10.65</v>
      </c>
      <c r="E161" s="29">
        <v>21.3</v>
      </c>
      <c r="F161" s="30">
        <v>27.99</v>
      </c>
      <c r="G161" s="29">
        <v>55.98</v>
      </c>
      <c r="H161" s="28" t="s">
        <v>1290</v>
      </c>
      <c r="I161" s="27" t="s">
        <v>49</v>
      </c>
      <c r="J161" s="31" t="s">
        <v>21</v>
      </c>
      <c r="K161" s="27" t="s">
        <v>224</v>
      </c>
      <c r="L161" s="27" t="s">
        <v>237</v>
      </c>
      <c r="M161" s="32" t="str">
        <f>HYPERLINK("http://slimages.macys.com/is/image/MCY/3787610 ")</f>
        <v xml:space="preserve">http://slimages.macys.com/is/image/MCY/3787610 </v>
      </c>
    </row>
    <row r="162" spans="1:13" ht="15.2" customHeight="1" x14ac:dyDescent="0.2">
      <c r="A162" s="26" t="s">
        <v>5034</v>
      </c>
      <c r="B162" s="27" t="s">
        <v>5035</v>
      </c>
      <c r="C162" s="28">
        <v>1</v>
      </c>
      <c r="D162" s="29">
        <v>10.65</v>
      </c>
      <c r="E162" s="29">
        <v>10.65</v>
      </c>
      <c r="F162" s="30">
        <v>27.99</v>
      </c>
      <c r="G162" s="29">
        <v>27.99</v>
      </c>
      <c r="H162" s="28" t="s">
        <v>1290</v>
      </c>
      <c r="I162" s="27" t="s">
        <v>49</v>
      </c>
      <c r="J162" s="31" t="s">
        <v>5</v>
      </c>
      <c r="K162" s="27" t="s">
        <v>224</v>
      </c>
      <c r="L162" s="27" t="s">
        <v>237</v>
      </c>
      <c r="M162" s="32" t="str">
        <f>HYPERLINK("http://slimages.macys.com/is/image/MCY/3787610 ")</f>
        <v xml:space="preserve">http://slimages.macys.com/is/image/MCY/3787610 </v>
      </c>
    </row>
    <row r="163" spans="1:13" ht="15.2" customHeight="1" x14ac:dyDescent="0.2">
      <c r="A163" s="26" t="s">
        <v>1291</v>
      </c>
      <c r="B163" s="27" t="s">
        <v>1292</v>
      </c>
      <c r="C163" s="28">
        <v>3</v>
      </c>
      <c r="D163" s="29">
        <v>10.6</v>
      </c>
      <c r="E163" s="29">
        <v>31.8</v>
      </c>
      <c r="F163" s="30">
        <v>24.99</v>
      </c>
      <c r="G163" s="29">
        <v>74.97</v>
      </c>
      <c r="H163" s="28" t="s">
        <v>247</v>
      </c>
      <c r="I163" s="27" t="s">
        <v>10</v>
      </c>
      <c r="J163" s="31" t="s">
        <v>5</v>
      </c>
      <c r="K163" s="27" t="s">
        <v>208</v>
      </c>
      <c r="L163" s="27" t="s">
        <v>197</v>
      </c>
      <c r="M163" s="32" t="str">
        <f>HYPERLINK("http://slimages.macys.com/is/image/MCY/3899669 ")</f>
        <v xml:space="preserve">http://slimages.macys.com/is/image/MCY/3899669 </v>
      </c>
    </row>
    <row r="164" spans="1:13" ht="15.2" customHeight="1" x14ac:dyDescent="0.2">
      <c r="A164" s="26" t="s">
        <v>8386</v>
      </c>
      <c r="B164" s="27" t="s">
        <v>8387</v>
      </c>
      <c r="C164" s="28">
        <v>1</v>
      </c>
      <c r="D164" s="29">
        <v>10.5</v>
      </c>
      <c r="E164" s="29">
        <v>10.5</v>
      </c>
      <c r="F164" s="30">
        <v>27.99</v>
      </c>
      <c r="G164" s="29">
        <v>27.99</v>
      </c>
      <c r="H164" s="28" t="s">
        <v>253</v>
      </c>
      <c r="I164" s="27" t="s">
        <v>4</v>
      </c>
      <c r="J164" s="31" t="s">
        <v>21</v>
      </c>
      <c r="K164" s="27" t="s">
        <v>224</v>
      </c>
      <c r="L164" s="27" t="s">
        <v>254</v>
      </c>
      <c r="M164" s="32" t="str">
        <f>HYPERLINK("http://slimages.macys.com/is/image/MCY/3798053 ")</f>
        <v xml:space="preserve">http://slimages.macys.com/is/image/MCY/3798053 </v>
      </c>
    </row>
    <row r="165" spans="1:13" ht="15.2" customHeight="1" x14ac:dyDescent="0.2">
      <c r="A165" s="26" t="s">
        <v>2906</v>
      </c>
      <c r="B165" s="27" t="s">
        <v>2907</v>
      </c>
      <c r="C165" s="28">
        <v>1</v>
      </c>
      <c r="D165" s="29">
        <v>10.5</v>
      </c>
      <c r="E165" s="29">
        <v>10.5</v>
      </c>
      <c r="F165" s="30">
        <v>25.99</v>
      </c>
      <c r="G165" s="29">
        <v>25.99</v>
      </c>
      <c r="H165" s="28" t="s">
        <v>1305</v>
      </c>
      <c r="I165" s="27" t="s">
        <v>207</v>
      </c>
      <c r="J165" s="31" t="s">
        <v>214</v>
      </c>
      <c r="K165" s="27" t="s">
        <v>200</v>
      </c>
      <c r="L165" s="27" t="s">
        <v>133</v>
      </c>
      <c r="M165" s="32" t="str">
        <f>HYPERLINK("http://slimages.macys.com/is/image/MCY/3773860 ")</f>
        <v xml:space="preserve">http://slimages.macys.com/is/image/MCY/3773860 </v>
      </c>
    </row>
    <row r="166" spans="1:13" ht="15.2" customHeight="1" x14ac:dyDescent="0.2">
      <c r="A166" s="26" t="s">
        <v>10080</v>
      </c>
      <c r="B166" s="27" t="s">
        <v>10081</v>
      </c>
      <c r="C166" s="28">
        <v>3</v>
      </c>
      <c r="D166" s="29">
        <v>10.5</v>
      </c>
      <c r="E166" s="29">
        <v>31.5</v>
      </c>
      <c r="F166" s="30">
        <v>25.99</v>
      </c>
      <c r="G166" s="29">
        <v>77.97</v>
      </c>
      <c r="H166" s="28" t="s">
        <v>1305</v>
      </c>
      <c r="I166" s="27" t="s">
        <v>207</v>
      </c>
      <c r="J166" s="31" t="s">
        <v>210</v>
      </c>
      <c r="K166" s="27" t="s">
        <v>200</v>
      </c>
      <c r="L166" s="27" t="s">
        <v>133</v>
      </c>
      <c r="M166" s="32" t="str">
        <f>HYPERLINK("http://slimages.macys.com/is/image/MCY/3773860 ")</f>
        <v xml:space="preserve">http://slimages.macys.com/is/image/MCY/3773860 </v>
      </c>
    </row>
    <row r="167" spans="1:13" ht="15.2" customHeight="1" x14ac:dyDescent="0.2">
      <c r="A167" s="26" t="s">
        <v>11456</v>
      </c>
      <c r="B167" s="27" t="s">
        <v>11457</v>
      </c>
      <c r="C167" s="28">
        <v>1</v>
      </c>
      <c r="D167" s="29">
        <v>10.5</v>
      </c>
      <c r="E167" s="29">
        <v>10.5</v>
      </c>
      <c r="F167" s="30">
        <v>27.99</v>
      </c>
      <c r="G167" s="29">
        <v>27.99</v>
      </c>
      <c r="H167" s="28" t="s">
        <v>253</v>
      </c>
      <c r="I167" s="27" t="s">
        <v>4</v>
      </c>
      <c r="J167" s="31" t="s">
        <v>52</v>
      </c>
      <c r="K167" s="27" t="s">
        <v>224</v>
      </c>
      <c r="L167" s="27" t="s">
        <v>254</v>
      </c>
      <c r="M167" s="32" t="str">
        <f>HYPERLINK("http://slimages.macys.com/is/image/MCY/3798053 ")</f>
        <v xml:space="preserve">http://slimages.macys.com/is/image/MCY/3798053 </v>
      </c>
    </row>
    <row r="168" spans="1:13" ht="15.2" customHeight="1" x14ac:dyDescent="0.2">
      <c r="A168" s="26" t="s">
        <v>9610</v>
      </c>
      <c r="B168" s="27" t="s">
        <v>9611</v>
      </c>
      <c r="C168" s="28">
        <v>1</v>
      </c>
      <c r="D168" s="29">
        <v>10.5</v>
      </c>
      <c r="E168" s="29">
        <v>10.5</v>
      </c>
      <c r="F168" s="30">
        <v>26.99</v>
      </c>
      <c r="G168" s="29">
        <v>26.99</v>
      </c>
      <c r="H168" s="28" t="s">
        <v>2620</v>
      </c>
      <c r="I168" s="27" t="s">
        <v>75</v>
      </c>
      <c r="J168" s="31" t="s">
        <v>40</v>
      </c>
      <c r="K168" s="27" t="s">
        <v>70</v>
      </c>
      <c r="L168" s="27" t="s">
        <v>250</v>
      </c>
      <c r="M168" s="32" t="str">
        <f>HYPERLINK("http://slimages.macys.com/is/image/MCY/3666154 ")</f>
        <v xml:space="preserve">http://slimages.macys.com/is/image/MCY/3666154 </v>
      </c>
    </row>
    <row r="169" spans="1:13" ht="15.2" customHeight="1" x14ac:dyDescent="0.2">
      <c r="A169" s="26" t="s">
        <v>5046</v>
      </c>
      <c r="B169" s="27" t="s">
        <v>5047</v>
      </c>
      <c r="C169" s="28">
        <v>1</v>
      </c>
      <c r="D169" s="29">
        <v>10.5</v>
      </c>
      <c r="E169" s="29">
        <v>10.5</v>
      </c>
      <c r="F169" s="30">
        <v>27.99</v>
      </c>
      <c r="G169" s="29">
        <v>27.99</v>
      </c>
      <c r="H169" s="28" t="s">
        <v>253</v>
      </c>
      <c r="I169" s="27" t="s">
        <v>10</v>
      </c>
      <c r="J169" s="31" t="s">
        <v>52</v>
      </c>
      <c r="K169" s="27" t="s">
        <v>224</v>
      </c>
      <c r="L169" s="27" t="s">
        <v>254</v>
      </c>
      <c r="M169" s="32" t="str">
        <f>HYPERLINK("http://slimages.macys.com/is/image/MCY/3798053 ")</f>
        <v xml:space="preserve">http://slimages.macys.com/is/image/MCY/3798053 </v>
      </c>
    </row>
    <row r="170" spans="1:13" ht="15.2" customHeight="1" x14ac:dyDescent="0.2">
      <c r="A170" s="26" t="s">
        <v>1303</v>
      </c>
      <c r="B170" s="27" t="s">
        <v>1304</v>
      </c>
      <c r="C170" s="28">
        <v>1</v>
      </c>
      <c r="D170" s="29">
        <v>10.5</v>
      </c>
      <c r="E170" s="29">
        <v>10.5</v>
      </c>
      <c r="F170" s="30">
        <v>25.99</v>
      </c>
      <c r="G170" s="29">
        <v>25.99</v>
      </c>
      <c r="H170" s="28" t="s">
        <v>1305</v>
      </c>
      <c r="I170" s="27" t="s">
        <v>36</v>
      </c>
      <c r="J170" s="31" t="s">
        <v>69</v>
      </c>
      <c r="K170" s="27" t="s">
        <v>200</v>
      </c>
      <c r="L170" s="27" t="s">
        <v>133</v>
      </c>
      <c r="M170" s="32" t="str">
        <f>HYPERLINK("http://slimages.macys.com/is/image/MCY/3773860 ")</f>
        <v xml:space="preserve">http://slimages.macys.com/is/image/MCY/3773860 </v>
      </c>
    </row>
    <row r="171" spans="1:13" ht="15.2" customHeight="1" x14ac:dyDescent="0.2">
      <c r="A171" s="26" t="s">
        <v>1813</v>
      </c>
      <c r="B171" s="27" t="s">
        <v>1814</v>
      </c>
      <c r="C171" s="28">
        <v>1</v>
      </c>
      <c r="D171" s="29">
        <v>10.5</v>
      </c>
      <c r="E171" s="29">
        <v>10.5</v>
      </c>
      <c r="F171" s="30">
        <v>27.99</v>
      </c>
      <c r="G171" s="29">
        <v>27.99</v>
      </c>
      <c r="H171" s="28" t="s">
        <v>253</v>
      </c>
      <c r="I171" s="27" t="s">
        <v>4</v>
      </c>
      <c r="J171" s="31" t="s">
        <v>40</v>
      </c>
      <c r="K171" s="27" t="s">
        <v>224</v>
      </c>
      <c r="L171" s="27" t="s">
        <v>254</v>
      </c>
      <c r="M171" s="32" t="str">
        <f>HYPERLINK("http://slimages.macys.com/is/image/MCY/3798053 ")</f>
        <v xml:space="preserve">http://slimages.macys.com/is/image/MCY/3798053 </v>
      </c>
    </row>
    <row r="172" spans="1:13" ht="15.2" customHeight="1" x14ac:dyDescent="0.2">
      <c r="A172" s="26" t="s">
        <v>8188</v>
      </c>
      <c r="B172" s="27" t="s">
        <v>8189</v>
      </c>
      <c r="C172" s="28">
        <v>1</v>
      </c>
      <c r="D172" s="29">
        <v>10.5</v>
      </c>
      <c r="E172" s="29">
        <v>10.5</v>
      </c>
      <c r="F172" s="30">
        <v>39</v>
      </c>
      <c r="G172" s="29">
        <v>39</v>
      </c>
      <c r="H172" s="28" t="s">
        <v>8190</v>
      </c>
      <c r="I172" s="27" t="s">
        <v>82</v>
      </c>
      <c r="J172" s="31" t="s">
        <v>5</v>
      </c>
      <c r="K172" s="27" t="s">
        <v>154</v>
      </c>
      <c r="L172" s="27" t="s">
        <v>155</v>
      </c>
      <c r="M172" s="32" t="str">
        <f>HYPERLINK("http://slimages.macys.com/is/image/MCY/3662990 ")</f>
        <v xml:space="preserve">http://slimages.macys.com/is/image/MCY/3662990 </v>
      </c>
    </row>
    <row r="173" spans="1:13" ht="15.2" customHeight="1" x14ac:dyDescent="0.2">
      <c r="A173" s="26" t="s">
        <v>11458</v>
      </c>
      <c r="B173" s="27" t="s">
        <v>11459</v>
      </c>
      <c r="C173" s="28">
        <v>1</v>
      </c>
      <c r="D173" s="29">
        <v>10.25</v>
      </c>
      <c r="E173" s="29">
        <v>10.25</v>
      </c>
      <c r="F173" s="30">
        <v>25.99</v>
      </c>
      <c r="G173" s="29">
        <v>25.99</v>
      </c>
      <c r="H173" s="28" t="s">
        <v>1815</v>
      </c>
      <c r="I173" s="27" t="s">
        <v>22</v>
      </c>
      <c r="J173" s="31" t="s">
        <v>52</v>
      </c>
      <c r="K173" s="27" t="s">
        <v>200</v>
      </c>
      <c r="L173" s="27" t="s">
        <v>552</v>
      </c>
      <c r="M173" s="32" t="str">
        <f>HYPERLINK("http://slimages.macys.com/is/image/MCY/3820932 ")</f>
        <v xml:space="preserve">http://slimages.macys.com/is/image/MCY/3820932 </v>
      </c>
    </row>
    <row r="174" spans="1:13" ht="15.2" customHeight="1" x14ac:dyDescent="0.2">
      <c r="A174" s="26" t="s">
        <v>10248</v>
      </c>
      <c r="B174" s="27" t="s">
        <v>10249</v>
      </c>
      <c r="C174" s="28">
        <v>1</v>
      </c>
      <c r="D174" s="29">
        <v>10.199999999999999</v>
      </c>
      <c r="E174" s="29">
        <v>10.199999999999999</v>
      </c>
      <c r="F174" s="30">
        <v>22.99</v>
      </c>
      <c r="G174" s="29">
        <v>22.99</v>
      </c>
      <c r="H174" s="28" t="s">
        <v>10250</v>
      </c>
      <c r="I174" s="27" t="s">
        <v>1</v>
      </c>
      <c r="J174" s="31" t="s">
        <v>71</v>
      </c>
      <c r="K174" s="27" t="s">
        <v>208</v>
      </c>
      <c r="L174" s="27" t="s">
        <v>197</v>
      </c>
      <c r="M174" s="32" t="str">
        <f>HYPERLINK("http://slimages.macys.com/is/image/MCY/3940749 ")</f>
        <v xml:space="preserve">http://slimages.macys.com/is/image/MCY/3940749 </v>
      </c>
    </row>
    <row r="175" spans="1:13" ht="15.2" customHeight="1" x14ac:dyDescent="0.2">
      <c r="A175" s="26" t="s">
        <v>7397</v>
      </c>
      <c r="B175" s="27" t="s">
        <v>7398</v>
      </c>
      <c r="C175" s="28">
        <v>1</v>
      </c>
      <c r="D175" s="29">
        <v>10</v>
      </c>
      <c r="E175" s="29">
        <v>10</v>
      </c>
      <c r="F175" s="30">
        <v>27.99</v>
      </c>
      <c r="G175" s="29">
        <v>27.99</v>
      </c>
      <c r="H175" s="28" t="s">
        <v>279</v>
      </c>
      <c r="I175" s="27" t="s">
        <v>274</v>
      </c>
      <c r="J175" s="31" t="s">
        <v>5</v>
      </c>
      <c r="K175" s="27" t="s">
        <v>224</v>
      </c>
      <c r="L175" s="27" t="s">
        <v>237</v>
      </c>
      <c r="M175" s="32" t="str">
        <f>HYPERLINK("http://slimages.macys.com/is/image/MCY/3820976 ")</f>
        <v xml:space="preserve">http://slimages.macys.com/is/image/MCY/3820976 </v>
      </c>
    </row>
    <row r="176" spans="1:13" ht="15.2" customHeight="1" x14ac:dyDescent="0.2">
      <c r="A176" s="26" t="s">
        <v>11460</v>
      </c>
      <c r="B176" s="27" t="s">
        <v>11461</v>
      </c>
      <c r="C176" s="28">
        <v>1</v>
      </c>
      <c r="D176" s="29">
        <v>10</v>
      </c>
      <c r="E176" s="29">
        <v>10</v>
      </c>
      <c r="F176" s="30">
        <v>27.99</v>
      </c>
      <c r="G176" s="29">
        <v>27.99</v>
      </c>
      <c r="H176" s="28" t="s">
        <v>279</v>
      </c>
      <c r="I176" s="27" t="s">
        <v>274</v>
      </c>
      <c r="J176" s="31" t="s">
        <v>21</v>
      </c>
      <c r="K176" s="27" t="s">
        <v>224</v>
      </c>
      <c r="L176" s="27" t="s">
        <v>237</v>
      </c>
      <c r="M176" s="32" t="str">
        <f>HYPERLINK("http://slimages.macys.com/is/image/MCY/3820976 ")</f>
        <v xml:space="preserve">http://slimages.macys.com/is/image/MCY/3820976 </v>
      </c>
    </row>
    <row r="177" spans="1:13" ht="15.2" customHeight="1" x14ac:dyDescent="0.2">
      <c r="A177" s="26" t="s">
        <v>2211</v>
      </c>
      <c r="B177" s="27" t="s">
        <v>2212</v>
      </c>
      <c r="C177" s="28">
        <v>1</v>
      </c>
      <c r="D177" s="29">
        <v>10</v>
      </c>
      <c r="E177" s="29">
        <v>10</v>
      </c>
      <c r="F177" s="30">
        <v>24.99</v>
      </c>
      <c r="G177" s="29">
        <v>24.99</v>
      </c>
      <c r="H177" s="28">
        <v>59810</v>
      </c>
      <c r="I177" s="27" t="s">
        <v>127</v>
      </c>
      <c r="J177" s="31" t="s">
        <v>5</v>
      </c>
      <c r="K177" s="27" t="s">
        <v>224</v>
      </c>
      <c r="L177" s="27" t="s">
        <v>254</v>
      </c>
      <c r="M177" s="32" t="str">
        <f>HYPERLINK("http://slimages.macys.com/is/image/MCY/3826688 ")</f>
        <v xml:space="preserve">http://slimages.macys.com/is/image/MCY/3826688 </v>
      </c>
    </row>
    <row r="178" spans="1:13" ht="15.2" customHeight="1" x14ac:dyDescent="0.2">
      <c r="A178" s="26" t="s">
        <v>8214</v>
      </c>
      <c r="B178" s="27" t="s">
        <v>8215</v>
      </c>
      <c r="C178" s="28">
        <v>1</v>
      </c>
      <c r="D178" s="29">
        <v>10</v>
      </c>
      <c r="E178" s="29">
        <v>10</v>
      </c>
      <c r="F178" s="30">
        <v>22.99</v>
      </c>
      <c r="G178" s="29">
        <v>22.99</v>
      </c>
      <c r="H178" s="28" t="s">
        <v>8216</v>
      </c>
      <c r="I178" s="27" t="s">
        <v>94</v>
      </c>
      <c r="J178" s="31" t="s">
        <v>21</v>
      </c>
      <c r="K178" s="27" t="s">
        <v>200</v>
      </c>
      <c r="L178" s="27" t="s">
        <v>243</v>
      </c>
      <c r="M178" s="32" t="str">
        <f>HYPERLINK("http://slimages.macys.com/is/image/MCY/3658826 ")</f>
        <v xml:space="preserve">http://slimages.macys.com/is/image/MCY/3658826 </v>
      </c>
    </row>
    <row r="179" spans="1:13" ht="15.2" customHeight="1" x14ac:dyDescent="0.2">
      <c r="A179" s="26" t="s">
        <v>11462</v>
      </c>
      <c r="B179" s="27" t="s">
        <v>11463</v>
      </c>
      <c r="C179" s="28">
        <v>1</v>
      </c>
      <c r="D179" s="29">
        <v>10</v>
      </c>
      <c r="E179" s="29">
        <v>10</v>
      </c>
      <c r="F179" s="30">
        <v>22.99</v>
      </c>
      <c r="G179" s="29">
        <v>22.99</v>
      </c>
      <c r="H179" s="28" t="s">
        <v>8802</v>
      </c>
      <c r="I179" s="27" t="s">
        <v>22</v>
      </c>
      <c r="J179" s="31" t="s">
        <v>21</v>
      </c>
      <c r="K179" s="27" t="s">
        <v>200</v>
      </c>
      <c r="L179" s="27" t="s">
        <v>243</v>
      </c>
      <c r="M179" s="32" t="str">
        <f>HYPERLINK("http://slimages.macys.com/is/image/MCY/3658826 ")</f>
        <v xml:space="preserve">http://slimages.macys.com/is/image/MCY/3658826 </v>
      </c>
    </row>
    <row r="180" spans="1:13" ht="15.2" customHeight="1" x14ac:dyDescent="0.2">
      <c r="A180" s="26" t="s">
        <v>8630</v>
      </c>
      <c r="B180" s="27" t="s">
        <v>8631</v>
      </c>
      <c r="C180" s="28">
        <v>2</v>
      </c>
      <c r="D180" s="29">
        <v>10</v>
      </c>
      <c r="E180" s="29">
        <v>20</v>
      </c>
      <c r="F180" s="30">
        <v>22.99</v>
      </c>
      <c r="G180" s="29">
        <v>45.98</v>
      </c>
      <c r="H180" s="28" t="s">
        <v>8629</v>
      </c>
      <c r="I180" s="27"/>
      <c r="J180" s="31" t="s">
        <v>40</v>
      </c>
      <c r="K180" s="27" t="s">
        <v>200</v>
      </c>
      <c r="L180" s="27" t="s">
        <v>243</v>
      </c>
      <c r="M180" s="32" t="str">
        <f>HYPERLINK("http://slimages.macys.com/is/image/MCY/3658826 ")</f>
        <v xml:space="preserve">http://slimages.macys.com/is/image/MCY/3658826 </v>
      </c>
    </row>
    <row r="181" spans="1:13" ht="15.2" customHeight="1" x14ac:dyDescent="0.2">
      <c r="A181" s="26" t="s">
        <v>5434</v>
      </c>
      <c r="B181" s="27" t="s">
        <v>5435</v>
      </c>
      <c r="C181" s="28">
        <v>1</v>
      </c>
      <c r="D181" s="29">
        <v>9.75</v>
      </c>
      <c r="E181" s="29">
        <v>9.75</v>
      </c>
      <c r="F181" s="30">
        <v>24.99</v>
      </c>
      <c r="G181" s="29">
        <v>24.99</v>
      </c>
      <c r="H181" s="28" t="s">
        <v>4347</v>
      </c>
      <c r="I181" s="27" t="s">
        <v>82</v>
      </c>
      <c r="J181" s="31" t="s">
        <v>71</v>
      </c>
      <c r="K181" s="27" t="s">
        <v>224</v>
      </c>
      <c r="L181" s="27" t="s">
        <v>197</v>
      </c>
      <c r="M181" s="32" t="str">
        <f>HYPERLINK("http://slimages.macys.com/is/image/MCY/3820961 ")</f>
        <v xml:space="preserve">http://slimages.macys.com/is/image/MCY/3820961 </v>
      </c>
    </row>
    <row r="182" spans="1:13" ht="15.2" customHeight="1" x14ac:dyDescent="0.2">
      <c r="A182" s="26" t="s">
        <v>6038</v>
      </c>
      <c r="B182" s="27" t="s">
        <v>6039</v>
      </c>
      <c r="C182" s="28">
        <v>1</v>
      </c>
      <c r="D182" s="29">
        <v>9.75</v>
      </c>
      <c r="E182" s="29">
        <v>9.75</v>
      </c>
      <c r="F182" s="30">
        <v>24.99</v>
      </c>
      <c r="G182" s="29">
        <v>24.99</v>
      </c>
      <c r="H182" s="28" t="s">
        <v>4347</v>
      </c>
      <c r="I182" s="27" t="s">
        <v>82</v>
      </c>
      <c r="J182" s="31" t="s">
        <v>21</v>
      </c>
      <c r="K182" s="27" t="s">
        <v>224</v>
      </c>
      <c r="L182" s="27" t="s">
        <v>197</v>
      </c>
      <c r="M182" s="32" t="str">
        <f>HYPERLINK("http://slimages.macys.com/is/image/MCY/3820961 ")</f>
        <v xml:space="preserve">http://slimages.macys.com/is/image/MCY/3820961 </v>
      </c>
    </row>
    <row r="183" spans="1:13" ht="15.2" customHeight="1" x14ac:dyDescent="0.2">
      <c r="A183" s="26" t="s">
        <v>9620</v>
      </c>
      <c r="B183" s="27" t="s">
        <v>9621</v>
      </c>
      <c r="C183" s="28">
        <v>1</v>
      </c>
      <c r="D183" s="29">
        <v>9.75</v>
      </c>
      <c r="E183" s="29">
        <v>9.75</v>
      </c>
      <c r="F183" s="30">
        <v>24.99</v>
      </c>
      <c r="G183" s="29">
        <v>24.99</v>
      </c>
      <c r="H183" s="28" t="s">
        <v>4347</v>
      </c>
      <c r="I183" s="27" t="s">
        <v>82</v>
      </c>
      <c r="J183" s="31" t="s">
        <v>52</v>
      </c>
      <c r="K183" s="27" t="s">
        <v>224</v>
      </c>
      <c r="L183" s="27" t="s">
        <v>197</v>
      </c>
      <c r="M183" s="32" t="str">
        <f>HYPERLINK("http://slimages.macys.com/is/image/MCY/3820961 ")</f>
        <v xml:space="preserve">http://slimages.macys.com/is/image/MCY/3820961 </v>
      </c>
    </row>
    <row r="184" spans="1:13" ht="15.2" customHeight="1" x14ac:dyDescent="0.2">
      <c r="A184" s="26" t="s">
        <v>1816</v>
      </c>
      <c r="B184" s="27" t="s">
        <v>1817</v>
      </c>
      <c r="C184" s="28">
        <v>1</v>
      </c>
      <c r="D184" s="29">
        <v>9.65</v>
      </c>
      <c r="E184" s="29">
        <v>9.65</v>
      </c>
      <c r="F184" s="30">
        <v>27.99</v>
      </c>
      <c r="G184" s="29">
        <v>27.99</v>
      </c>
      <c r="H184" s="28" t="s">
        <v>279</v>
      </c>
      <c r="I184" s="27" t="s">
        <v>280</v>
      </c>
      <c r="J184" s="31" t="s">
        <v>21</v>
      </c>
      <c r="K184" s="27" t="s">
        <v>224</v>
      </c>
      <c r="L184" s="27" t="s">
        <v>237</v>
      </c>
      <c r="M184" s="32" t="str">
        <f>HYPERLINK("http://slimages.macys.com/is/image/MCY/3820978 ")</f>
        <v xml:space="preserve">http://slimages.macys.com/is/image/MCY/3820978 </v>
      </c>
    </row>
    <row r="185" spans="1:13" ht="15.2" customHeight="1" x14ac:dyDescent="0.2">
      <c r="A185" s="26" t="s">
        <v>7401</v>
      </c>
      <c r="B185" s="27" t="s">
        <v>7402</v>
      </c>
      <c r="C185" s="28">
        <v>1</v>
      </c>
      <c r="D185" s="29">
        <v>9.5</v>
      </c>
      <c r="E185" s="29">
        <v>9.5</v>
      </c>
      <c r="F185" s="30">
        <v>22.99</v>
      </c>
      <c r="G185" s="29">
        <v>22.99</v>
      </c>
      <c r="H185" s="28" t="s">
        <v>1328</v>
      </c>
      <c r="I185" s="27" t="s">
        <v>144</v>
      </c>
      <c r="J185" s="31" t="s">
        <v>71</v>
      </c>
      <c r="K185" s="27" t="s">
        <v>196</v>
      </c>
      <c r="L185" s="27" t="s">
        <v>1329</v>
      </c>
      <c r="M185" s="32" t="str">
        <f>HYPERLINK("http://slimages.macys.com/is/image/MCY/3732859 ")</f>
        <v xml:space="preserve">http://slimages.macys.com/is/image/MCY/3732859 </v>
      </c>
    </row>
    <row r="186" spans="1:13" ht="15.2" customHeight="1" x14ac:dyDescent="0.2">
      <c r="A186" s="26" t="s">
        <v>8812</v>
      </c>
      <c r="B186" s="27" t="s">
        <v>8813</v>
      </c>
      <c r="C186" s="28">
        <v>1</v>
      </c>
      <c r="D186" s="29">
        <v>9.5</v>
      </c>
      <c r="E186" s="29">
        <v>9.5</v>
      </c>
      <c r="F186" s="30">
        <v>24.99</v>
      </c>
      <c r="G186" s="29">
        <v>24.99</v>
      </c>
      <c r="H186" s="28" t="s">
        <v>284</v>
      </c>
      <c r="I186" s="27" t="s">
        <v>285</v>
      </c>
      <c r="J186" s="31" t="s">
        <v>40</v>
      </c>
      <c r="K186" s="27" t="s">
        <v>224</v>
      </c>
      <c r="L186" s="27" t="s">
        <v>239</v>
      </c>
      <c r="M186" s="32" t="str">
        <f>HYPERLINK("http://slimages.macys.com/is/image/MCY/3734881 ")</f>
        <v xml:space="preserve">http://slimages.macys.com/is/image/MCY/3734881 </v>
      </c>
    </row>
    <row r="187" spans="1:13" ht="15.2" customHeight="1" x14ac:dyDescent="0.2">
      <c r="A187" s="26" t="s">
        <v>7551</v>
      </c>
      <c r="B187" s="27" t="s">
        <v>7552</v>
      </c>
      <c r="C187" s="28">
        <v>1</v>
      </c>
      <c r="D187" s="29">
        <v>9.25</v>
      </c>
      <c r="E187" s="29">
        <v>9.25</v>
      </c>
      <c r="F187" s="30">
        <v>22.99</v>
      </c>
      <c r="G187" s="29">
        <v>22.99</v>
      </c>
      <c r="H187" s="28" t="s">
        <v>2939</v>
      </c>
      <c r="I187" s="27" t="s">
        <v>4</v>
      </c>
      <c r="J187" s="31" t="s">
        <v>5</v>
      </c>
      <c r="K187" s="27" t="s">
        <v>70</v>
      </c>
      <c r="L187" s="27" t="s">
        <v>260</v>
      </c>
      <c r="M187" s="32" t="str">
        <f>HYPERLINK("http://slimages.macys.com/is/image/MCY/3723523 ")</f>
        <v xml:space="preserve">http://slimages.macys.com/is/image/MCY/3723523 </v>
      </c>
    </row>
    <row r="188" spans="1:13" ht="15.2" customHeight="1" x14ac:dyDescent="0.2">
      <c r="A188" s="26" t="s">
        <v>11464</v>
      </c>
      <c r="B188" s="27" t="s">
        <v>11465</v>
      </c>
      <c r="C188" s="28">
        <v>1</v>
      </c>
      <c r="D188" s="29">
        <v>9.25</v>
      </c>
      <c r="E188" s="29">
        <v>9.25</v>
      </c>
      <c r="F188" s="30">
        <v>22.99</v>
      </c>
      <c r="G188" s="29">
        <v>22.99</v>
      </c>
      <c r="H188" s="28" t="s">
        <v>2939</v>
      </c>
      <c r="I188" s="27" t="s">
        <v>59</v>
      </c>
      <c r="J188" s="31" t="s">
        <v>71</v>
      </c>
      <c r="K188" s="27" t="s">
        <v>70</v>
      </c>
      <c r="L188" s="27" t="s">
        <v>260</v>
      </c>
      <c r="M188" s="32" t="str">
        <f>HYPERLINK("http://slimages.macys.com/is/image/MCY/3723523 ")</f>
        <v xml:space="preserve">http://slimages.macys.com/is/image/MCY/3723523 </v>
      </c>
    </row>
    <row r="189" spans="1:13" ht="15.2" customHeight="1" x14ac:dyDescent="0.2">
      <c r="A189" s="26" t="s">
        <v>1335</v>
      </c>
      <c r="B189" s="27" t="s">
        <v>1336</v>
      </c>
      <c r="C189" s="28">
        <v>1</v>
      </c>
      <c r="D189" s="29">
        <v>9.25</v>
      </c>
      <c r="E189" s="29">
        <v>9.25</v>
      </c>
      <c r="F189" s="30">
        <v>21.99</v>
      </c>
      <c r="G189" s="29">
        <v>21.99</v>
      </c>
      <c r="H189" s="28" t="s">
        <v>1332</v>
      </c>
      <c r="I189" s="27" t="s">
        <v>36</v>
      </c>
      <c r="J189" s="31" t="s">
        <v>5</v>
      </c>
      <c r="K189" s="27" t="s">
        <v>159</v>
      </c>
      <c r="L189" s="27" t="s">
        <v>160</v>
      </c>
      <c r="M189" s="32" t="str">
        <f>HYPERLINK("http://slimages.macys.com/is/image/MCY/3640472 ")</f>
        <v xml:space="preserve">http://slimages.macys.com/is/image/MCY/3640472 </v>
      </c>
    </row>
    <row r="190" spans="1:13" ht="15.2" customHeight="1" x14ac:dyDescent="0.2">
      <c r="A190" s="26" t="s">
        <v>8307</v>
      </c>
      <c r="B190" s="27" t="s">
        <v>8308</v>
      </c>
      <c r="C190" s="28">
        <v>1</v>
      </c>
      <c r="D190" s="29">
        <v>9.25</v>
      </c>
      <c r="E190" s="29">
        <v>9.25</v>
      </c>
      <c r="F190" s="30">
        <v>19.989999999999998</v>
      </c>
      <c r="G190" s="29">
        <v>19.989999999999998</v>
      </c>
      <c r="H190" s="28" t="s">
        <v>808</v>
      </c>
      <c r="I190" s="27" t="s">
        <v>4</v>
      </c>
      <c r="J190" s="31" t="s">
        <v>40</v>
      </c>
      <c r="K190" s="27" t="s">
        <v>282</v>
      </c>
      <c r="L190" s="27" t="s">
        <v>283</v>
      </c>
      <c r="M190" s="32" t="str">
        <f>HYPERLINK("http://slimages.macys.com/is/image/MCY/3835617 ")</f>
        <v xml:space="preserve">http://slimages.macys.com/is/image/MCY/3835617 </v>
      </c>
    </row>
    <row r="191" spans="1:13" ht="15.2" customHeight="1" x14ac:dyDescent="0.2">
      <c r="A191" s="26" t="s">
        <v>9811</v>
      </c>
      <c r="B191" s="27" t="s">
        <v>9812</v>
      </c>
      <c r="C191" s="28">
        <v>1</v>
      </c>
      <c r="D191" s="29">
        <v>9.25</v>
      </c>
      <c r="E191" s="29">
        <v>9.25</v>
      </c>
      <c r="F191" s="30">
        <v>22.99</v>
      </c>
      <c r="G191" s="29">
        <v>22.99</v>
      </c>
      <c r="H191" s="28" t="s">
        <v>2939</v>
      </c>
      <c r="I191" s="27" t="s">
        <v>59</v>
      </c>
      <c r="J191" s="31" t="s">
        <v>21</v>
      </c>
      <c r="K191" s="27" t="s">
        <v>70</v>
      </c>
      <c r="L191" s="27" t="s">
        <v>260</v>
      </c>
      <c r="M191" s="32" t="str">
        <f>HYPERLINK("http://slimages.macys.com/is/image/MCY/3723523 ")</f>
        <v xml:space="preserve">http://slimages.macys.com/is/image/MCY/3723523 </v>
      </c>
    </row>
    <row r="192" spans="1:13" ht="15.2" customHeight="1" x14ac:dyDescent="0.2">
      <c r="A192" s="26" t="s">
        <v>1337</v>
      </c>
      <c r="B192" s="27" t="s">
        <v>1338</v>
      </c>
      <c r="C192" s="28">
        <v>2</v>
      </c>
      <c r="D192" s="29">
        <v>9.25</v>
      </c>
      <c r="E192" s="29">
        <v>18.5</v>
      </c>
      <c r="F192" s="30">
        <v>19.989999999999998</v>
      </c>
      <c r="G192" s="29">
        <v>39.979999999999997</v>
      </c>
      <c r="H192" s="28" t="s">
        <v>805</v>
      </c>
      <c r="I192" s="27" t="s">
        <v>4</v>
      </c>
      <c r="J192" s="31" t="s">
        <v>5</v>
      </c>
      <c r="K192" s="27" t="s">
        <v>282</v>
      </c>
      <c r="L192" s="27" t="s">
        <v>283</v>
      </c>
      <c r="M192" s="32" t="str">
        <f>HYPERLINK("http://slimages.macys.com/is/image/MCY/3875953 ")</f>
        <v xml:space="preserve">http://slimages.macys.com/is/image/MCY/3875953 </v>
      </c>
    </row>
    <row r="193" spans="1:13" ht="15.2" customHeight="1" x14ac:dyDescent="0.2">
      <c r="A193" s="26" t="s">
        <v>11466</v>
      </c>
      <c r="B193" s="27" t="s">
        <v>11467</v>
      </c>
      <c r="C193" s="28">
        <v>1</v>
      </c>
      <c r="D193" s="29">
        <v>9.25</v>
      </c>
      <c r="E193" s="29">
        <v>9.25</v>
      </c>
      <c r="F193" s="30">
        <v>19.989999999999998</v>
      </c>
      <c r="G193" s="29">
        <v>19.989999999999998</v>
      </c>
      <c r="H193" s="28">
        <v>60444960</v>
      </c>
      <c r="I193" s="27" t="s">
        <v>4</v>
      </c>
      <c r="J193" s="31" t="s">
        <v>5</v>
      </c>
      <c r="K193" s="27" t="s">
        <v>208</v>
      </c>
      <c r="L193" s="27" t="s">
        <v>255</v>
      </c>
      <c r="M193" s="32" t="str">
        <f>HYPERLINK("http://slimages.macys.com/is/image/MCY/3835715 ")</f>
        <v xml:space="preserve">http://slimages.macys.com/is/image/MCY/3835715 </v>
      </c>
    </row>
    <row r="194" spans="1:13" ht="15.2" customHeight="1" x14ac:dyDescent="0.2">
      <c r="A194" s="26" t="s">
        <v>7030</v>
      </c>
      <c r="B194" s="27" t="s">
        <v>7031</v>
      </c>
      <c r="C194" s="28">
        <v>1</v>
      </c>
      <c r="D194" s="29">
        <v>9.2200000000000006</v>
      </c>
      <c r="E194" s="29">
        <v>9.2200000000000006</v>
      </c>
      <c r="F194" s="30">
        <v>21.99</v>
      </c>
      <c r="G194" s="29">
        <v>21.99</v>
      </c>
      <c r="H194" s="28" t="s">
        <v>812</v>
      </c>
      <c r="I194" s="27" t="s">
        <v>36</v>
      </c>
      <c r="J194" s="31" t="s">
        <v>21</v>
      </c>
      <c r="K194" s="27" t="s">
        <v>159</v>
      </c>
      <c r="L194" s="27" t="s">
        <v>160</v>
      </c>
      <c r="M194" s="32" t="str">
        <f>HYPERLINK("http://slimages.macys.com/is/image/MCY/3857711 ")</f>
        <v xml:space="preserve">http://slimages.macys.com/is/image/MCY/3857711 </v>
      </c>
    </row>
    <row r="195" spans="1:13" ht="15.2" customHeight="1" x14ac:dyDescent="0.2">
      <c r="A195" s="26" t="s">
        <v>11468</v>
      </c>
      <c r="B195" s="27" t="s">
        <v>11469</v>
      </c>
      <c r="C195" s="28">
        <v>1</v>
      </c>
      <c r="D195" s="29">
        <v>9.1999999999999993</v>
      </c>
      <c r="E195" s="29">
        <v>9.1999999999999993</v>
      </c>
      <c r="F195" s="30">
        <v>21.99</v>
      </c>
      <c r="G195" s="29">
        <v>21.99</v>
      </c>
      <c r="H195" s="28" t="s">
        <v>2950</v>
      </c>
      <c r="I195" s="27" t="s">
        <v>4</v>
      </c>
      <c r="J195" s="31" t="s">
        <v>71</v>
      </c>
      <c r="K195" s="27" t="s">
        <v>159</v>
      </c>
      <c r="L195" s="27" t="s">
        <v>160</v>
      </c>
      <c r="M195" s="32" t="str">
        <f>HYPERLINK("http://slimages.macys.com/is/image/MCY/3664653 ")</f>
        <v xml:space="preserve">http://slimages.macys.com/is/image/MCY/3664653 </v>
      </c>
    </row>
    <row r="196" spans="1:13" ht="15.2" customHeight="1" x14ac:dyDescent="0.2">
      <c r="A196" s="26" t="s">
        <v>9149</v>
      </c>
      <c r="B196" s="27" t="s">
        <v>9150</v>
      </c>
      <c r="C196" s="28">
        <v>1</v>
      </c>
      <c r="D196" s="29">
        <v>9.16</v>
      </c>
      <c r="E196" s="29">
        <v>9.16</v>
      </c>
      <c r="F196" s="30">
        <v>21.99</v>
      </c>
      <c r="G196" s="29">
        <v>21.99</v>
      </c>
      <c r="H196" s="28" t="s">
        <v>9151</v>
      </c>
      <c r="I196" s="27" t="s">
        <v>4</v>
      </c>
      <c r="J196" s="31" t="s">
        <v>40</v>
      </c>
      <c r="K196" s="27" t="s">
        <v>159</v>
      </c>
      <c r="L196" s="27" t="s">
        <v>160</v>
      </c>
      <c r="M196" s="32" t="str">
        <f>HYPERLINK("http://slimages.macys.com/is/image/MCY/3632980 ")</f>
        <v xml:space="preserve">http://slimages.macys.com/is/image/MCY/3632980 </v>
      </c>
    </row>
    <row r="197" spans="1:13" ht="15.2" customHeight="1" x14ac:dyDescent="0.2">
      <c r="A197" s="26" t="s">
        <v>11470</v>
      </c>
      <c r="B197" s="27" t="s">
        <v>11471</v>
      </c>
      <c r="C197" s="28">
        <v>1</v>
      </c>
      <c r="D197" s="29">
        <v>9.15</v>
      </c>
      <c r="E197" s="29">
        <v>9.15</v>
      </c>
      <c r="F197" s="30">
        <v>21.99</v>
      </c>
      <c r="G197" s="29">
        <v>21.99</v>
      </c>
      <c r="H197" s="28" t="s">
        <v>8654</v>
      </c>
      <c r="I197" s="27" t="s">
        <v>4</v>
      </c>
      <c r="J197" s="31" t="s">
        <v>40</v>
      </c>
      <c r="K197" s="27" t="s">
        <v>159</v>
      </c>
      <c r="L197" s="27" t="s">
        <v>160</v>
      </c>
      <c r="M197" s="32" t="str">
        <f>HYPERLINK("http://slimages.macys.com/is/image/MCY/3600433 ")</f>
        <v xml:space="preserve">http://slimages.macys.com/is/image/MCY/3600433 </v>
      </c>
    </row>
    <row r="198" spans="1:13" ht="15.2" customHeight="1" x14ac:dyDescent="0.2">
      <c r="A198" s="26" t="s">
        <v>1851</v>
      </c>
      <c r="B198" s="27" t="s">
        <v>1852</v>
      </c>
      <c r="C198" s="28">
        <v>2</v>
      </c>
      <c r="D198" s="29">
        <v>9.1</v>
      </c>
      <c r="E198" s="29">
        <v>18.2</v>
      </c>
      <c r="F198" s="30">
        <v>19.989999999999998</v>
      </c>
      <c r="G198" s="29">
        <v>39.979999999999997</v>
      </c>
      <c r="H198" s="28" t="s">
        <v>305</v>
      </c>
      <c r="I198" s="27" t="s">
        <v>189</v>
      </c>
      <c r="J198" s="31" t="s">
        <v>21</v>
      </c>
      <c r="K198" s="27" t="s">
        <v>224</v>
      </c>
      <c r="L198" s="27" t="s">
        <v>276</v>
      </c>
      <c r="M198" s="32" t="str">
        <f>HYPERLINK("http://slimages.macys.com/is/image/MCY/3820952 ")</f>
        <v xml:space="preserve">http://slimages.macys.com/is/image/MCY/3820952 </v>
      </c>
    </row>
    <row r="199" spans="1:13" ht="15.2" customHeight="1" x14ac:dyDescent="0.2">
      <c r="A199" s="26" t="s">
        <v>10088</v>
      </c>
      <c r="B199" s="27" t="s">
        <v>10089</v>
      </c>
      <c r="C199" s="28">
        <v>1</v>
      </c>
      <c r="D199" s="29">
        <v>9.1</v>
      </c>
      <c r="E199" s="29">
        <v>9.1</v>
      </c>
      <c r="F199" s="30">
        <v>19.989999999999998</v>
      </c>
      <c r="G199" s="29">
        <v>19.989999999999998</v>
      </c>
      <c r="H199" s="28" t="s">
        <v>1353</v>
      </c>
      <c r="I199" s="27" t="s">
        <v>1311</v>
      </c>
      <c r="J199" s="31" t="s">
        <v>52</v>
      </c>
      <c r="K199" s="27" t="s">
        <v>224</v>
      </c>
      <c r="L199" s="27" t="s">
        <v>276</v>
      </c>
      <c r="M199" s="32" t="str">
        <f>HYPERLINK("http://slimages.macys.com/is/image/MCY/3820944 ")</f>
        <v xml:space="preserve">http://slimages.macys.com/is/image/MCY/3820944 </v>
      </c>
    </row>
    <row r="200" spans="1:13" ht="15.2" customHeight="1" x14ac:dyDescent="0.2">
      <c r="A200" s="26" t="s">
        <v>1847</v>
      </c>
      <c r="B200" s="27" t="s">
        <v>1848</v>
      </c>
      <c r="C200" s="28">
        <v>1</v>
      </c>
      <c r="D200" s="29">
        <v>9.1</v>
      </c>
      <c r="E200" s="29">
        <v>9.1</v>
      </c>
      <c r="F200" s="30">
        <v>19.989999999999998</v>
      </c>
      <c r="G200" s="29">
        <v>19.989999999999998</v>
      </c>
      <c r="H200" s="28" t="s">
        <v>305</v>
      </c>
      <c r="I200" s="27" t="s">
        <v>189</v>
      </c>
      <c r="J200" s="31" t="s">
        <v>5</v>
      </c>
      <c r="K200" s="27" t="s">
        <v>224</v>
      </c>
      <c r="L200" s="27" t="s">
        <v>276</v>
      </c>
      <c r="M200" s="32" t="str">
        <f>HYPERLINK("http://slimages.macys.com/is/image/MCY/3821780 ")</f>
        <v xml:space="preserve">http://slimages.macys.com/is/image/MCY/3821780 </v>
      </c>
    </row>
    <row r="201" spans="1:13" ht="15.2" customHeight="1" x14ac:dyDescent="0.2">
      <c r="A201" s="26" t="s">
        <v>2959</v>
      </c>
      <c r="B201" s="27" t="s">
        <v>2960</v>
      </c>
      <c r="C201" s="28">
        <v>1</v>
      </c>
      <c r="D201" s="29">
        <v>9.0500000000000007</v>
      </c>
      <c r="E201" s="29">
        <v>9.0500000000000007</v>
      </c>
      <c r="F201" s="30">
        <v>21.99</v>
      </c>
      <c r="G201" s="29">
        <v>21.99</v>
      </c>
      <c r="H201" s="28" t="s">
        <v>2961</v>
      </c>
      <c r="I201" s="27" t="s">
        <v>4</v>
      </c>
      <c r="J201" s="31" t="s">
        <v>40</v>
      </c>
      <c r="K201" s="27" t="s">
        <v>159</v>
      </c>
      <c r="L201" s="27" t="s">
        <v>160</v>
      </c>
      <c r="M201" s="32" t="str">
        <f>HYPERLINK("http://slimages.macys.com/is/image/MCY/3597160 ")</f>
        <v xml:space="preserve">http://slimages.macys.com/is/image/MCY/3597160 </v>
      </c>
    </row>
    <row r="202" spans="1:13" ht="15.2" customHeight="1" x14ac:dyDescent="0.2">
      <c r="A202" s="26" t="s">
        <v>2248</v>
      </c>
      <c r="B202" s="27" t="s">
        <v>2249</v>
      </c>
      <c r="C202" s="28">
        <v>1</v>
      </c>
      <c r="D202" s="29">
        <v>9</v>
      </c>
      <c r="E202" s="29">
        <v>9</v>
      </c>
      <c r="F202" s="30">
        <v>19.989999999999998</v>
      </c>
      <c r="G202" s="29">
        <v>19.989999999999998</v>
      </c>
      <c r="H202" s="28" t="s">
        <v>311</v>
      </c>
      <c r="I202" s="27" t="s">
        <v>10</v>
      </c>
      <c r="J202" s="31" t="s">
        <v>21</v>
      </c>
      <c r="K202" s="27" t="s">
        <v>196</v>
      </c>
      <c r="L202" s="27" t="s">
        <v>239</v>
      </c>
      <c r="M202" s="32" t="str">
        <f>HYPERLINK("http://slimages.macys.com/is/image/MCY/3890895 ")</f>
        <v xml:space="preserve">http://slimages.macys.com/is/image/MCY/3890895 </v>
      </c>
    </row>
    <row r="203" spans="1:13" ht="15.2" customHeight="1" x14ac:dyDescent="0.2">
      <c r="A203" s="26" t="s">
        <v>7042</v>
      </c>
      <c r="B203" s="27" t="s">
        <v>7043</v>
      </c>
      <c r="C203" s="28">
        <v>1</v>
      </c>
      <c r="D203" s="29">
        <v>9</v>
      </c>
      <c r="E203" s="29">
        <v>9</v>
      </c>
      <c r="F203" s="30">
        <v>19.989999999999998</v>
      </c>
      <c r="G203" s="29">
        <v>19.989999999999998</v>
      </c>
      <c r="H203" s="28" t="s">
        <v>311</v>
      </c>
      <c r="I203" s="27" t="s">
        <v>10</v>
      </c>
      <c r="J203" s="31" t="s">
        <v>40</v>
      </c>
      <c r="K203" s="27" t="s">
        <v>196</v>
      </c>
      <c r="L203" s="27" t="s">
        <v>239</v>
      </c>
      <c r="M203" s="32" t="str">
        <f>HYPERLINK("http://slimages.macys.com/is/image/MCY/3890895 ")</f>
        <v xml:space="preserve">http://slimages.macys.com/is/image/MCY/3890895 </v>
      </c>
    </row>
    <row r="204" spans="1:13" ht="15.2" customHeight="1" x14ac:dyDescent="0.2">
      <c r="A204" s="26" t="s">
        <v>8825</v>
      </c>
      <c r="B204" s="27" t="s">
        <v>8826</v>
      </c>
      <c r="C204" s="28">
        <v>1</v>
      </c>
      <c r="D204" s="29">
        <v>9</v>
      </c>
      <c r="E204" s="29">
        <v>9</v>
      </c>
      <c r="F204" s="30">
        <v>39</v>
      </c>
      <c r="G204" s="29">
        <v>39</v>
      </c>
      <c r="H204" s="28" t="s">
        <v>1354</v>
      </c>
      <c r="I204" s="27" t="s">
        <v>1467</v>
      </c>
      <c r="J204" s="31" t="s">
        <v>71</v>
      </c>
      <c r="K204" s="27" t="s">
        <v>154</v>
      </c>
      <c r="L204" s="27" t="s">
        <v>155</v>
      </c>
      <c r="M204" s="32" t="str">
        <f>HYPERLINK("http://slimages.macys.com/is/image/MCY/3563038 ")</f>
        <v xml:space="preserve">http://slimages.macys.com/is/image/MCY/3563038 </v>
      </c>
    </row>
    <row r="205" spans="1:13" ht="15.2" customHeight="1" x14ac:dyDescent="0.2">
      <c r="A205" s="26" t="s">
        <v>11472</v>
      </c>
      <c r="B205" s="27" t="s">
        <v>11473</v>
      </c>
      <c r="C205" s="28">
        <v>1</v>
      </c>
      <c r="D205" s="29">
        <v>9</v>
      </c>
      <c r="E205" s="29">
        <v>9</v>
      </c>
      <c r="F205" s="30">
        <v>24.99</v>
      </c>
      <c r="G205" s="29">
        <v>24.99</v>
      </c>
      <c r="H205" s="28" t="s">
        <v>1855</v>
      </c>
      <c r="I205" s="27" t="s">
        <v>189</v>
      </c>
      <c r="J205" s="31" t="s">
        <v>52</v>
      </c>
      <c r="K205" s="27" t="s">
        <v>224</v>
      </c>
      <c r="L205" s="27" t="s">
        <v>260</v>
      </c>
      <c r="M205" s="32" t="str">
        <f>HYPERLINK("http://slimages.macys.com/is/image/MCY/3734925 ")</f>
        <v xml:space="preserve">http://slimages.macys.com/is/image/MCY/3734925 </v>
      </c>
    </row>
    <row r="206" spans="1:13" ht="15.2" customHeight="1" x14ac:dyDescent="0.2">
      <c r="A206" s="26" t="s">
        <v>818</v>
      </c>
      <c r="B206" s="27" t="s">
        <v>819</v>
      </c>
      <c r="C206" s="28">
        <v>1</v>
      </c>
      <c r="D206" s="29">
        <v>9</v>
      </c>
      <c r="E206" s="29">
        <v>9</v>
      </c>
      <c r="F206" s="30">
        <v>19.989999999999998</v>
      </c>
      <c r="G206" s="29">
        <v>19.989999999999998</v>
      </c>
      <c r="H206" s="28" t="s">
        <v>820</v>
      </c>
      <c r="I206" s="27" t="s">
        <v>215</v>
      </c>
      <c r="J206" s="31" t="s">
        <v>40</v>
      </c>
      <c r="K206" s="27" t="s">
        <v>196</v>
      </c>
      <c r="L206" s="27" t="s">
        <v>239</v>
      </c>
      <c r="M206" s="32" t="str">
        <f>HYPERLINK("http://slimages.macys.com/is/image/MCY/3890920 ")</f>
        <v xml:space="preserve">http://slimages.macys.com/is/image/MCY/3890920 </v>
      </c>
    </row>
    <row r="207" spans="1:13" ht="15.2" customHeight="1" x14ac:dyDescent="0.2">
      <c r="A207" s="26" t="s">
        <v>11474</v>
      </c>
      <c r="B207" s="27" t="s">
        <v>11475</v>
      </c>
      <c r="C207" s="28">
        <v>1</v>
      </c>
      <c r="D207" s="29">
        <v>8.85</v>
      </c>
      <c r="E207" s="29">
        <v>8.85</v>
      </c>
      <c r="F207" s="30">
        <v>19.989999999999998</v>
      </c>
      <c r="G207" s="29">
        <v>19.989999999999998</v>
      </c>
      <c r="H207" s="28">
        <v>512215</v>
      </c>
      <c r="I207" s="27" t="s">
        <v>82</v>
      </c>
      <c r="J207" s="31" t="s">
        <v>21</v>
      </c>
      <c r="K207" s="27" t="s">
        <v>196</v>
      </c>
      <c r="L207" s="27" t="s">
        <v>1808</v>
      </c>
      <c r="M207" s="32" t="str">
        <f>HYPERLINK("http://slimages.macys.com/is/image/MCY/3787589 ")</f>
        <v xml:space="preserve">http://slimages.macys.com/is/image/MCY/3787589 </v>
      </c>
    </row>
    <row r="208" spans="1:13" ht="15.2" customHeight="1" x14ac:dyDescent="0.2">
      <c r="A208" s="26" t="s">
        <v>11476</v>
      </c>
      <c r="B208" s="27" t="s">
        <v>11477</v>
      </c>
      <c r="C208" s="28">
        <v>1</v>
      </c>
      <c r="D208" s="29">
        <v>8.75</v>
      </c>
      <c r="E208" s="29">
        <v>8.75</v>
      </c>
      <c r="F208" s="30">
        <v>19.989999999999998</v>
      </c>
      <c r="G208" s="29">
        <v>19.989999999999998</v>
      </c>
      <c r="H208" s="28" t="s">
        <v>2252</v>
      </c>
      <c r="I208" s="27" t="s">
        <v>8</v>
      </c>
      <c r="J208" s="31" t="s">
        <v>21</v>
      </c>
      <c r="K208" s="27" t="s">
        <v>196</v>
      </c>
      <c r="L208" s="27" t="s">
        <v>260</v>
      </c>
      <c r="M208" s="32" t="str">
        <f>HYPERLINK("http://slimages.macys.com/is/image/MCY/3623304 ")</f>
        <v xml:space="preserve">http://slimages.macys.com/is/image/MCY/3623304 </v>
      </c>
    </row>
    <row r="209" spans="1:13" ht="15.2" customHeight="1" x14ac:dyDescent="0.2">
      <c r="A209" s="26" t="s">
        <v>5439</v>
      </c>
      <c r="B209" s="27" t="s">
        <v>5440</v>
      </c>
      <c r="C209" s="28">
        <v>2</v>
      </c>
      <c r="D209" s="29">
        <v>8.75</v>
      </c>
      <c r="E209" s="29">
        <v>17.5</v>
      </c>
      <c r="F209" s="30">
        <v>19.989999999999998</v>
      </c>
      <c r="G209" s="29">
        <v>39.979999999999997</v>
      </c>
      <c r="H209" s="28">
        <v>60433875</v>
      </c>
      <c r="I209" s="27" t="s">
        <v>4</v>
      </c>
      <c r="J209" s="31" t="s">
        <v>71</v>
      </c>
      <c r="K209" s="27" t="s">
        <v>224</v>
      </c>
      <c r="L209" s="27" t="s">
        <v>255</v>
      </c>
      <c r="M209" s="32" t="str">
        <f>HYPERLINK("http://slimages.macys.com/is/image/MCY/3915853 ")</f>
        <v xml:space="preserve">http://slimages.macys.com/is/image/MCY/3915853 </v>
      </c>
    </row>
    <row r="210" spans="1:13" ht="15.2" customHeight="1" x14ac:dyDescent="0.2">
      <c r="A210" s="26" t="s">
        <v>6041</v>
      </c>
      <c r="B210" s="27" t="s">
        <v>6042</v>
      </c>
      <c r="C210" s="28">
        <v>1</v>
      </c>
      <c r="D210" s="29">
        <v>8.6</v>
      </c>
      <c r="E210" s="29">
        <v>8.6</v>
      </c>
      <c r="F210" s="30">
        <v>19.989999999999998</v>
      </c>
      <c r="G210" s="29">
        <v>19.989999999999998</v>
      </c>
      <c r="H210" s="28" t="s">
        <v>821</v>
      </c>
      <c r="I210" s="27" t="s">
        <v>33</v>
      </c>
      <c r="J210" s="31" t="s">
        <v>21</v>
      </c>
      <c r="K210" s="27" t="s">
        <v>196</v>
      </c>
      <c r="L210" s="27" t="s">
        <v>239</v>
      </c>
      <c r="M210" s="32" t="str">
        <f>HYPERLINK("http://slimages.macys.com/is/image/MCY/3890894 ")</f>
        <v xml:space="preserve">http://slimages.macys.com/is/image/MCY/3890894 </v>
      </c>
    </row>
    <row r="211" spans="1:13" ht="15.2" customHeight="1" x14ac:dyDescent="0.2">
      <c r="A211" s="26" t="s">
        <v>11478</v>
      </c>
      <c r="B211" s="27" t="s">
        <v>11479</v>
      </c>
      <c r="C211" s="28">
        <v>1</v>
      </c>
      <c r="D211" s="29">
        <v>8.5500000000000007</v>
      </c>
      <c r="E211" s="29">
        <v>8.5500000000000007</v>
      </c>
      <c r="F211" s="30">
        <v>19.989999999999998</v>
      </c>
      <c r="G211" s="29">
        <v>19.989999999999998</v>
      </c>
      <c r="H211" s="28" t="s">
        <v>1365</v>
      </c>
      <c r="I211" s="27" t="s">
        <v>215</v>
      </c>
      <c r="J211" s="31" t="s">
        <v>5</v>
      </c>
      <c r="K211" s="27" t="s">
        <v>224</v>
      </c>
      <c r="L211" s="27" t="s">
        <v>254</v>
      </c>
      <c r="M211" s="32" t="str">
        <f>HYPERLINK("http://slimages.macys.com/is/image/MCY/3815102 ")</f>
        <v xml:space="preserve">http://slimages.macys.com/is/image/MCY/3815102 </v>
      </c>
    </row>
    <row r="212" spans="1:13" ht="15.2" customHeight="1" x14ac:dyDescent="0.2">
      <c r="A212" s="26" t="s">
        <v>8829</v>
      </c>
      <c r="B212" s="27" t="s">
        <v>8830</v>
      </c>
      <c r="C212" s="28">
        <v>1</v>
      </c>
      <c r="D212" s="29">
        <v>8.5</v>
      </c>
      <c r="E212" s="29">
        <v>8.5</v>
      </c>
      <c r="F212" s="30">
        <v>19.989999999999998</v>
      </c>
      <c r="G212" s="29">
        <v>19.989999999999998</v>
      </c>
      <c r="H212" s="28" t="s">
        <v>1374</v>
      </c>
      <c r="I212" s="27" t="s">
        <v>82</v>
      </c>
      <c r="J212" s="31" t="s">
        <v>71</v>
      </c>
      <c r="K212" s="27" t="s">
        <v>196</v>
      </c>
      <c r="L212" s="27" t="s">
        <v>322</v>
      </c>
      <c r="M212" s="32" t="str">
        <f>HYPERLINK("http://slimages.macys.com/is/image/MCY/3915487 ")</f>
        <v xml:space="preserve">http://slimages.macys.com/is/image/MCY/3915487 </v>
      </c>
    </row>
    <row r="213" spans="1:13" ht="15.2" customHeight="1" x14ac:dyDescent="0.2">
      <c r="A213" s="26" t="s">
        <v>11480</v>
      </c>
      <c r="B213" s="27" t="s">
        <v>11481</v>
      </c>
      <c r="C213" s="28">
        <v>2</v>
      </c>
      <c r="D213" s="29">
        <v>8.5</v>
      </c>
      <c r="E213" s="29">
        <v>17</v>
      </c>
      <c r="F213" s="30">
        <v>19.989999999999998</v>
      </c>
      <c r="G213" s="29">
        <v>39.979999999999997</v>
      </c>
      <c r="H213" s="28" t="s">
        <v>11482</v>
      </c>
      <c r="I213" s="27" t="s">
        <v>94</v>
      </c>
      <c r="J213" s="31" t="s">
        <v>40</v>
      </c>
      <c r="K213" s="27" t="s">
        <v>196</v>
      </c>
      <c r="L213" s="27" t="s">
        <v>1859</v>
      </c>
      <c r="M213" s="32" t="str">
        <f>HYPERLINK("http://slimages.macys.com/is/image/MCY/3733833 ")</f>
        <v xml:space="preserve">http://slimages.macys.com/is/image/MCY/3733833 </v>
      </c>
    </row>
    <row r="214" spans="1:13" ht="15.2" customHeight="1" x14ac:dyDescent="0.2">
      <c r="A214" s="26" t="s">
        <v>11483</v>
      </c>
      <c r="B214" s="27" t="s">
        <v>11484</v>
      </c>
      <c r="C214" s="28">
        <v>1</v>
      </c>
      <c r="D214" s="29">
        <v>8.5</v>
      </c>
      <c r="E214" s="29">
        <v>8.5</v>
      </c>
      <c r="F214" s="30">
        <v>19.989999999999998</v>
      </c>
      <c r="G214" s="29">
        <v>19.989999999999998</v>
      </c>
      <c r="H214" s="28" t="s">
        <v>321</v>
      </c>
      <c r="I214" s="27" t="s">
        <v>4</v>
      </c>
      <c r="J214" s="31" t="s">
        <v>52</v>
      </c>
      <c r="K214" s="27" t="s">
        <v>196</v>
      </c>
      <c r="L214" s="27" t="s">
        <v>322</v>
      </c>
      <c r="M214" s="32" t="str">
        <f>HYPERLINK("http://slimages.macys.com/is/image/MCY/3910788 ")</f>
        <v xml:space="preserve">http://slimages.macys.com/is/image/MCY/3910788 </v>
      </c>
    </row>
    <row r="215" spans="1:13" ht="15.2" customHeight="1" x14ac:dyDescent="0.2">
      <c r="A215" s="26" t="s">
        <v>2283</v>
      </c>
      <c r="B215" s="27" t="s">
        <v>2284</v>
      </c>
      <c r="C215" s="28">
        <v>2</v>
      </c>
      <c r="D215" s="29">
        <v>8.5</v>
      </c>
      <c r="E215" s="29">
        <v>17</v>
      </c>
      <c r="F215" s="30">
        <v>19.989999999999998</v>
      </c>
      <c r="G215" s="29">
        <v>39.979999999999997</v>
      </c>
      <c r="H215" s="28" t="s">
        <v>323</v>
      </c>
      <c r="I215" s="27" t="s">
        <v>189</v>
      </c>
      <c r="J215" s="31" t="s">
        <v>21</v>
      </c>
      <c r="K215" s="27" t="s">
        <v>196</v>
      </c>
      <c r="L215" s="27" t="s">
        <v>239</v>
      </c>
      <c r="M215" s="32" t="str">
        <f>HYPERLINK("http://slimages.macys.com/is/image/MCY/3890900 ")</f>
        <v xml:space="preserve">http://slimages.macys.com/is/image/MCY/3890900 </v>
      </c>
    </row>
    <row r="216" spans="1:13" ht="15.2" customHeight="1" x14ac:dyDescent="0.2">
      <c r="A216" s="26" t="s">
        <v>831</v>
      </c>
      <c r="B216" s="27" t="s">
        <v>832</v>
      </c>
      <c r="C216" s="28">
        <v>1</v>
      </c>
      <c r="D216" s="29">
        <v>8.5</v>
      </c>
      <c r="E216" s="29">
        <v>8.5</v>
      </c>
      <c r="F216" s="30">
        <v>19.989999999999998</v>
      </c>
      <c r="G216" s="29">
        <v>19.989999999999998</v>
      </c>
      <c r="H216" s="28" t="s">
        <v>323</v>
      </c>
      <c r="I216" s="27" t="s">
        <v>1</v>
      </c>
      <c r="J216" s="31" t="s">
        <v>52</v>
      </c>
      <c r="K216" s="27" t="s">
        <v>196</v>
      </c>
      <c r="L216" s="27" t="s">
        <v>239</v>
      </c>
      <c r="M216" s="32" t="str">
        <f>HYPERLINK("http://slimages.macys.com/is/image/MCY/3890900 ")</f>
        <v xml:space="preserve">http://slimages.macys.com/is/image/MCY/3890900 </v>
      </c>
    </row>
    <row r="217" spans="1:13" ht="15.2" customHeight="1" x14ac:dyDescent="0.2">
      <c r="A217" s="26" t="s">
        <v>1872</v>
      </c>
      <c r="B217" s="27" t="s">
        <v>1873</v>
      </c>
      <c r="C217" s="28">
        <v>1</v>
      </c>
      <c r="D217" s="29">
        <v>8.5</v>
      </c>
      <c r="E217" s="29">
        <v>8.5</v>
      </c>
      <c r="F217" s="30">
        <v>19.989999999999998</v>
      </c>
      <c r="G217" s="29">
        <v>19.989999999999998</v>
      </c>
      <c r="H217" s="28">
        <v>60433871</v>
      </c>
      <c r="I217" s="27" t="s">
        <v>103</v>
      </c>
      <c r="J217" s="31" t="s">
        <v>71</v>
      </c>
      <c r="K217" s="27" t="s">
        <v>224</v>
      </c>
      <c r="L217" s="27" t="s">
        <v>255</v>
      </c>
      <c r="M217" s="32" t="str">
        <f>HYPERLINK("http://slimages.macys.com/is/image/MCY/3910875 ")</f>
        <v xml:space="preserve">http://slimages.macys.com/is/image/MCY/3910875 </v>
      </c>
    </row>
    <row r="218" spans="1:13" ht="15.2" customHeight="1" x14ac:dyDescent="0.2">
      <c r="A218" s="26" t="s">
        <v>2281</v>
      </c>
      <c r="B218" s="27" t="s">
        <v>2282</v>
      </c>
      <c r="C218" s="28">
        <v>1</v>
      </c>
      <c r="D218" s="29">
        <v>8.5</v>
      </c>
      <c r="E218" s="29">
        <v>8.5</v>
      </c>
      <c r="F218" s="30">
        <v>19.989999999999998</v>
      </c>
      <c r="G218" s="29">
        <v>19.989999999999998</v>
      </c>
      <c r="H218" s="28" t="s">
        <v>321</v>
      </c>
      <c r="I218" s="27" t="s">
        <v>4</v>
      </c>
      <c r="J218" s="31" t="s">
        <v>5</v>
      </c>
      <c r="K218" s="27" t="s">
        <v>196</v>
      </c>
      <c r="L218" s="27" t="s">
        <v>322</v>
      </c>
      <c r="M218" s="32" t="str">
        <f>HYPERLINK("http://slimages.macys.com/is/image/MCY/3910788 ")</f>
        <v xml:space="preserve">http://slimages.macys.com/is/image/MCY/3910788 </v>
      </c>
    </row>
    <row r="219" spans="1:13" ht="15.2" customHeight="1" x14ac:dyDescent="0.2">
      <c r="A219" s="26" t="s">
        <v>11485</v>
      </c>
      <c r="B219" s="27" t="s">
        <v>11486</v>
      </c>
      <c r="C219" s="28">
        <v>1</v>
      </c>
      <c r="D219" s="29">
        <v>8.5</v>
      </c>
      <c r="E219" s="29">
        <v>8.5</v>
      </c>
      <c r="F219" s="30">
        <v>19.989999999999998</v>
      </c>
      <c r="G219" s="29">
        <v>19.989999999999998</v>
      </c>
      <c r="H219" s="28" t="s">
        <v>3872</v>
      </c>
      <c r="I219" s="27" t="s">
        <v>274</v>
      </c>
      <c r="J219" s="31" t="s">
        <v>52</v>
      </c>
      <c r="K219" s="27" t="s">
        <v>196</v>
      </c>
      <c r="L219" s="27" t="s">
        <v>256</v>
      </c>
      <c r="M219" s="32" t="str">
        <f>HYPERLINK("http://slimages.macys.com/is/image/MCY/3651029 ")</f>
        <v xml:space="preserve">http://slimages.macys.com/is/image/MCY/3651029 </v>
      </c>
    </row>
    <row r="220" spans="1:13" ht="15.2" customHeight="1" x14ac:dyDescent="0.2">
      <c r="A220" s="26" t="s">
        <v>1878</v>
      </c>
      <c r="B220" s="27" t="s">
        <v>1879</v>
      </c>
      <c r="C220" s="28">
        <v>2</v>
      </c>
      <c r="D220" s="29">
        <v>8.5</v>
      </c>
      <c r="E220" s="29">
        <v>17</v>
      </c>
      <c r="F220" s="30">
        <v>19.989999999999998</v>
      </c>
      <c r="G220" s="29">
        <v>39.979999999999997</v>
      </c>
      <c r="H220" s="28" t="s">
        <v>1880</v>
      </c>
      <c r="I220" s="27" t="s">
        <v>4</v>
      </c>
      <c r="J220" s="31" t="s">
        <v>40</v>
      </c>
      <c r="K220" s="27" t="s">
        <v>196</v>
      </c>
      <c r="L220" s="27" t="s">
        <v>1329</v>
      </c>
      <c r="M220" s="32" t="str">
        <f>HYPERLINK("http://slimages.macys.com/is/image/MCY/3947073 ")</f>
        <v xml:space="preserve">http://slimages.macys.com/is/image/MCY/3947073 </v>
      </c>
    </row>
    <row r="221" spans="1:13" ht="15.2" customHeight="1" x14ac:dyDescent="0.2">
      <c r="A221" s="26" t="s">
        <v>2657</v>
      </c>
      <c r="B221" s="27" t="s">
        <v>2658</v>
      </c>
      <c r="C221" s="28">
        <v>1</v>
      </c>
      <c r="D221" s="29">
        <v>8.5</v>
      </c>
      <c r="E221" s="29">
        <v>8.5</v>
      </c>
      <c r="F221" s="30">
        <v>19.989999999999998</v>
      </c>
      <c r="G221" s="29">
        <v>19.989999999999998</v>
      </c>
      <c r="H221" s="28" t="s">
        <v>334</v>
      </c>
      <c r="I221" s="27" t="s">
        <v>33</v>
      </c>
      <c r="J221" s="31" t="s">
        <v>40</v>
      </c>
      <c r="K221" s="27" t="s">
        <v>196</v>
      </c>
      <c r="L221" s="27" t="s">
        <v>239</v>
      </c>
      <c r="M221" s="32" t="str">
        <f>HYPERLINK("http://slimages.macys.com/is/image/MCY/3890886 ")</f>
        <v xml:space="preserve">http://slimages.macys.com/is/image/MCY/3890886 </v>
      </c>
    </row>
    <row r="222" spans="1:13" ht="15.2" customHeight="1" x14ac:dyDescent="0.2">
      <c r="A222" s="26" t="s">
        <v>1870</v>
      </c>
      <c r="B222" s="27" t="s">
        <v>1871</v>
      </c>
      <c r="C222" s="28">
        <v>2</v>
      </c>
      <c r="D222" s="29">
        <v>8.5</v>
      </c>
      <c r="E222" s="29">
        <v>17</v>
      </c>
      <c r="F222" s="30">
        <v>19.989999999999998</v>
      </c>
      <c r="G222" s="29">
        <v>39.979999999999997</v>
      </c>
      <c r="H222" s="28" t="s">
        <v>334</v>
      </c>
      <c r="I222" s="27" t="s">
        <v>33</v>
      </c>
      <c r="J222" s="31" t="s">
        <v>71</v>
      </c>
      <c r="K222" s="27" t="s">
        <v>196</v>
      </c>
      <c r="L222" s="27" t="s">
        <v>239</v>
      </c>
      <c r="M222" s="32" t="str">
        <f>HYPERLINK("http://slimages.macys.com/is/image/MCY/3890886 ")</f>
        <v xml:space="preserve">http://slimages.macys.com/is/image/MCY/3890886 </v>
      </c>
    </row>
    <row r="223" spans="1:13" ht="15.2" customHeight="1" x14ac:dyDescent="0.2">
      <c r="A223" s="26" t="s">
        <v>1876</v>
      </c>
      <c r="B223" s="27" t="s">
        <v>1877</v>
      </c>
      <c r="C223" s="28">
        <v>3</v>
      </c>
      <c r="D223" s="29">
        <v>8.5</v>
      </c>
      <c r="E223" s="29">
        <v>25.5</v>
      </c>
      <c r="F223" s="30">
        <v>19.989999999999998</v>
      </c>
      <c r="G223" s="29">
        <v>59.97</v>
      </c>
      <c r="H223" s="28" t="s">
        <v>334</v>
      </c>
      <c r="I223" s="27" t="s">
        <v>33</v>
      </c>
      <c r="J223" s="31" t="s">
        <v>5</v>
      </c>
      <c r="K223" s="27" t="s">
        <v>196</v>
      </c>
      <c r="L223" s="27" t="s">
        <v>239</v>
      </c>
      <c r="M223" s="32" t="str">
        <f>HYPERLINK("http://slimages.macys.com/is/image/MCY/3890886 ")</f>
        <v xml:space="preserve">http://slimages.macys.com/is/image/MCY/3890886 </v>
      </c>
    </row>
    <row r="224" spans="1:13" ht="15.2" customHeight="1" x14ac:dyDescent="0.2">
      <c r="A224" s="26" t="s">
        <v>828</v>
      </c>
      <c r="B224" s="27" t="s">
        <v>829</v>
      </c>
      <c r="C224" s="28">
        <v>1</v>
      </c>
      <c r="D224" s="29">
        <v>8.5</v>
      </c>
      <c r="E224" s="29">
        <v>8.5</v>
      </c>
      <c r="F224" s="30">
        <v>19.989999999999998</v>
      </c>
      <c r="G224" s="29">
        <v>19.989999999999998</v>
      </c>
      <c r="H224" s="28" t="s">
        <v>830</v>
      </c>
      <c r="I224" s="27" t="s">
        <v>4</v>
      </c>
      <c r="J224" s="31" t="s">
        <v>5</v>
      </c>
      <c r="K224" s="27" t="s">
        <v>282</v>
      </c>
      <c r="L224" s="27" t="s">
        <v>312</v>
      </c>
      <c r="M224" s="32" t="str">
        <f>HYPERLINK("http://slimages.macys.com/is/image/MCY/3853693 ")</f>
        <v xml:space="preserve">http://slimages.macys.com/is/image/MCY/3853693 </v>
      </c>
    </row>
    <row r="225" spans="1:13" ht="15.2" customHeight="1" x14ac:dyDescent="0.2">
      <c r="A225" s="26" t="s">
        <v>1865</v>
      </c>
      <c r="B225" s="27" t="s">
        <v>1866</v>
      </c>
      <c r="C225" s="28">
        <v>1</v>
      </c>
      <c r="D225" s="29">
        <v>8.5</v>
      </c>
      <c r="E225" s="29">
        <v>8.5</v>
      </c>
      <c r="F225" s="30">
        <v>19.989999999999998</v>
      </c>
      <c r="G225" s="29">
        <v>19.989999999999998</v>
      </c>
      <c r="H225" s="28" t="s">
        <v>1867</v>
      </c>
      <c r="I225" s="27" t="s">
        <v>343</v>
      </c>
      <c r="J225" s="31" t="s">
        <v>21</v>
      </c>
      <c r="K225" s="27" t="s">
        <v>282</v>
      </c>
      <c r="L225" s="27" t="s">
        <v>312</v>
      </c>
      <c r="M225" s="32" t="str">
        <f>HYPERLINK("http://slimages.macys.com/is/image/MCY/3905651 ")</f>
        <v xml:space="preserve">http://slimages.macys.com/is/image/MCY/3905651 </v>
      </c>
    </row>
    <row r="226" spans="1:13" ht="15.2" customHeight="1" x14ac:dyDescent="0.2">
      <c r="A226" s="26" t="s">
        <v>1375</v>
      </c>
      <c r="B226" s="27" t="s">
        <v>1376</v>
      </c>
      <c r="C226" s="28">
        <v>2</v>
      </c>
      <c r="D226" s="29">
        <v>8.5</v>
      </c>
      <c r="E226" s="29">
        <v>17</v>
      </c>
      <c r="F226" s="30">
        <v>22.99</v>
      </c>
      <c r="G226" s="29">
        <v>45.98</v>
      </c>
      <c r="H226" s="28" t="s">
        <v>1377</v>
      </c>
      <c r="I226" s="27" t="s">
        <v>59</v>
      </c>
      <c r="J226" s="31" t="s">
        <v>21</v>
      </c>
      <c r="K226" s="27" t="s">
        <v>200</v>
      </c>
      <c r="L226" s="27" t="s">
        <v>325</v>
      </c>
      <c r="M226" s="32" t="str">
        <f>HYPERLINK("http://slimages.macys.com/is/image/MCY/3937156 ")</f>
        <v xml:space="preserve">http://slimages.macys.com/is/image/MCY/3937156 </v>
      </c>
    </row>
    <row r="227" spans="1:13" ht="15.2" customHeight="1" x14ac:dyDescent="0.2">
      <c r="A227" s="26" t="s">
        <v>1381</v>
      </c>
      <c r="B227" s="27" t="s">
        <v>1382</v>
      </c>
      <c r="C227" s="28">
        <v>1</v>
      </c>
      <c r="D227" s="29">
        <v>8.5</v>
      </c>
      <c r="E227" s="29">
        <v>8.5</v>
      </c>
      <c r="F227" s="30">
        <v>22.99</v>
      </c>
      <c r="G227" s="29">
        <v>22.99</v>
      </c>
      <c r="H227" s="28" t="s">
        <v>1377</v>
      </c>
      <c r="I227" s="27" t="s">
        <v>59</v>
      </c>
      <c r="J227" s="31" t="s">
        <v>5</v>
      </c>
      <c r="K227" s="27" t="s">
        <v>200</v>
      </c>
      <c r="L227" s="27" t="s">
        <v>325</v>
      </c>
      <c r="M227" s="32" t="str">
        <f>HYPERLINK("http://slimages.macys.com/is/image/MCY/3937156 ")</f>
        <v xml:space="preserve">http://slimages.macys.com/is/image/MCY/3937156 </v>
      </c>
    </row>
    <row r="228" spans="1:13" ht="15.2" customHeight="1" x14ac:dyDescent="0.2">
      <c r="A228" s="26" t="s">
        <v>7068</v>
      </c>
      <c r="B228" s="27" t="s">
        <v>7069</v>
      </c>
      <c r="C228" s="28">
        <v>1</v>
      </c>
      <c r="D228" s="29">
        <v>8.5</v>
      </c>
      <c r="E228" s="29">
        <v>8.5</v>
      </c>
      <c r="F228" s="30">
        <v>19.989999999999998</v>
      </c>
      <c r="G228" s="29">
        <v>19.989999999999998</v>
      </c>
      <c r="H228" s="28" t="s">
        <v>321</v>
      </c>
      <c r="I228" s="27" t="s">
        <v>280</v>
      </c>
      <c r="J228" s="31" t="s">
        <v>5</v>
      </c>
      <c r="K228" s="27" t="s">
        <v>196</v>
      </c>
      <c r="L228" s="27" t="s">
        <v>322</v>
      </c>
      <c r="M228" s="32" t="str">
        <f>HYPERLINK("http://slimages.macys.com/is/image/MCY/3910788 ")</f>
        <v xml:space="preserve">http://slimages.macys.com/is/image/MCY/3910788 </v>
      </c>
    </row>
    <row r="229" spans="1:13" ht="15.2" customHeight="1" x14ac:dyDescent="0.2">
      <c r="A229" s="26" t="s">
        <v>2285</v>
      </c>
      <c r="B229" s="27" t="s">
        <v>2286</v>
      </c>
      <c r="C229" s="28">
        <v>1</v>
      </c>
      <c r="D229" s="29">
        <v>8.5</v>
      </c>
      <c r="E229" s="29">
        <v>8.5</v>
      </c>
      <c r="F229" s="30">
        <v>19.989999999999998</v>
      </c>
      <c r="G229" s="29">
        <v>19.989999999999998</v>
      </c>
      <c r="H229" s="28" t="s">
        <v>323</v>
      </c>
      <c r="I229" s="27" t="s">
        <v>33</v>
      </c>
      <c r="J229" s="31" t="s">
        <v>21</v>
      </c>
      <c r="K229" s="27" t="s">
        <v>196</v>
      </c>
      <c r="L229" s="27" t="s">
        <v>239</v>
      </c>
      <c r="M229" s="32" t="str">
        <f>HYPERLINK("http://slimages.macys.com/is/image/MCY/3890900 ")</f>
        <v xml:space="preserve">http://slimages.macys.com/is/image/MCY/3890900 </v>
      </c>
    </row>
    <row r="230" spans="1:13" ht="15.2" customHeight="1" x14ac:dyDescent="0.2">
      <c r="A230" s="26" t="s">
        <v>1383</v>
      </c>
      <c r="B230" s="27" t="s">
        <v>1384</v>
      </c>
      <c r="C230" s="28">
        <v>1</v>
      </c>
      <c r="D230" s="29">
        <v>8.5</v>
      </c>
      <c r="E230" s="29">
        <v>8.5</v>
      </c>
      <c r="F230" s="30">
        <v>19.989999999999998</v>
      </c>
      <c r="G230" s="29">
        <v>19.989999999999998</v>
      </c>
      <c r="H230" s="28" t="s">
        <v>321</v>
      </c>
      <c r="I230" s="27" t="s">
        <v>333</v>
      </c>
      <c r="J230" s="31" t="s">
        <v>52</v>
      </c>
      <c r="K230" s="27" t="s">
        <v>196</v>
      </c>
      <c r="L230" s="27" t="s">
        <v>322</v>
      </c>
      <c r="M230" s="32" t="str">
        <f>HYPERLINK("http://slimages.macys.com/is/image/MCY/3910788 ")</f>
        <v xml:space="preserve">http://slimages.macys.com/is/image/MCY/3910788 </v>
      </c>
    </row>
    <row r="231" spans="1:13" ht="15.2" customHeight="1" x14ac:dyDescent="0.2">
      <c r="A231" s="26" t="s">
        <v>1874</v>
      </c>
      <c r="B231" s="27" t="s">
        <v>1875</v>
      </c>
      <c r="C231" s="28">
        <v>1</v>
      </c>
      <c r="D231" s="29">
        <v>8.5</v>
      </c>
      <c r="E231" s="29">
        <v>8.5</v>
      </c>
      <c r="F231" s="30">
        <v>19.989999999999998</v>
      </c>
      <c r="G231" s="29">
        <v>19.989999999999998</v>
      </c>
      <c r="H231" s="28">
        <v>60433871</v>
      </c>
      <c r="I231" s="27" t="s">
        <v>103</v>
      </c>
      <c r="J231" s="31" t="s">
        <v>21</v>
      </c>
      <c r="K231" s="27" t="s">
        <v>224</v>
      </c>
      <c r="L231" s="27" t="s">
        <v>255</v>
      </c>
      <c r="M231" s="32" t="str">
        <f>HYPERLINK("http://slimages.macys.com/is/image/MCY/3910875 ")</f>
        <v xml:space="preserve">http://slimages.macys.com/is/image/MCY/3910875 </v>
      </c>
    </row>
    <row r="232" spans="1:13" ht="15.2" customHeight="1" x14ac:dyDescent="0.2">
      <c r="A232" s="26" t="s">
        <v>319</v>
      </c>
      <c r="B232" s="27" t="s">
        <v>320</v>
      </c>
      <c r="C232" s="28">
        <v>1</v>
      </c>
      <c r="D232" s="29">
        <v>8.5</v>
      </c>
      <c r="E232" s="29">
        <v>8.5</v>
      </c>
      <c r="F232" s="30">
        <v>19.989999999999998</v>
      </c>
      <c r="G232" s="29">
        <v>19.989999999999998</v>
      </c>
      <c r="H232" s="28" t="s">
        <v>321</v>
      </c>
      <c r="I232" s="27" t="s">
        <v>280</v>
      </c>
      <c r="J232" s="31" t="s">
        <v>21</v>
      </c>
      <c r="K232" s="27" t="s">
        <v>196</v>
      </c>
      <c r="L232" s="27" t="s">
        <v>322</v>
      </c>
      <c r="M232" s="32" t="str">
        <f>HYPERLINK("http://slimages.macys.com/is/image/MCY/3910788 ")</f>
        <v xml:space="preserve">http://slimages.macys.com/is/image/MCY/3910788 </v>
      </c>
    </row>
    <row r="233" spans="1:13" ht="15.2" customHeight="1" x14ac:dyDescent="0.2">
      <c r="A233" s="26" t="s">
        <v>7060</v>
      </c>
      <c r="B233" s="27" t="s">
        <v>7061</v>
      </c>
      <c r="C233" s="28">
        <v>1</v>
      </c>
      <c r="D233" s="29">
        <v>8.5</v>
      </c>
      <c r="E233" s="29">
        <v>8.5</v>
      </c>
      <c r="F233" s="30">
        <v>19.989999999999998</v>
      </c>
      <c r="G233" s="29">
        <v>19.989999999999998</v>
      </c>
      <c r="H233" s="28" t="s">
        <v>321</v>
      </c>
      <c r="I233" s="27" t="s">
        <v>4</v>
      </c>
      <c r="J233" s="31" t="s">
        <v>71</v>
      </c>
      <c r="K233" s="27" t="s">
        <v>196</v>
      </c>
      <c r="L233" s="27" t="s">
        <v>322</v>
      </c>
      <c r="M233" s="32" t="str">
        <f>HYPERLINK("http://slimages.macys.com/is/image/MCY/3910788 ")</f>
        <v xml:space="preserve">http://slimages.macys.com/is/image/MCY/3910788 </v>
      </c>
    </row>
    <row r="234" spans="1:13" ht="15.2" customHeight="1" x14ac:dyDescent="0.2">
      <c r="A234" s="26" t="s">
        <v>2273</v>
      </c>
      <c r="B234" s="27" t="s">
        <v>2274</v>
      </c>
      <c r="C234" s="28">
        <v>1</v>
      </c>
      <c r="D234" s="29">
        <v>8.5</v>
      </c>
      <c r="E234" s="29">
        <v>8.5</v>
      </c>
      <c r="F234" s="30">
        <v>19.989999999999998</v>
      </c>
      <c r="G234" s="29">
        <v>19.989999999999998</v>
      </c>
      <c r="H234" s="28" t="s">
        <v>830</v>
      </c>
      <c r="I234" s="27" t="s">
        <v>4</v>
      </c>
      <c r="J234" s="31" t="s">
        <v>21</v>
      </c>
      <c r="K234" s="27" t="s">
        <v>282</v>
      </c>
      <c r="L234" s="27" t="s">
        <v>312</v>
      </c>
      <c r="M234" s="32" t="str">
        <f>HYPERLINK("http://slimages.macys.com/is/image/MCY/3853693 ")</f>
        <v xml:space="preserve">http://slimages.macys.com/is/image/MCY/3853693 </v>
      </c>
    </row>
    <row r="235" spans="1:13" ht="15.2" customHeight="1" x14ac:dyDescent="0.2">
      <c r="A235" s="26" t="s">
        <v>5446</v>
      </c>
      <c r="B235" s="27" t="s">
        <v>5447</v>
      </c>
      <c r="C235" s="28">
        <v>1</v>
      </c>
      <c r="D235" s="29">
        <v>8.5</v>
      </c>
      <c r="E235" s="29">
        <v>8.5</v>
      </c>
      <c r="F235" s="30">
        <v>19.989999999999998</v>
      </c>
      <c r="G235" s="29">
        <v>19.989999999999998</v>
      </c>
      <c r="H235" s="28" t="s">
        <v>1867</v>
      </c>
      <c r="I235" s="27" t="s">
        <v>343</v>
      </c>
      <c r="J235" s="31" t="s">
        <v>5</v>
      </c>
      <c r="K235" s="27" t="s">
        <v>282</v>
      </c>
      <c r="L235" s="27" t="s">
        <v>312</v>
      </c>
      <c r="M235" s="32" t="str">
        <f>HYPERLINK("http://slimages.macys.com/is/image/MCY/3905651 ")</f>
        <v xml:space="preserve">http://slimages.macys.com/is/image/MCY/3905651 </v>
      </c>
    </row>
    <row r="236" spans="1:13" ht="15.2" customHeight="1" x14ac:dyDescent="0.2">
      <c r="A236" s="26" t="s">
        <v>1863</v>
      </c>
      <c r="B236" s="27" t="s">
        <v>1864</v>
      </c>
      <c r="C236" s="28">
        <v>1</v>
      </c>
      <c r="D236" s="29">
        <v>8.5</v>
      </c>
      <c r="E236" s="29">
        <v>8.5</v>
      </c>
      <c r="F236" s="30">
        <v>19.989999999999998</v>
      </c>
      <c r="G236" s="29">
        <v>19.989999999999998</v>
      </c>
      <c r="H236" s="28" t="s">
        <v>830</v>
      </c>
      <c r="I236" s="27" t="s">
        <v>4</v>
      </c>
      <c r="J236" s="31" t="s">
        <v>40</v>
      </c>
      <c r="K236" s="27" t="s">
        <v>282</v>
      </c>
      <c r="L236" s="27" t="s">
        <v>312</v>
      </c>
      <c r="M236" s="32" t="str">
        <f>HYPERLINK("http://slimages.macys.com/is/image/MCY/3853693 ")</f>
        <v xml:space="preserve">http://slimages.macys.com/is/image/MCY/3853693 </v>
      </c>
    </row>
    <row r="237" spans="1:13" ht="15.2" customHeight="1" x14ac:dyDescent="0.2">
      <c r="A237" s="26" t="s">
        <v>824</v>
      </c>
      <c r="B237" s="27" t="s">
        <v>825</v>
      </c>
      <c r="C237" s="28">
        <v>1</v>
      </c>
      <c r="D237" s="29">
        <v>8.5</v>
      </c>
      <c r="E237" s="29">
        <v>8.5</v>
      </c>
      <c r="F237" s="30">
        <v>19.989999999999998</v>
      </c>
      <c r="G237" s="29">
        <v>19.989999999999998</v>
      </c>
      <c r="H237" s="28" t="s">
        <v>826</v>
      </c>
      <c r="I237" s="27" t="s">
        <v>4</v>
      </c>
      <c r="J237" s="31" t="s">
        <v>21</v>
      </c>
      <c r="K237" s="27" t="s">
        <v>282</v>
      </c>
      <c r="L237" s="27" t="s">
        <v>312</v>
      </c>
      <c r="M237" s="32" t="str">
        <f>HYPERLINK("http://slimages.macys.com/is/image/MCY/3853697 ")</f>
        <v xml:space="preserve">http://slimages.macys.com/is/image/MCY/3853697 </v>
      </c>
    </row>
    <row r="238" spans="1:13" ht="15.2" customHeight="1" x14ac:dyDescent="0.2">
      <c r="A238" s="26" t="s">
        <v>11487</v>
      </c>
      <c r="B238" s="27" t="s">
        <v>11488</v>
      </c>
      <c r="C238" s="28">
        <v>1</v>
      </c>
      <c r="D238" s="29">
        <v>8.5</v>
      </c>
      <c r="E238" s="29">
        <v>8.5</v>
      </c>
      <c r="F238" s="30">
        <v>19.989999999999998</v>
      </c>
      <c r="G238" s="29">
        <v>19.989999999999998</v>
      </c>
      <c r="H238" s="28">
        <v>60433871</v>
      </c>
      <c r="I238" s="27" t="s">
        <v>103</v>
      </c>
      <c r="J238" s="31" t="s">
        <v>40</v>
      </c>
      <c r="K238" s="27" t="s">
        <v>224</v>
      </c>
      <c r="L238" s="27" t="s">
        <v>255</v>
      </c>
      <c r="M238" s="32" t="str">
        <f>HYPERLINK("http://slimages.macys.com/is/image/MCY/3910875 ")</f>
        <v xml:space="preserve">http://slimages.macys.com/is/image/MCY/3910875 </v>
      </c>
    </row>
    <row r="239" spans="1:13" ht="15.2" customHeight="1" x14ac:dyDescent="0.2">
      <c r="A239" s="26" t="s">
        <v>7773</v>
      </c>
      <c r="B239" s="27" t="s">
        <v>7774</v>
      </c>
      <c r="C239" s="28">
        <v>1</v>
      </c>
      <c r="D239" s="29">
        <v>8.49</v>
      </c>
      <c r="E239" s="29">
        <v>8.49</v>
      </c>
      <c r="F239" s="30">
        <v>20.5</v>
      </c>
      <c r="G239" s="29">
        <v>20.5</v>
      </c>
      <c r="H239" s="28" t="s">
        <v>335</v>
      </c>
      <c r="I239" s="27" t="s">
        <v>33</v>
      </c>
      <c r="J239" s="31" t="s">
        <v>52</v>
      </c>
      <c r="K239" s="27" t="s">
        <v>41</v>
      </c>
      <c r="L239" s="27" t="s">
        <v>90</v>
      </c>
      <c r="M239" s="32" t="str">
        <f>HYPERLINK("http://slimages.macys.com/is/image/MCY/3286435 ")</f>
        <v xml:space="preserve">http://slimages.macys.com/is/image/MCY/3286435 </v>
      </c>
    </row>
    <row r="240" spans="1:13" ht="15.2" customHeight="1" x14ac:dyDescent="0.2">
      <c r="A240" s="26" t="s">
        <v>11489</v>
      </c>
      <c r="B240" s="27" t="s">
        <v>11490</v>
      </c>
      <c r="C240" s="28">
        <v>1</v>
      </c>
      <c r="D240" s="29">
        <v>8.4</v>
      </c>
      <c r="E240" s="29">
        <v>8.4</v>
      </c>
      <c r="F240" s="30">
        <v>19.989999999999998</v>
      </c>
      <c r="G240" s="29">
        <v>19.989999999999998</v>
      </c>
      <c r="H240" s="28" t="s">
        <v>11491</v>
      </c>
      <c r="I240" s="27" t="s">
        <v>36</v>
      </c>
      <c r="J240" s="31" t="s">
        <v>21</v>
      </c>
      <c r="K240" s="27" t="s">
        <v>159</v>
      </c>
      <c r="L240" s="27" t="s">
        <v>160</v>
      </c>
      <c r="M240" s="32" t="str">
        <f>HYPERLINK("http://slimages.macys.com/is/image/MCY/3409307 ")</f>
        <v xml:space="preserve">http://slimages.macys.com/is/image/MCY/3409307 </v>
      </c>
    </row>
    <row r="241" spans="1:13" ht="15.2" customHeight="1" x14ac:dyDescent="0.2">
      <c r="A241" s="26" t="s">
        <v>835</v>
      </c>
      <c r="B241" s="27" t="s">
        <v>836</v>
      </c>
      <c r="C241" s="28">
        <v>1</v>
      </c>
      <c r="D241" s="29">
        <v>8.4</v>
      </c>
      <c r="E241" s="29">
        <v>8.4</v>
      </c>
      <c r="F241" s="30">
        <v>19.989999999999998</v>
      </c>
      <c r="G241" s="29">
        <v>19.989999999999998</v>
      </c>
      <c r="H241" s="28" t="s">
        <v>837</v>
      </c>
      <c r="I241" s="27" t="s">
        <v>238</v>
      </c>
      <c r="J241" s="31" t="s">
        <v>40</v>
      </c>
      <c r="K241" s="27" t="s">
        <v>196</v>
      </c>
      <c r="L241" s="27" t="s">
        <v>239</v>
      </c>
      <c r="M241" s="32" t="str">
        <f>HYPERLINK("http://slimages.macys.com/is/image/MCY/3815202 ")</f>
        <v xml:space="preserve">http://slimages.macys.com/is/image/MCY/3815202 </v>
      </c>
    </row>
    <row r="242" spans="1:13" ht="15.2" customHeight="1" x14ac:dyDescent="0.2">
      <c r="A242" s="26" t="s">
        <v>1385</v>
      </c>
      <c r="B242" s="27" t="s">
        <v>1386</v>
      </c>
      <c r="C242" s="28">
        <v>1</v>
      </c>
      <c r="D242" s="29">
        <v>8.4</v>
      </c>
      <c r="E242" s="29">
        <v>8.4</v>
      </c>
      <c r="F242" s="30">
        <v>12.99</v>
      </c>
      <c r="G242" s="29">
        <v>12.99</v>
      </c>
      <c r="H242" s="28" t="s">
        <v>1387</v>
      </c>
      <c r="I242" s="27" t="s">
        <v>39</v>
      </c>
      <c r="J242" s="31" t="s">
        <v>21</v>
      </c>
      <c r="K242" s="27" t="s">
        <v>200</v>
      </c>
      <c r="L242" s="27" t="s">
        <v>260</v>
      </c>
      <c r="M242" s="32" t="str">
        <f>HYPERLINK("http://slimages.macys.com/is/image/MCY/3755683 ")</f>
        <v xml:space="preserve">http://slimages.macys.com/is/image/MCY/3755683 </v>
      </c>
    </row>
    <row r="243" spans="1:13" ht="15.2" customHeight="1" x14ac:dyDescent="0.2">
      <c r="A243" s="26" t="s">
        <v>11492</v>
      </c>
      <c r="B243" s="27" t="s">
        <v>11493</v>
      </c>
      <c r="C243" s="28">
        <v>1</v>
      </c>
      <c r="D243" s="29">
        <v>8.4</v>
      </c>
      <c r="E243" s="29">
        <v>8.4</v>
      </c>
      <c r="F243" s="30">
        <v>19.989999999999998</v>
      </c>
      <c r="G243" s="29">
        <v>19.989999999999998</v>
      </c>
      <c r="H243" s="28" t="s">
        <v>11494</v>
      </c>
      <c r="I243" s="27" t="s">
        <v>4</v>
      </c>
      <c r="J243" s="31" t="s">
        <v>5</v>
      </c>
      <c r="K243" s="27" t="s">
        <v>159</v>
      </c>
      <c r="L243" s="27" t="s">
        <v>160</v>
      </c>
      <c r="M243" s="32" t="str">
        <f>HYPERLINK("http://slimages.macys.com/is/image/MCY/3546727 ")</f>
        <v xml:space="preserve">http://slimages.macys.com/is/image/MCY/3546727 </v>
      </c>
    </row>
    <row r="244" spans="1:13" ht="15.2" customHeight="1" x14ac:dyDescent="0.2">
      <c r="A244" s="26" t="s">
        <v>9874</v>
      </c>
      <c r="B244" s="27" t="s">
        <v>9875</v>
      </c>
      <c r="C244" s="28">
        <v>1</v>
      </c>
      <c r="D244" s="29">
        <v>8.25</v>
      </c>
      <c r="E244" s="29">
        <v>8.25</v>
      </c>
      <c r="F244" s="30">
        <v>19.989999999999998</v>
      </c>
      <c r="G244" s="29">
        <v>19.989999999999998</v>
      </c>
      <c r="H244" s="28" t="s">
        <v>7558</v>
      </c>
      <c r="I244" s="27" t="s">
        <v>274</v>
      </c>
      <c r="J244" s="31" t="s">
        <v>5</v>
      </c>
      <c r="K244" s="27" t="s">
        <v>196</v>
      </c>
      <c r="L244" s="27" t="s">
        <v>322</v>
      </c>
      <c r="M244" s="32" t="str">
        <f>HYPERLINK("http://slimages.macys.com/is/image/MCY/3844846 ")</f>
        <v xml:space="preserve">http://slimages.macys.com/is/image/MCY/3844846 </v>
      </c>
    </row>
    <row r="245" spans="1:13" ht="15.2" customHeight="1" x14ac:dyDescent="0.2">
      <c r="A245" s="26" t="s">
        <v>9439</v>
      </c>
      <c r="B245" s="27" t="s">
        <v>9440</v>
      </c>
      <c r="C245" s="28">
        <v>1</v>
      </c>
      <c r="D245" s="29">
        <v>8.25</v>
      </c>
      <c r="E245" s="29">
        <v>8.25</v>
      </c>
      <c r="F245" s="30">
        <v>19.989999999999998</v>
      </c>
      <c r="G245" s="29">
        <v>19.989999999999998</v>
      </c>
      <c r="H245" s="28" t="s">
        <v>8676</v>
      </c>
      <c r="I245" s="27" t="s">
        <v>189</v>
      </c>
      <c r="J245" s="31" t="s">
        <v>5</v>
      </c>
      <c r="K245" s="27" t="s">
        <v>196</v>
      </c>
      <c r="L245" s="27" t="s">
        <v>225</v>
      </c>
      <c r="M245" s="32" t="str">
        <f>HYPERLINK("http://slimages.macys.com/is/image/MCY/3832889 ")</f>
        <v xml:space="preserve">http://slimages.macys.com/is/image/MCY/3832889 </v>
      </c>
    </row>
    <row r="246" spans="1:13" ht="15.2" customHeight="1" x14ac:dyDescent="0.2">
      <c r="A246" s="26" t="s">
        <v>11495</v>
      </c>
      <c r="B246" s="27" t="s">
        <v>11496</v>
      </c>
      <c r="C246" s="28">
        <v>1</v>
      </c>
      <c r="D246" s="29">
        <v>8.25</v>
      </c>
      <c r="E246" s="29">
        <v>8.25</v>
      </c>
      <c r="F246" s="30">
        <v>19.989999999999998</v>
      </c>
      <c r="G246" s="29">
        <v>19.989999999999998</v>
      </c>
      <c r="H246" s="28" t="s">
        <v>9876</v>
      </c>
      <c r="I246" s="27" t="s">
        <v>280</v>
      </c>
      <c r="J246" s="31" t="s">
        <v>71</v>
      </c>
      <c r="K246" s="27" t="s">
        <v>196</v>
      </c>
      <c r="L246" s="27" t="s">
        <v>322</v>
      </c>
      <c r="M246" s="32" t="str">
        <f>HYPERLINK("http://slimages.macys.com/is/image/MCY/3820940 ")</f>
        <v xml:space="preserve">http://slimages.macys.com/is/image/MCY/3820940 </v>
      </c>
    </row>
    <row r="247" spans="1:13" ht="15.2" customHeight="1" x14ac:dyDescent="0.2">
      <c r="A247" s="26" t="s">
        <v>8678</v>
      </c>
      <c r="B247" s="27" t="s">
        <v>8679</v>
      </c>
      <c r="C247" s="28">
        <v>1</v>
      </c>
      <c r="D247" s="29">
        <v>8.25</v>
      </c>
      <c r="E247" s="29">
        <v>8.25</v>
      </c>
      <c r="F247" s="30">
        <v>19.989999999999998</v>
      </c>
      <c r="G247" s="29">
        <v>19.989999999999998</v>
      </c>
      <c r="H247" s="28" t="s">
        <v>8675</v>
      </c>
      <c r="I247" s="27" t="s">
        <v>377</v>
      </c>
      <c r="J247" s="31" t="s">
        <v>5</v>
      </c>
      <c r="K247" s="27" t="s">
        <v>196</v>
      </c>
      <c r="L247" s="27" t="s">
        <v>225</v>
      </c>
      <c r="M247" s="32" t="str">
        <f>HYPERLINK("http://slimages.macys.com/is/image/MCY/3832889 ")</f>
        <v xml:space="preserve">http://slimages.macys.com/is/image/MCY/3832889 </v>
      </c>
    </row>
    <row r="248" spans="1:13" ht="15.2" customHeight="1" x14ac:dyDescent="0.2">
      <c r="A248" s="26" t="s">
        <v>11497</v>
      </c>
      <c r="B248" s="27" t="s">
        <v>11498</v>
      </c>
      <c r="C248" s="28">
        <v>1</v>
      </c>
      <c r="D248" s="29">
        <v>8.25</v>
      </c>
      <c r="E248" s="29">
        <v>8.25</v>
      </c>
      <c r="F248" s="30">
        <v>19.989999999999998</v>
      </c>
      <c r="G248" s="29">
        <v>19.989999999999998</v>
      </c>
      <c r="H248" s="28" t="s">
        <v>3882</v>
      </c>
      <c r="I248" s="27" t="s">
        <v>519</v>
      </c>
      <c r="J248" s="31" t="s">
        <v>71</v>
      </c>
      <c r="K248" s="27" t="s">
        <v>196</v>
      </c>
      <c r="L248" s="27" t="s">
        <v>256</v>
      </c>
      <c r="M248" s="32" t="str">
        <f>HYPERLINK("http://slimages.macys.com/is/image/MCY/3683136 ")</f>
        <v xml:space="preserve">http://slimages.macys.com/is/image/MCY/3683136 </v>
      </c>
    </row>
    <row r="249" spans="1:13" ht="15.2" customHeight="1" x14ac:dyDescent="0.2">
      <c r="A249" s="26" t="s">
        <v>11499</v>
      </c>
      <c r="B249" s="27" t="s">
        <v>11500</v>
      </c>
      <c r="C249" s="28">
        <v>1</v>
      </c>
      <c r="D249" s="29">
        <v>8.25</v>
      </c>
      <c r="E249" s="29">
        <v>8.25</v>
      </c>
      <c r="F249" s="30">
        <v>19.989999999999998</v>
      </c>
      <c r="G249" s="29">
        <v>19.989999999999998</v>
      </c>
      <c r="H249" s="28" t="s">
        <v>3882</v>
      </c>
      <c r="I249" s="27" t="s">
        <v>519</v>
      </c>
      <c r="J249" s="31" t="s">
        <v>21</v>
      </c>
      <c r="K249" s="27" t="s">
        <v>196</v>
      </c>
      <c r="L249" s="27" t="s">
        <v>256</v>
      </c>
      <c r="M249" s="32" t="str">
        <f>HYPERLINK("http://slimages.macys.com/is/image/MCY/3683136 ")</f>
        <v xml:space="preserve">http://slimages.macys.com/is/image/MCY/3683136 </v>
      </c>
    </row>
    <row r="250" spans="1:13" ht="15.2" customHeight="1" x14ac:dyDescent="0.2">
      <c r="A250" s="26" t="s">
        <v>7415</v>
      </c>
      <c r="B250" s="27" t="s">
        <v>7416</v>
      </c>
      <c r="C250" s="28">
        <v>1</v>
      </c>
      <c r="D250" s="29">
        <v>8.25</v>
      </c>
      <c r="E250" s="29">
        <v>8.25</v>
      </c>
      <c r="F250" s="30">
        <v>19.989999999999998</v>
      </c>
      <c r="G250" s="29">
        <v>19.989999999999998</v>
      </c>
      <c r="H250" s="28" t="s">
        <v>337</v>
      </c>
      <c r="I250" s="27" t="s">
        <v>248</v>
      </c>
      <c r="J250" s="31" t="s">
        <v>40</v>
      </c>
      <c r="K250" s="27" t="s">
        <v>196</v>
      </c>
      <c r="L250" s="27" t="s">
        <v>225</v>
      </c>
      <c r="M250" s="32" t="str">
        <f>HYPERLINK("http://slimages.macys.com/is/image/MCY/3832889 ")</f>
        <v xml:space="preserve">http://slimages.macys.com/is/image/MCY/3832889 </v>
      </c>
    </row>
    <row r="251" spans="1:13" ht="15.2" customHeight="1" x14ac:dyDescent="0.2">
      <c r="A251" s="26" t="s">
        <v>10252</v>
      </c>
      <c r="B251" s="27" t="s">
        <v>10253</v>
      </c>
      <c r="C251" s="28">
        <v>1</v>
      </c>
      <c r="D251" s="29">
        <v>8.25</v>
      </c>
      <c r="E251" s="29">
        <v>8.25</v>
      </c>
      <c r="F251" s="30">
        <v>19.989999999999998</v>
      </c>
      <c r="G251" s="29">
        <v>19.989999999999998</v>
      </c>
      <c r="H251" s="28" t="s">
        <v>3882</v>
      </c>
      <c r="I251" s="27" t="s">
        <v>22</v>
      </c>
      <c r="J251" s="31" t="s">
        <v>40</v>
      </c>
      <c r="K251" s="27" t="s">
        <v>196</v>
      </c>
      <c r="L251" s="27" t="s">
        <v>256</v>
      </c>
      <c r="M251" s="32" t="str">
        <f>HYPERLINK("http://slimages.macys.com/is/image/MCY/3683136 ")</f>
        <v xml:space="preserve">http://slimages.macys.com/is/image/MCY/3683136 </v>
      </c>
    </row>
    <row r="252" spans="1:13" ht="15.2" customHeight="1" x14ac:dyDescent="0.2">
      <c r="A252" s="26" t="s">
        <v>11501</v>
      </c>
      <c r="B252" s="27" t="s">
        <v>11502</v>
      </c>
      <c r="C252" s="28">
        <v>1</v>
      </c>
      <c r="D252" s="29">
        <v>8.25</v>
      </c>
      <c r="E252" s="29">
        <v>8.25</v>
      </c>
      <c r="F252" s="30">
        <v>19.989999999999998</v>
      </c>
      <c r="G252" s="29">
        <v>19.989999999999998</v>
      </c>
      <c r="H252" s="28" t="s">
        <v>2976</v>
      </c>
      <c r="I252" s="27" t="s">
        <v>4</v>
      </c>
      <c r="J252" s="31" t="s">
        <v>21</v>
      </c>
      <c r="K252" s="27" t="s">
        <v>196</v>
      </c>
      <c r="L252" s="27" t="s">
        <v>260</v>
      </c>
      <c r="M252" s="32" t="str">
        <f>HYPERLINK("http://slimages.macys.com/is/image/MCY/3700257 ")</f>
        <v xml:space="preserve">http://slimages.macys.com/is/image/MCY/3700257 </v>
      </c>
    </row>
    <row r="253" spans="1:13" ht="15.2" customHeight="1" x14ac:dyDescent="0.2">
      <c r="A253" s="26" t="s">
        <v>11503</v>
      </c>
      <c r="B253" s="27" t="s">
        <v>11504</v>
      </c>
      <c r="C253" s="28">
        <v>2</v>
      </c>
      <c r="D253" s="29">
        <v>8.25</v>
      </c>
      <c r="E253" s="29">
        <v>16.5</v>
      </c>
      <c r="F253" s="30">
        <v>19.989999999999998</v>
      </c>
      <c r="G253" s="29">
        <v>39.979999999999997</v>
      </c>
      <c r="H253" s="28" t="s">
        <v>3882</v>
      </c>
      <c r="I253" s="27" t="s">
        <v>519</v>
      </c>
      <c r="J253" s="31" t="s">
        <v>5</v>
      </c>
      <c r="K253" s="27" t="s">
        <v>196</v>
      </c>
      <c r="L253" s="27" t="s">
        <v>256</v>
      </c>
      <c r="M253" s="32" t="str">
        <f>HYPERLINK("http://slimages.macys.com/is/image/MCY/3683136 ")</f>
        <v xml:space="preserve">http://slimages.macys.com/is/image/MCY/3683136 </v>
      </c>
    </row>
    <row r="254" spans="1:13" ht="15.2" customHeight="1" x14ac:dyDescent="0.2">
      <c r="A254" s="26" t="s">
        <v>338</v>
      </c>
      <c r="B254" s="27" t="s">
        <v>339</v>
      </c>
      <c r="C254" s="28">
        <v>1</v>
      </c>
      <c r="D254" s="29">
        <v>8.25</v>
      </c>
      <c r="E254" s="29">
        <v>8.25</v>
      </c>
      <c r="F254" s="30">
        <v>19.989999999999998</v>
      </c>
      <c r="G254" s="29">
        <v>19.989999999999998</v>
      </c>
      <c r="H254" s="28" t="s">
        <v>340</v>
      </c>
      <c r="I254" s="27" t="s">
        <v>4</v>
      </c>
      <c r="J254" s="31" t="s">
        <v>52</v>
      </c>
      <c r="K254" s="27" t="s">
        <v>196</v>
      </c>
      <c r="L254" s="27" t="s">
        <v>225</v>
      </c>
      <c r="M254" s="32" t="str">
        <f>HYPERLINK("http://slimages.macys.com/is/image/MCY/3875563 ")</f>
        <v xml:space="preserve">http://slimages.macys.com/is/image/MCY/3875563 </v>
      </c>
    </row>
    <row r="255" spans="1:13" ht="15.2" customHeight="1" x14ac:dyDescent="0.2">
      <c r="A255" s="26" t="s">
        <v>4638</v>
      </c>
      <c r="B255" s="27" t="s">
        <v>4639</v>
      </c>
      <c r="C255" s="28">
        <v>1</v>
      </c>
      <c r="D255" s="29">
        <v>8.2100000000000009</v>
      </c>
      <c r="E255" s="29">
        <v>8.2100000000000009</v>
      </c>
      <c r="F255" s="30">
        <v>22.5</v>
      </c>
      <c r="G255" s="29">
        <v>22.5</v>
      </c>
      <c r="H255" s="28" t="s">
        <v>2334</v>
      </c>
      <c r="I255" s="27" t="s">
        <v>4</v>
      </c>
      <c r="J255" s="31" t="s">
        <v>172</v>
      </c>
      <c r="K255" s="27" t="s">
        <v>53</v>
      </c>
      <c r="L255" s="27" t="s">
        <v>372</v>
      </c>
      <c r="M255" s="32" t="str">
        <f>HYPERLINK("http://slimages.macys.com/is/image/MCY/2217105 ")</f>
        <v xml:space="preserve">http://slimages.macys.com/is/image/MCY/2217105 </v>
      </c>
    </row>
    <row r="256" spans="1:13" ht="15.2" customHeight="1" x14ac:dyDescent="0.2">
      <c r="A256" s="26" t="s">
        <v>4348</v>
      </c>
      <c r="B256" s="27" t="s">
        <v>4349</v>
      </c>
      <c r="C256" s="28">
        <v>1</v>
      </c>
      <c r="D256" s="29">
        <v>8.1</v>
      </c>
      <c r="E256" s="29">
        <v>8.1</v>
      </c>
      <c r="F256" s="30">
        <v>22.5</v>
      </c>
      <c r="G256" s="29">
        <v>22.5</v>
      </c>
      <c r="H256" s="28" t="s">
        <v>2294</v>
      </c>
      <c r="I256" s="27" t="s">
        <v>4</v>
      </c>
      <c r="J256" s="31" t="s">
        <v>71</v>
      </c>
      <c r="K256" s="27" t="s">
        <v>53</v>
      </c>
      <c r="L256" s="27" t="s">
        <v>372</v>
      </c>
      <c r="M256" s="32" t="str">
        <f>HYPERLINK("http://slimages.macys.com/is/image/MCY/3708566 ")</f>
        <v xml:space="preserve">http://slimages.macys.com/is/image/MCY/3708566 </v>
      </c>
    </row>
    <row r="257" spans="1:13" ht="15.2" customHeight="1" x14ac:dyDescent="0.2">
      <c r="A257" s="26" t="s">
        <v>2292</v>
      </c>
      <c r="B257" s="27" t="s">
        <v>2293</v>
      </c>
      <c r="C257" s="28">
        <v>1</v>
      </c>
      <c r="D257" s="29">
        <v>8.1</v>
      </c>
      <c r="E257" s="29">
        <v>8.1</v>
      </c>
      <c r="F257" s="30">
        <v>22.5</v>
      </c>
      <c r="G257" s="29">
        <v>22.5</v>
      </c>
      <c r="H257" s="28" t="s">
        <v>2294</v>
      </c>
      <c r="I257" s="27" t="s">
        <v>4</v>
      </c>
      <c r="J257" s="31" t="s">
        <v>5</v>
      </c>
      <c r="K257" s="27" t="s">
        <v>53</v>
      </c>
      <c r="L257" s="27" t="s">
        <v>372</v>
      </c>
      <c r="M257" s="32" t="str">
        <f>HYPERLINK("http://slimages.macys.com/is/image/MCY/3708566 ")</f>
        <v xml:space="preserve">http://slimages.macys.com/is/image/MCY/3708566 </v>
      </c>
    </row>
    <row r="258" spans="1:13" ht="15.2" customHeight="1" x14ac:dyDescent="0.2">
      <c r="A258" s="26" t="s">
        <v>2295</v>
      </c>
      <c r="B258" s="27" t="s">
        <v>2296</v>
      </c>
      <c r="C258" s="28">
        <v>1</v>
      </c>
      <c r="D258" s="29">
        <v>8.1</v>
      </c>
      <c r="E258" s="29">
        <v>8.1</v>
      </c>
      <c r="F258" s="30">
        <v>22.5</v>
      </c>
      <c r="G258" s="29">
        <v>22.5</v>
      </c>
      <c r="H258" s="28" t="s">
        <v>2294</v>
      </c>
      <c r="I258" s="27" t="s">
        <v>4</v>
      </c>
      <c r="J258" s="31" t="s">
        <v>21</v>
      </c>
      <c r="K258" s="27" t="s">
        <v>53</v>
      </c>
      <c r="L258" s="27" t="s">
        <v>372</v>
      </c>
      <c r="M258" s="32" t="str">
        <f>HYPERLINK("http://slimages.macys.com/is/image/MCY/3708566 ")</f>
        <v xml:space="preserve">http://slimages.macys.com/is/image/MCY/3708566 </v>
      </c>
    </row>
    <row r="259" spans="1:13" ht="15.2" customHeight="1" x14ac:dyDescent="0.2">
      <c r="A259" s="26" t="s">
        <v>9663</v>
      </c>
      <c r="B259" s="27" t="s">
        <v>9664</v>
      </c>
      <c r="C259" s="28">
        <v>2</v>
      </c>
      <c r="D259" s="29">
        <v>8</v>
      </c>
      <c r="E259" s="29">
        <v>16</v>
      </c>
      <c r="F259" s="30">
        <v>19.989999999999998</v>
      </c>
      <c r="G259" s="29">
        <v>39.979999999999997</v>
      </c>
      <c r="H259" s="28" t="s">
        <v>1885</v>
      </c>
      <c r="I259" s="27" t="s">
        <v>1472</v>
      </c>
      <c r="J259" s="31" t="s">
        <v>21</v>
      </c>
      <c r="K259" s="27" t="s">
        <v>196</v>
      </c>
      <c r="L259" s="27" t="s">
        <v>239</v>
      </c>
      <c r="M259" s="32" t="str">
        <f>HYPERLINK("http://slimages.macys.com/is/image/MCY/3834521 ")</f>
        <v xml:space="preserve">http://slimages.macys.com/is/image/MCY/3834521 </v>
      </c>
    </row>
    <row r="260" spans="1:13" ht="15.2" customHeight="1" x14ac:dyDescent="0.2">
      <c r="A260" s="26" t="s">
        <v>7561</v>
      </c>
      <c r="B260" s="27" t="s">
        <v>7562</v>
      </c>
      <c r="C260" s="28">
        <v>2</v>
      </c>
      <c r="D260" s="29">
        <v>8</v>
      </c>
      <c r="E260" s="29">
        <v>16</v>
      </c>
      <c r="F260" s="30">
        <v>19.989999999999998</v>
      </c>
      <c r="G260" s="29">
        <v>39.979999999999997</v>
      </c>
      <c r="H260" s="28" t="s">
        <v>4350</v>
      </c>
      <c r="I260" s="27" t="s">
        <v>75</v>
      </c>
      <c r="J260" s="31" t="s">
        <v>40</v>
      </c>
      <c r="K260" s="27" t="s">
        <v>196</v>
      </c>
      <c r="L260" s="27" t="s">
        <v>322</v>
      </c>
      <c r="M260" s="32" t="str">
        <f>HYPERLINK("http://slimages.macys.com/is/image/MCY/3820938 ")</f>
        <v xml:space="preserve">http://slimages.macys.com/is/image/MCY/3820938 </v>
      </c>
    </row>
    <row r="261" spans="1:13" ht="15.2" customHeight="1" x14ac:dyDescent="0.2">
      <c r="A261" s="26" t="s">
        <v>1891</v>
      </c>
      <c r="B261" s="27" t="s">
        <v>1892</v>
      </c>
      <c r="C261" s="28">
        <v>1</v>
      </c>
      <c r="D261" s="29">
        <v>8</v>
      </c>
      <c r="E261" s="29">
        <v>8</v>
      </c>
      <c r="F261" s="30">
        <v>19.989999999999998</v>
      </c>
      <c r="G261" s="29">
        <v>19.989999999999998</v>
      </c>
      <c r="H261" s="28" t="s">
        <v>1885</v>
      </c>
      <c r="I261" s="27" t="s">
        <v>1472</v>
      </c>
      <c r="J261" s="31" t="s">
        <v>40</v>
      </c>
      <c r="K261" s="27" t="s">
        <v>196</v>
      </c>
      <c r="L261" s="27" t="s">
        <v>239</v>
      </c>
      <c r="M261" s="32" t="str">
        <f>HYPERLINK("http://slimages.macys.com/is/image/MCY/3834521 ")</f>
        <v xml:space="preserve">http://slimages.macys.com/is/image/MCY/3834521 </v>
      </c>
    </row>
    <row r="262" spans="1:13" ht="15.2" customHeight="1" x14ac:dyDescent="0.2">
      <c r="A262" s="26" t="s">
        <v>11026</v>
      </c>
      <c r="B262" s="27" t="s">
        <v>11027</v>
      </c>
      <c r="C262" s="28">
        <v>1</v>
      </c>
      <c r="D262" s="29">
        <v>8</v>
      </c>
      <c r="E262" s="29">
        <v>8</v>
      </c>
      <c r="F262" s="30">
        <v>19.989999999999998</v>
      </c>
      <c r="G262" s="29">
        <v>19.989999999999998</v>
      </c>
      <c r="H262" s="28" t="s">
        <v>1885</v>
      </c>
      <c r="I262" s="27" t="s">
        <v>94</v>
      </c>
      <c r="J262" s="31" t="s">
        <v>21</v>
      </c>
      <c r="K262" s="27" t="s">
        <v>196</v>
      </c>
      <c r="L262" s="27" t="s">
        <v>239</v>
      </c>
      <c r="M262" s="32" t="str">
        <f>HYPERLINK("http://slimages.macys.com/is/image/MCY/3834521 ")</f>
        <v xml:space="preserve">http://slimages.macys.com/is/image/MCY/3834521 </v>
      </c>
    </row>
    <row r="263" spans="1:13" ht="15.2" customHeight="1" x14ac:dyDescent="0.2">
      <c r="A263" s="26" t="s">
        <v>8453</v>
      </c>
      <c r="B263" s="27" t="s">
        <v>8454</v>
      </c>
      <c r="C263" s="28">
        <v>2</v>
      </c>
      <c r="D263" s="29">
        <v>8</v>
      </c>
      <c r="E263" s="29">
        <v>16</v>
      </c>
      <c r="F263" s="30">
        <v>19.989999999999998</v>
      </c>
      <c r="G263" s="29">
        <v>39.979999999999997</v>
      </c>
      <c r="H263" s="28" t="s">
        <v>1888</v>
      </c>
      <c r="I263" s="27" t="s">
        <v>690</v>
      </c>
      <c r="J263" s="31" t="s">
        <v>5</v>
      </c>
      <c r="K263" s="27" t="s">
        <v>196</v>
      </c>
      <c r="L263" s="27" t="s">
        <v>239</v>
      </c>
      <c r="M263" s="32" t="str">
        <f>HYPERLINK("http://slimages.macys.com/is/image/MCY/3853021 ")</f>
        <v xml:space="preserve">http://slimages.macys.com/is/image/MCY/3853021 </v>
      </c>
    </row>
    <row r="264" spans="1:13" ht="15.2" customHeight="1" x14ac:dyDescent="0.2">
      <c r="A264" s="26" t="s">
        <v>8413</v>
      </c>
      <c r="B264" s="27" t="s">
        <v>8414</v>
      </c>
      <c r="C264" s="28">
        <v>1</v>
      </c>
      <c r="D264" s="29">
        <v>8</v>
      </c>
      <c r="E264" s="29">
        <v>8</v>
      </c>
      <c r="F264" s="30">
        <v>19.989999999999998</v>
      </c>
      <c r="G264" s="29">
        <v>19.989999999999998</v>
      </c>
      <c r="H264" s="28" t="s">
        <v>1885</v>
      </c>
      <c r="I264" s="27" t="s">
        <v>1472</v>
      </c>
      <c r="J264" s="31" t="s">
        <v>71</v>
      </c>
      <c r="K264" s="27" t="s">
        <v>196</v>
      </c>
      <c r="L264" s="27" t="s">
        <v>239</v>
      </c>
      <c r="M264" s="32" t="str">
        <f>HYPERLINK("http://slimages.macys.com/is/image/MCY/3834521 ")</f>
        <v xml:space="preserve">http://slimages.macys.com/is/image/MCY/3834521 </v>
      </c>
    </row>
    <row r="265" spans="1:13" ht="15.2" customHeight="1" x14ac:dyDescent="0.2">
      <c r="A265" s="26" t="s">
        <v>9819</v>
      </c>
      <c r="B265" s="27" t="s">
        <v>9820</v>
      </c>
      <c r="C265" s="28">
        <v>1</v>
      </c>
      <c r="D265" s="29">
        <v>8</v>
      </c>
      <c r="E265" s="29">
        <v>8</v>
      </c>
      <c r="F265" s="30">
        <v>19.989999999999998</v>
      </c>
      <c r="G265" s="29">
        <v>19.989999999999998</v>
      </c>
      <c r="H265" s="28" t="s">
        <v>1885</v>
      </c>
      <c r="I265" s="27" t="s">
        <v>4</v>
      </c>
      <c r="J265" s="31" t="s">
        <v>52</v>
      </c>
      <c r="K265" s="27" t="s">
        <v>196</v>
      </c>
      <c r="L265" s="27" t="s">
        <v>239</v>
      </c>
      <c r="M265" s="32" t="str">
        <f>HYPERLINK("http://slimages.macys.com/is/image/MCY/3834521 ")</f>
        <v xml:space="preserve">http://slimages.macys.com/is/image/MCY/3834521 </v>
      </c>
    </row>
    <row r="266" spans="1:13" ht="15.2" customHeight="1" x14ac:dyDescent="0.2">
      <c r="A266" s="26" t="s">
        <v>2314</v>
      </c>
      <c r="B266" s="27" t="s">
        <v>2315</v>
      </c>
      <c r="C266" s="28">
        <v>1</v>
      </c>
      <c r="D266" s="29">
        <v>8</v>
      </c>
      <c r="E266" s="29">
        <v>8</v>
      </c>
      <c r="F266" s="30">
        <v>19.989999999999998</v>
      </c>
      <c r="G266" s="29">
        <v>19.989999999999998</v>
      </c>
      <c r="H266" s="28" t="s">
        <v>1888</v>
      </c>
      <c r="I266" s="27" t="s">
        <v>690</v>
      </c>
      <c r="J266" s="31" t="s">
        <v>21</v>
      </c>
      <c r="K266" s="27" t="s">
        <v>196</v>
      </c>
      <c r="L266" s="27" t="s">
        <v>239</v>
      </c>
      <c r="M266" s="32" t="str">
        <f>HYPERLINK("http://slimages.macys.com/is/image/MCY/3853021 ")</f>
        <v xml:space="preserve">http://slimages.macys.com/is/image/MCY/3853021 </v>
      </c>
    </row>
    <row r="267" spans="1:13" ht="15.2" customHeight="1" x14ac:dyDescent="0.2">
      <c r="A267" s="26" t="s">
        <v>7779</v>
      </c>
      <c r="B267" s="27" t="s">
        <v>7780</v>
      </c>
      <c r="C267" s="28">
        <v>1</v>
      </c>
      <c r="D267" s="29">
        <v>8</v>
      </c>
      <c r="E267" s="29">
        <v>8</v>
      </c>
      <c r="F267" s="30">
        <v>19.989999999999998</v>
      </c>
      <c r="G267" s="29">
        <v>19.989999999999998</v>
      </c>
      <c r="H267" s="28" t="s">
        <v>2309</v>
      </c>
      <c r="I267" s="27" t="s">
        <v>238</v>
      </c>
      <c r="J267" s="31" t="s">
        <v>40</v>
      </c>
      <c r="K267" s="27" t="s">
        <v>196</v>
      </c>
      <c r="L267" s="27" t="s">
        <v>239</v>
      </c>
      <c r="M267" s="32" t="str">
        <f>HYPERLINK("http://slimages.macys.com/is/image/MCY/3719772 ")</f>
        <v xml:space="preserve">http://slimages.macys.com/is/image/MCY/3719772 </v>
      </c>
    </row>
    <row r="268" spans="1:13" ht="15.2" customHeight="1" x14ac:dyDescent="0.2">
      <c r="A268" s="26" t="s">
        <v>11505</v>
      </c>
      <c r="B268" s="27" t="s">
        <v>11506</v>
      </c>
      <c r="C268" s="28">
        <v>1</v>
      </c>
      <c r="D268" s="29">
        <v>8</v>
      </c>
      <c r="E268" s="29">
        <v>8</v>
      </c>
      <c r="F268" s="30">
        <v>19.989999999999998</v>
      </c>
      <c r="G268" s="29">
        <v>19.989999999999998</v>
      </c>
      <c r="H268" s="28" t="s">
        <v>1888</v>
      </c>
      <c r="I268" s="27" t="s">
        <v>271</v>
      </c>
      <c r="J268" s="31" t="s">
        <v>52</v>
      </c>
      <c r="K268" s="27" t="s">
        <v>196</v>
      </c>
      <c r="L268" s="27" t="s">
        <v>239</v>
      </c>
      <c r="M268" s="32" t="str">
        <f>HYPERLINK("http://slimages.macys.com/is/image/MCY/3853021 ")</f>
        <v xml:space="preserve">http://slimages.macys.com/is/image/MCY/3853021 </v>
      </c>
    </row>
    <row r="269" spans="1:13" ht="15.2" customHeight="1" x14ac:dyDescent="0.2">
      <c r="A269" s="26" t="s">
        <v>7676</v>
      </c>
      <c r="B269" s="27" t="s">
        <v>7677</v>
      </c>
      <c r="C269" s="28">
        <v>1</v>
      </c>
      <c r="D269" s="29">
        <v>8</v>
      </c>
      <c r="E269" s="29">
        <v>8</v>
      </c>
      <c r="F269" s="30">
        <v>21.5</v>
      </c>
      <c r="G269" s="29">
        <v>21.5</v>
      </c>
      <c r="H269" s="28" t="s">
        <v>352</v>
      </c>
      <c r="I269" s="27" t="s">
        <v>4</v>
      </c>
      <c r="J269" s="31" t="s">
        <v>5</v>
      </c>
      <c r="K269" s="27" t="s">
        <v>70</v>
      </c>
      <c r="L269" s="27" t="s">
        <v>353</v>
      </c>
      <c r="M269" s="32" t="str">
        <f>HYPERLINK("http://slimages.macys.com/is/image/MCY/3799214 ")</f>
        <v xml:space="preserve">http://slimages.macys.com/is/image/MCY/3799214 </v>
      </c>
    </row>
    <row r="270" spans="1:13" ht="15.2" customHeight="1" x14ac:dyDescent="0.2">
      <c r="A270" s="26" t="s">
        <v>11210</v>
      </c>
      <c r="B270" s="27" t="s">
        <v>11211</v>
      </c>
      <c r="C270" s="28">
        <v>1</v>
      </c>
      <c r="D270" s="29">
        <v>8</v>
      </c>
      <c r="E270" s="29">
        <v>8</v>
      </c>
      <c r="F270" s="30">
        <v>19.989999999999998</v>
      </c>
      <c r="G270" s="29">
        <v>19.989999999999998</v>
      </c>
      <c r="H270" s="28" t="s">
        <v>827</v>
      </c>
      <c r="I270" s="27" t="s">
        <v>1</v>
      </c>
      <c r="J270" s="31" t="s">
        <v>5</v>
      </c>
      <c r="K270" s="27" t="s">
        <v>196</v>
      </c>
      <c r="L270" s="27" t="s">
        <v>260</v>
      </c>
      <c r="M270" s="32" t="str">
        <f>HYPERLINK("http://slimages.macys.com/is/image/MCY/3910796 ")</f>
        <v xml:space="preserve">http://slimages.macys.com/is/image/MCY/3910796 </v>
      </c>
    </row>
    <row r="271" spans="1:13" ht="15.2" customHeight="1" x14ac:dyDescent="0.2">
      <c r="A271" s="26" t="s">
        <v>350</v>
      </c>
      <c r="B271" s="27" t="s">
        <v>351</v>
      </c>
      <c r="C271" s="28">
        <v>1</v>
      </c>
      <c r="D271" s="29">
        <v>8</v>
      </c>
      <c r="E271" s="29">
        <v>8</v>
      </c>
      <c r="F271" s="30">
        <v>21.5</v>
      </c>
      <c r="G271" s="29">
        <v>21.5</v>
      </c>
      <c r="H271" s="28" t="s">
        <v>352</v>
      </c>
      <c r="I271" s="27" t="s">
        <v>4</v>
      </c>
      <c r="J271" s="31" t="s">
        <v>71</v>
      </c>
      <c r="K271" s="27" t="s">
        <v>70</v>
      </c>
      <c r="L271" s="27" t="s">
        <v>353</v>
      </c>
      <c r="M271" s="32" t="str">
        <f>HYPERLINK("http://slimages.macys.com/is/image/MCY/3799214 ")</f>
        <v xml:space="preserve">http://slimages.macys.com/is/image/MCY/3799214 </v>
      </c>
    </row>
    <row r="272" spans="1:13" ht="15.2" customHeight="1" x14ac:dyDescent="0.2">
      <c r="A272" s="26" t="s">
        <v>7419</v>
      </c>
      <c r="B272" s="27" t="s">
        <v>7420</v>
      </c>
      <c r="C272" s="28">
        <v>1</v>
      </c>
      <c r="D272" s="29">
        <v>8</v>
      </c>
      <c r="E272" s="29">
        <v>8</v>
      </c>
      <c r="F272" s="30">
        <v>19.989999999999998</v>
      </c>
      <c r="G272" s="29">
        <v>19.989999999999998</v>
      </c>
      <c r="H272" s="28" t="s">
        <v>1888</v>
      </c>
      <c r="I272" s="27" t="s">
        <v>10</v>
      </c>
      <c r="J272" s="31" t="s">
        <v>21</v>
      </c>
      <c r="K272" s="27" t="s">
        <v>196</v>
      </c>
      <c r="L272" s="27" t="s">
        <v>239</v>
      </c>
      <c r="M272" s="32" t="str">
        <f>HYPERLINK("http://slimages.macys.com/is/image/MCY/3853021 ")</f>
        <v xml:space="preserve">http://slimages.macys.com/is/image/MCY/3853021 </v>
      </c>
    </row>
    <row r="273" spans="1:13" ht="15.2" customHeight="1" x14ac:dyDescent="0.2">
      <c r="A273" s="26" t="s">
        <v>5457</v>
      </c>
      <c r="B273" s="27" t="s">
        <v>5458</v>
      </c>
      <c r="C273" s="28">
        <v>1</v>
      </c>
      <c r="D273" s="29">
        <v>8</v>
      </c>
      <c r="E273" s="29">
        <v>8</v>
      </c>
      <c r="F273" s="30">
        <v>19.989999999999998</v>
      </c>
      <c r="G273" s="29">
        <v>19.989999999999998</v>
      </c>
      <c r="H273" s="28" t="s">
        <v>840</v>
      </c>
      <c r="I273" s="27" t="s">
        <v>189</v>
      </c>
      <c r="J273" s="31" t="s">
        <v>52</v>
      </c>
      <c r="K273" s="27" t="s">
        <v>282</v>
      </c>
      <c r="L273" s="27" t="s">
        <v>349</v>
      </c>
      <c r="M273" s="32" t="str">
        <f>HYPERLINK("http://slimages.macys.com/is/image/MCY/3799630 ")</f>
        <v xml:space="preserve">http://slimages.macys.com/is/image/MCY/3799630 </v>
      </c>
    </row>
    <row r="274" spans="1:13" ht="15.2" customHeight="1" x14ac:dyDescent="0.2">
      <c r="A274" s="26" t="s">
        <v>838</v>
      </c>
      <c r="B274" s="27" t="s">
        <v>839</v>
      </c>
      <c r="C274" s="28">
        <v>2</v>
      </c>
      <c r="D274" s="29">
        <v>8</v>
      </c>
      <c r="E274" s="29">
        <v>16</v>
      </c>
      <c r="F274" s="30">
        <v>19.989999999999998</v>
      </c>
      <c r="G274" s="29">
        <v>39.979999999999997</v>
      </c>
      <c r="H274" s="28" t="s">
        <v>840</v>
      </c>
      <c r="I274" s="27" t="s">
        <v>189</v>
      </c>
      <c r="J274" s="31" t="s">
        <v>5</v>
      </c>
      <c r="K274" s="27" t="s">
        <v>282</v>
      </c>
      <c r="L274" s="27" t="s">
        <v>349</v>
      </c>
      <c r="M274" s="32" t="str">
        <f>HYPERLINK("http://slimages.macys.com/is/image/MCY/3799630 ")</f>
        <v xml:space="preserve">http://slimages.macys.com/is/image/MCY/3799630 </v>
      </c>
    </row>
    <row r="275" spans="1:13" ht="15.2" customHeight="1" x14ac:dyDescent="0.2">
      <c r="A275" s="26" t="s">
        <v>5455</v>
      </c>
      <c r="B275" s="27" t="s">
        <v>5456</v>
      </c>
      <c r="C275" s="28">
        <v>1</v>
      </c>
      <c r="D275" s="29">
        <v>8</v>
      </c>
      <c r="E275" s="29">
        <v>8</v>
      </c>
      <c r="F275" s="30">
        <v>19.989999999999998</v>
      </c>
      <c r="G275" s="29">
        <v>19.989999999999998</v>
      </c>
      <c r="H275" s="28" t="s">
        <v>840</v>
      </c>
      <c r="I275" s="27" t="s">
        <v>189</v>
      </c>
      <c r="J275" s="31" t="s">
        <v>71</v>
      </c>
      <c r="K275" s="27" t="s">
        <v>282</v>
      </c>
      <c r="L275" s="27" t="s">
        <v>349</v>
      </c>
      <c r="M275" s="32" t="str">
        <f>HYPERLINK("http://slimages.macys.com/is/image/MCY/3799630 ")</f>
        <v xml:space="preserve">http://slimages.macys.com/is/image/MCY/3799630 </v>
      </c>
    </row>
    <row r="276" spans="1:13" ht="15.2" customHeight="1" x14ac:dyDescent="0.2">
      <c r="A276" s="26" t="s">
        <v>2301</v>
      </c>
      <c r="B276" s="27" t="s">
        <v>2302</v>
      </c>
      <c r="C276" s="28">
        <v>2</v>
      </c>
      <c r="D276" s="29">
        <v>8</v>
      </c>
      <c r="E276" s="29">
        <v>16</v>
      </c>
      <c r="F276" s="30">
        <v>19.989999999999998</v>
      </c>
      <c r="G276" s="29">
        <v>39.979999999999997</v>
      </c>
      <c r="H276" s="28" t="s">
        <v>364</v>
      </c>
      <c r="I276" s="27" t="s">
        <v>280</v>
      </c>
      <c r="J276" s="31" t="s">
        <v>52</v>
      </c>
      <c r="K276" s="27" t="s">
        <v>282</v>
      </c>
      <c r="L276" s="27" t="s">
        <v>358</v>
      </c>
      <c r="M276" s="32" t="str">
        <f>HYPERLINK("http://slimages.macys.com/is/image/MCY/3931077 ")</f>
        <v xml:space="preserve">http://slimages.macys.com/is/image/MCY/3931077 </v>
      </c>
    </row>
    <row r="277" spans="1:13" ht="15.2" customHeight="1" x14ac:dyDescent="0.2">
      <c r="A277" s="26" t="s">
        <v>853</v>
      </c>
      <c r="B277" s="27" t="s">
        <v>854</v>
      </c>
      <c r="C277" s="28">
        <v>1</v>
      </c>
      <c r="D277" s="29">
        <v>8</v>
      </c>
      <c r="E277" s="29">
        <v>8</v>
      </c>
      <c r="F277" s="30">
        <v>19.989999999999998</v>
      </c>
      <c r="G277" s="29">
        <v>19.989999999999998</v>
      </c>
      <c r="H277" s="28" t="s">
        <v>364</v>
      </c>
      <c r="I277" s="27" t="s">
        <v>280</v>
      </c>
      <c r="J277" s="31" t="s">
        <v>21</v>
      </c>
      <c r="K277" s="27" t="s">
        <v>282</v>
      </c>
      <c r="L277" s="27" t="s">
        <v>358</v>
      </c>
      <c r="M277" s="32" t="str">
        <f>HYPERLINK("http://slimages.macys.com/is/image/MCY/3931077 ")</f>
        <v xml:space="preserve">http://slimages.macys.com/is/image/MCY/3931077 </v>
      </c>
    </row>
    <row r="278" spans="1:13" ht="15.2" customHeight="1" x14ac:dyDescent="0.2">
      <c r="A278" s="26" t="s">
        <v>849</v>
      </c>
      <c r="B278" s="27" t="s">
        <v>850</v>
      </c>
      <c r="C278" s="28">
        <v>1</v>
      </c>
      <c r="D278" s="29">
        <v>8</v>
      </c>
      <c r="E278" s="29">
        <v>8</v>
      </c>
      <c r="F278" s="30">
        <v>19.989999999999998</v>
      </c>
      <c r="G278" s="29">
        <v>19.989999999999998</v>
      </c>
      <c r="H278" s="28" t="s">
        <v>348</v>
      </c>
      <c r="I278" s="27" t="s">
        <v>22</v>
      </c>
      <c r="J278" s="31" t="s">
        <v>21</v>
      </c>
      <c r="K278" s="27" t="s">
        <v>282</v>
      </c>
      <c r="L278" s="27" t="s">
        <v>349</v>
      </c>
      <c r="M278" s="32" t="str">
        <f>HYPERLINK("http://slimages.macys.com/is/image/MCY/3857787 ")</f>
        <v xml:space="preserve">http://slimages.macys.com/is/image/MCY/3857787 </v>
      </c>
    </row>
    <row r="279" spans="1:13" ht="15.2" customHeight="1" x14ac:dyDescent="0.2">
      <c r="A279" s="26" t="s">
        <v>1398</v>
      </c>
      <c r="B279" s="27" t="s">
        <v>1399</v>
      </c>
      <c r="C279" s="28">
        <v>1</v>
      </c>
      <c r="D279" s="29">
        <v>8</v>
      </c>
      <c r="E279" s="29">
        <v>8</v>
      </c>
      <c r="F279" s="30">
        <v>22.99</v>
      </c>
      <c r="G279" s="29">
        <v>22.99</v>
      </c>
      <c r="H279" s="28" t="s">
        <v>1397</v>
      </c>
      <c r="I279" s="27" t="s">
        <v>94</v>
      </c>
      <c r="J279" s="31" t="s">
        <v>5</v>
      </c>
      <c r="K279" s="27" t="s">
        <v>200</v>
      </c>
      <c r="L279" s="27" t="s">
        <v>325</v>
      </c>
      <c r="M279" s="32" t="str">
        <f>HYPERLINK("http://slimages.macys.com/is/image/MCY/3937194 ")</f>
        <v xml:space="preserve">http://slimages.macys.com/is/image/MCY/3937194 </v>
      </c>
    </row>
    <row r="280" spans="1:13" ht="15.2" customHeight="1" x14ac:dyDescent="0.2">
      <c r="A280" s="26" t="s">
        <v>1410</v>
      </c>
      <c r="B280" s="27" t="s">
        <v>1411</v>
      </c>
      <c r="C280" s="28">
        <v>2</v>
      </c>
      <c r="D280" s="29">
        <v>8</v>
      </c>
      <c r="E280" s="29">
        <v>16</v>
      </c>
      <c r="F280" s="30">
        <v>22.99</v>
      </c>
      <c r="G280" s="29">
        <v>45.98</v>
      </c>
      <c r="H280" s="28" t="s">
        <v>1412</v>
      </c>
      <c r="I280" s="27" t="s">
        <v>4</v>
      </c>
      <c r="J280" s="31" t="s">
        <v>21</v>
      </c>
      <c r="K280" s="27" t="s">
        <v>200</v>
      </c>
      <c r="L280" s="27" t="s">
        <v>325</v>
      </c>
      <c r="M280" s="32" t="str">
        <f>HYPERLINK("http://slimages.macys.com/is/image/MCY/3937194 ")</f>
        <v xml:space="preserve">http://slimages.macys.com/is/image/MCY/3937194 </v>
      </c>
    </row>
    <row r="281" spans="1:13" ht="15.2" customHeight="1" x14ac:dyDescent="0.2">
      <c r="A281" s="26" t="s">
        <v>9879</v>
      </c>
      <c r="B281" s="27" t="s">
        <v>9880</v>
      </c>
      <c r="C281" s="28">
        <v>1</v>
      </c>
      <c r="D281" s="29">
        <v>8</v>
      </c>
      <c r="E281" s="29">
        <v>8</v>
      </c>
      <c r="F281" s="30">
        <v>19.989999999999998</v>
      </c>
      <c r="G281" s="29">
        <v>19.989999999999998</v>
      </c>
      <c r="H281" s="28" t="s">
        <v>7565</v>
      </c>
      <c r="I281" s="27"/>
      <c r="J281" s="31" t="s">
        <v>40</v>
      </c>
      <c r="K281" s="27" t="s">
        <v>224</v>
      </c>
      <c r="L281" s="27" t="s">
        <v>254</v>
      </c>
      <c r="M281" s="32" t="str">
        <f>HYPERLINK("http://slimages.macys.com/is/image/MCY/3719811 ")</f>
        <v xml:space="preserve">http://slimages.macys.com/is/image/MCY/3719811 </v>
      </c>
    </row>
    <row r="282" spans="1:13" ht="15.2" customHeight="1" x14ac:dyDescent="0.2">
      <c r="A282" s="26" t="s">
        <v>10904</v>
      </c>
      <c r="B282" s="27" t="s">
        <v>10905</v>
      </c>
      <c r="C282" s="28">
        <v>1</v>
      </c>
      <c r="D282" s="29">
        <v>8</v>
      </c>
      <c r="E282" s="29">
        <v>8</v>
      </c>
      <c r="F282" s="30">
        <v>19.989999999999998</v>
      </c>
      <c r="G282" s="29">
        <v>19.989999999999998</v>
      </c>
      <c r="H282" s="28" t="s">
        <v>4350</v>
      </c>
      <c r="I282" s="27" t="s">
        <v>75</v>
      </c>
      <c r="J282" s="31" t="s">
        <v>71</v>
      </c>
      <c r="K282" s="27" t="s">
        <v>196</v>
      </c>
      <c r="L282" s="27" t="s">
        <v>322</v>
      </c>
      <c r="M282" s="32" t="str">
        <f>HYPERLINK("http://slimages.macys.com/is/image/MCY/3820938 ")</f>
        <v xml:space="preserve">http://slimages.macys.com/is/image/MCY/3820938 </v>
      </c>
    </row>
    <row r="283" spans="1:13" ht="15.2" customHeight="1" x14ac:dyDescent="0.2">
      <c r="A283" s="26" t="s">
        <v>1883</v>
      </c>
      <c r="B283" s="27" t="s">
        <v>1884</v>
      </c>
      <c r="C283" s="28">
        <v>1</v>
      </c>
      <c r="D283" s="29">
        <v>8</v>
      </c>
      <c r="E283" s="29">
        <v>8</v>
      </c>
      <c r="F283" s="30">
        <v>19.989999999999998</v>
      </c>
      <c r="G283" s="29">
        <v>19.989999999999998</v>
      </c>
      <c r="H283" s="28" t="s">
        <v>1885</v>
      </c>
      <c r="I283" s="27" t="s">
        <v>94</v>
      </c>
      <c r="J283" s="31" t="s">
        <v>71</v>
      </c>
      <c r="K283" s="27" t="s">
        <v>196</v>
      </c>
      <c r="L283" s="27" t="s">
        <v>239</v>
      </c>
      <c r="M283" s="32" t="str">
        <f>HYPERLINK("http://slimages.macys.com/is/image/MCY/3834521 ")</f>
        <v xml:space="preserve">http://slimages.macys.com/is/image/MCY/3834521 </v>
      </c>
    </row>
    <row r="284" spans="1:13" ht="15.2" customHeight="1" x14ac:dyDescent="0.2">
      <c r="A284" s="26" t="s">
        <v>8557</v>
      </c>
      <c r="B284" s="27" t="s">
        <v>8558</v>
      </c>
      <c r="C284" s="28">
        <v>1</v>
      </c>
      <c r="D284" s="29">
        <v>8</v>
      </c>
      <c r="E284" s="29">
        <v>8</v>
      </c>
      <c r="F284" s="30">
        <v>19.989999999999998</v>
      </c>
      <c r="G284" s="29">
        <v>19.989999999999998</v>
      </c>
      <c r="H284" s="28" t="s">
        <v>1885</v>
      </c>
      <c r="I284" s="27" t="s">
        <v>94</v>
      </c>
      <c r="J284" s="31" t="s">
        <v>40</v>
      </c>
      <c r="K284" s="27" t="s">
        <v>196</v>
      </c>
      <c r="L284" s="27" t="s">
        <v>239</v>
      </c>
      <c r="M284" s="32" t="str">
        <f>HYPERLINK("http://slimages.macys.com/is/image/MCY/3834521 ")</f>
        <v xml:space="preserve">http://slimages.macys.com/is/image/MCY/3834521 </v>
      </c>
    </row>
    <row r="285" spans="1:13" ht="15.2" customHeight="1" x14ac:dyDescent="0.2">
      <c r="A285" s="26" t="s">
        <v>9817</v>
      </c>
      <c r="B285" s="27" t="s">
        <v>9818</v>
      </c>
      <c r="C285" s="28">
        <v>1</v>
      </c>
      <c r="D285" s="29">
        <v>8</v>
      </c>
      <c r="E285" s="29">
        <v>8</v>
      </c>
      <c r="F285" s="30">
        <v>19.989999999999998</v>
      </c>
      <c r="G285" s="29">
        <v>19.989999999999998</v>
      </c>
      <c r="H285" s="28" t="s">
        <v>1888</v>
      </c>
      <c r="I285" s="27" t="s">
        <v>271</v>
      </c>
      <c r="J285" s="31" t="s">
        <v>21</v>
      </c>
      <c r="K285" s="27" t="s">
        <v>196</v>
      </c>
      <c r="L285" s="27" t="s">
        <v>239</v>
      </c>
      <c r="M285" s="32" t="str">
        <f>HYPERLINK("http://slimages.macys.com/is/image/MCY/3853021 ")</f>
        <v xml:space="preserve">http://slimages.macys.com/is/image/MCY/3853021 </v>
      </c>
    </row>
    <row r="286" spans="1:13" ht="15.2" customHeight="1" x14ac:dyDescent="0.2">
      <c r="A286" s="26" t="s">
        <v>4481</v>
      </c>
      <c r="B286" s="27" t="s">
        <v>4482</v>
      </c>
      <c r="C286" s="28">
        <v>1</v>
      </c>
      <c r="D286" s="29">
        <v>8</v>
      </c>
      <c r="E286" s="29">
        <v>8</v>
      </c>
      <c r="F286" s="30">
        <v>19.989999999999998</v>
      </c>
      <c r="G286" s="29">
        <v>19.989999999999998</v>
      </c>
      <c r="H286" s="28" t="s">
        <v>1362</v>
      </c>
      <c r="I286" s="27" t="s">
        <v>661</v>
      </c>
      <c r="J286" s="31" t="s">
        <v>5</v>
      </c>
      <c r="K286" s="27" t="s">
        <v>224</v>
      </c>
      <c r="L286" s="27" t="s">
        <v>276</v>
      </c>
      <c r="M286" s="32" t="str">
        <f>HYPERLINK("http://slimages.macys.com/is/image/MCY/3814584 ")</f>
        <v xml:space="preserve">http://slimages.macys.com/is/image/MCY/3814584 </v>
      </c>
    </row>
    <row r="287" spans="1:13" ht="15.2" customHeight="1" x14ac:dyDescent="0.2">
      <c r="A287" s="26" t="s">
        <v>7781</v>
      </c>
      <c r="B287" s="27" t="s">
        <v>7782</v>
      </c>
      <c r="C287" s="28">
        <v>1</v>
      </c>
      <c r="D287" s="29">
        <v>8</v>
      </c>
      <c r="E287" s="29">
        <v>8</v>
      </c>
      <c r="F287" s="30">
        <v>19.989999999999998</v>
      </c>
      <c r="G287" s="29">
        <v>19.989999999999998</v>
      </c>
      <c r="H287" s="28" t="s">
        <v>1394</v>
      </c>
      <c r="I287" s="27"/>
      <c r="J287" s="31" t="s">
        <v>40</v>
      </c>
      <c r="K287" s="27" t="s">
        <v>224</v>
      </c>
      <c r="L287" s="27" t="s">
        <v>254</v>
      </c>
      <c r="M287" s="32" t="str">
        <f>HYPERLINK("http://slimages.macys.com/is/image/MCY/3825537 ")</f>
        <v xml:space="preserve">http://slimages.macys.com/is/image/MCY/3825537 </v>
      </c>
    </row>
    <row r="288" spans="1:13" ht="15.2" customHeight="1" x14ac:dyDescent="0.2">
      <c r="A288" s="26" t="s">
        <v>5453</v>
      </c>
      <c r="B288" s="27" t="s">
        <v>5454</v>
      </c>
      <c r="C288" s="28">
        <v>1</v>
      </c>
      <c r="D288" s="29">
        <v>8</v>
      </c>
      <c r="E288" s="29">
        <v>8</v>
      </c>
      <c r="F288" s="30">
        <v>19.989999999999998</v>
      </c>
      <c r="G288" s="29">
        <v>19.989999999999998</v>
      </c>
      <c r="H288" s="28" t="s">
        <v>1362</v>
      </c>
      <c r="I288" s="27" t="s">
        <v>22</v>
      </c>
      <c r="J288" s="31" t="s">
        <v>5</v>
      </c>
      <c r="K288" s="27" t="s">
        <v>224</v>
      </c>
      <c r="L288" s="27" t="s">
        <v>276</v>
      </c>
      <c r="M288" s="32" t="str">
        <f>HYPERLINK("http://slimages.macys.com/is/image/MCY/3814584 ")</f>
        <v xml:space="preserve">http://slimages.macys.com/is/image/MCY/3814584 </v>
      </c>
    </row>
    <row r="289" spans="1:13" ht="15.2" customHeight="1" x14ac:dyDescent="0.2">
      <c r="A289" s="26" t="s">
        <v>8319</v>
      </c>
      <c r="B289" s="27" t="s">
        <v>8320</v>
      </c>
      <c r="C289" s="28">
        <v>1</v>
      </c>
      <c r="D289" s="29">
        <v>8</v>
      </c>
      <c r="E289" s="29">
        <v>8</v>
      </c>
      <c r="F289" s="30">
        <v>19.989999999999998</v>
      </c>
      <c r="G289" s="29">
        <v>19.989999999999998</v>
      </c>
      <c r="H289" s="28" t="s">
        <v>1362</v>
      </c>
      <c r="I289" s="27" t="s">
        <v>22</v>
      </c>
      <c r="J289" s="31" t="s">
        <v>21</v>
      </c>
      <c r="K289" s="27" t="s">
        <v>224</v>
      </c>
      <c r="L289" s="27" t="s">
        <v>276</v>
      </c>
      <c r="M289" s="32" t="str">
        <f>HYPERLINK("http://slimages.macys.com/is/image/MCY/3814584 ")</f>
        <v xml:space="preserve">http://slimages.macys.com/is/image/MCY/3814584 </v>
      </c>
    </row>
    <row r="290" spans="1:13" ht="15.2" customHeight="1" x14ac:dyDescent="0.2">
      <c r="A290" s="26" t="s">
        <v>11507</v>
      </c>
      <c r="B290" s="27" t="s">
        <v>11508</v>
      </c>
      <c r="C290" s="28">
        <v>1</v>
      </c>
      <c r="D290" s="29">
        <v>7.95</v>
      </c>
      <c r="E290" s="29">
        <v>7.95</v>
      </c>
      <c r="F290" s="30">
        <v>19.989999999999998</v>
      </c>
      <c r="G290" s="29">
        <v>19.989999999999998</v>
      </c>
      <c r="H290" s="28" t="s">
        <v>8507</v>
      </c>
      <c r="I290" s="27" t="s">
        <v>64</v>
      </c>
      <c r="J290" s="31" t="s">
        <v>21</v>
      </c>
      <c r="K290" s="27" t="s">
        <v>196</v>
      </c>
      <c r="L290" s="27" t="s">
        <v>197</v>
      </c>
      <c r="M290" s="32" t="str">
        <f>HYPERLINK("http://slimages.macys.com/is/image/MCY/3425593 ")</f>
        <v xml:space="preserve">http://slimages.macys.com/is/image/MCY/3425593 </v>
      </c>
    </row>
    <row r="291" spans="1:13" ht="15.2" customHeight="1" x14ac:dyDescent="0.2">
      <c r="A291" s="26" t="s">
        <v>8026</v>
      </c>
      <c r="B291" s="27" t="s">
        <v>8027</v>
      </c>
      <c r="C291" s="28">
        <v>4</v>
      </c>
      <c r="D291" s="29">
        <v>7.85</v>
      </c>
      <c r="E291" s="29">
        <v>31.4</v>
      </c>
      <c r="F291" s="30">
        <v>24.99</v>
      </c>
      <c r="G291" s="29">
        <v>99.96</v>
      </c>
      <c r="H291" s="28" t="s">
        <v>367</v>
      </c>
      <c r="I291" s="27" t="s">
        <v>82</v>
      </c>
      <c r="J291" s="31" t="s">
        <v>40</v>
      </c>
      <c r="K291" s="27" t="s">
        <v>224</v>
      </c>
      <c r="L291" s="27" t="s">
        <v>260</v>
      </c>
      <c r="M291" s="32" t="str">
        <f>HYPERLINK("http://slimages.macys.com/is/image/MCY/3853703 ")</f>
        <v xml:space="preserve">http://slimages.macys.com/is/image/MCY/3853703 </v>
      </c>
    </row>
    <row r="292" spans="1:13" ht="15.2" customHeight="1" x14ac:dyDescent="0.2">
      <c r="A292" s="26" t="s">
        <v>5112</v>
      </c>
      <c r="B292" s="27" t="s">
        <v>5113</v>
      </c>
      <c r="C292" s="28">
        <v>1</v>
      </c>
      <c r="D292" s="29">
        <v>7.85</v>
      </c>
      <c r="E292" s="29">
        <v>7.85</v>
      </c>
      <c r="F292" s="30">
        <v>24.99</v>
      </c>
      <c r="G292" s="29">
        <v>24.99</v>
      </c>
      <c r="H292" s="28" t="s">
        <v>367</v>
      </c>
      <c r="I292" s="27" t="s">
        <v>4</v>
      </c>
      <c r="J292" s="31" t="s">
        <v>21</v>
      </c>
      <c r="K292" s="27" t="s">
        <v>224</v>
      </c>
      <c r="L292" s="27" t="s">
        <v>260</v>
      </c>
      <c r="M292" s="32" t="str">
        <f>HYPERLINK("http://slimages.macys.com/is/image/MCY/3853703 ")</f>
        <v xml:space="preserve">http://slimages.macys.com/is/image/MCY/3853703 </v>
      </c>
    </row>
    <row r="293" spans="1:13" ht="15.2" customHeight="1" x14ac:dyDescent="0.2">
      <c r="A293" s="26" t="s">
        <v>8219</v>
      </c>
      <c r="B293" s="27" t="s">
        <v>8220</v>
      </c>
      <c r="C293" s="28">
        <v>1</v>
      </c>
      <c r="D293" s="29">
        <v>7.85</v>
      </c>
      <c r="E293" s="29">
        <v>7.85</v>
      </c>
      <c r="F293" s="30">
        <v>27.99</v>
      </c>
      <c r="G293" s="29">
        <v>27.99</v>
      </c>
      <c r="H293" s="28" t="s">
        <v>1419</v>
      </c>
      <c r="I293" s="27" t="s">
        <v>144</v>
      </c>
      <c r="J293" s="31" t="s">
        <v>71</v>
      </c>
      <c r="K293" s="27" t="s">
        <v>224</v>
      </c>
      <c r="L293" s="27" t="s">
        <v>260</v>
      </c>
      <c r="M293" s="32" t="str">
        <f>HYPERLINK("http://slimages.macys.com/is/image/MCY/3798032 ")</f>
        <v xml:space="preserve">http://slimages.macys.com/is/image/MCY/3798032 </v>
      </c>
    </row>
    <row r="294" spans="1:13" ht="15.2" customHeight="1" x14ac:dyDescent="0.2">
      <c r="A294" s="26" t="s">
        <v>7423</v>
      </c>
      <c r="B294" s="27" t="s">
        <v>7424</v>
      </c>
      <c r="C294" s="28">
        <v>1</v>
      </c>
      <c r="D294" s="29">
        <v>7.85</v>
      </c>
      <c r="E294" s="29">
        <v>7.85</v>
      </c>
      <c r="F294" s="30">
        <v>24.99</v>
      </c>
      <c r="G294" s="29">
        <v>24.99</v>
      </c>
      <c r="H294" s="28" t="s">
        <v>367</v>
      </c>
      <c r="I294" s="27" t="s">
        <v>2324</v>
      </c>
      <c r="J294" s="31" t="s">
        <v>5</v>
      </c>
      <c r="K294" s="27" t="s">
        <v>224</v>
      </c>
      <c r="L294" s="27" t="s">
        <v>260</v>
      </c>
      <c r="M294" s="32" t="str">
        <f>HYPERLINK("http://slimages.macys.com/is/image/MCY/3853703 ")</f>
        <v xml:space="preserve">http://slimages.macys.com/is/image/MCY/3853703 </v>
      </c>
    </row>
    <row r="295" spans="1:13" ht="15.2" customHeight="1" x14ac:dyDescent="0.2">
      <c r="A295" s="26" t="s">
        <v>4490</v>
      </c>
      <c r="B295" s="27" t="s">
        <v>4491</v>
      </c>
      <c r="C295" s="28">
        <v>1</v>
      </c>
      <c r="D295" s="29">
        <v>7.85</v>
      </c>
      <c r="E295" s="29">
        <v>7.85</v>
      </c>
      <c r="F295" s="30">
        <v>24.99</v>
      </c>
      <c r="G295" s="29">
        <v>24.99</v>
      </c>
      <c r="H295" s="28" t="s">
        <v>367</v>
      </c>
      <c r="I295" s="27" t="s">
        <v>26</v>
      </c>
      <c r="J295" s="31" t="s">
        <v>5</v>
      </c>
      <c r="K295" s="27" t="s">
        <v>224</v>
      </c>
      <c r="L295" s="27" t="s">
        <v>260</v>
      </c>
      <c r="M295" s="32" t="str">
        <f>HYPERLINK("http://slimages.macys.com/is/image/MCY/3853703 ")</f>
        <v xml:space="preserve">http://slimages.macys.com/is/image/MCY/3853703 </v>
      </c>
    </row>
    <row r="296" spans="1:13" ht="15.2" customHeight="1" x14ac:dyDescent="0.2">
      <c r="A296" s="26" t="s">
        <v>9825</v>
      </c>
      <c r="B296" s="27" t="s">
        <v>9826</v>
      </c>
      <c r="C296" s="28">
        <v>1</v>
      </c>
      <c r="D296" s="29">
        <v>7.85</v>
      </c>
      <c r="E296" s="29">
        <v>7.85</v>
      </c>
      <c r="F296" s="30">
        <v>24.99</v>
      </c>
      <c r="G296" s="29">
        <v>24.99</v>
      </c>
      <c r="H296" s="28" t="s">
        <v>367</v>
      </c>
      <c r="I296" s="27" t="s">
        <v>26</v>
      </c>
      <c r="J296" s="31" t="s">
        <v>71</v>
      </c>
      <c r="K296" s="27" t="s">
        <v>224</v>
      </c>
      <c r="L296" s="27" t="s">
        <v>260</v>
      </c>
      <c r="M296" s="32" t="str">
        <f>HYPERLINK("http://slimages.macys.com/is/image/MCY/3853703 ")</f>
        <v xml:space="preserve">http://slimages.macys.com/is/image/MCY/3853703 </v>
      </c>
    </row>
    <row r="297" spans="1:13" ht="15.2" customHeight="1" x14ac:dyDescent="0.2">
      <c r="A297" s="26" t="s">
        <v>11509</v>
      </c>
      <c r="B297" s="27" t="s">
        <v>11510</v>
      </c>
      <c r="C297" s="28">
        <v>1</v>
      </c>
      <c r="D297" s="29">
        <v>7.85</v>
      </c>
      <c r="E297" s="29">
        <v>7.85</v>
      </c>
      <c r="F297" s="30">
        <v>27.99</v>
      </c>
      <c r="G297" s="29">
        <v>27.99</v>
      </c>
      <c r="H297" s="28" t="s">
        <v>1419</v>
      </c>
      <c r="I297" s="27" t="s">
        <v>274</v>
      </c>
      <c r="J297" s="31" t="s">
        <v>71</v>
      </c>
      <c r="K297" s="27" t="s">
        <v>224</v>
      </c>
      <c r="L297" s="27" t="s">
        <v>260</v>
      </c>
      <c r="M297" s="32" t="str">
        <f>HYPERLINK("http://slimages.macys.com/is/image/MCY/3798032 ")</f>
        <v xml:space="preserve">http://slimages.macys.com/is/image/MCY/3798032 </v>
      </c>
    </row>
    <row r="298" spans="1:13" ht="15.2" customHeight="1" x14ac:dyDescent="0.2">
      <c r="A298" s="26" t="s">
        <v>9821</v>
      </c>
      <c r="B298" s="27" t="s">
        <v>9822</v>
      </c>
      <c r="C298" s="28">
        <v>2</v>
      </c>
      <c r="D298" s="29">
        <v>7.85</v>
      </c>
      <c r="E298" s="29">
        <v>15.7</v>
      </c>
      <c r="F298" s="30">
        <v>27.99</v>
      </c>
      <c r="G298" s="29">
        <v>55.98</v>
      </c>
      <c r="H298" s="28" t="s">
        <v>1419</v>
      </c>
      <c r="I298" s="27" t="s">
        <v>144</v>
      </c>
      <c r="J298" s="31" t="s">
        <v>5</v>
      </c>
      <c r="K298" s="27" t="s">
        <v>224</v>
      </c>
      <c r="L298" s="27" t="s">
        <v>260</v>
      </c>
      <c r="M298" s="32" t="str">
        <f>HYPERLINK("http://slimages.macys.com/is/image/MCY/3798032 ")</f>
        <v xml:space="preserve">http://slimages.macys.com/is/image/MCY/3798032 </v>
      </c>
    </row>
    <row r="299" spans="1:13" ht="15.2" customHeight="1" x14ac:dyDescent="0.2">
      <c r="A299" s="26" t="s">
        <v>8191</v>
      </c>
      <c r="B299" s="27" t="s">
        <v>8192</v>
      </c>
      <c r="C299" s="28">
        <v>1</v>
      </c>
      <c r="D299" s="29">
        <v>7.82</v>
      </c>
      <c r="E299" s="29">
        <v>7.82</v>
      </c>
      <c r="F299" s="30">
        <v>19.989999999999998</v>
      </c>
      <c r="G299" s="29">
        <v>19.989999999999998</v>
      </c>
      <c r="H299" s="28">
        <v>60450133</v>
      </c>
      <c r="I299" s="27" t="s">
        <v>33</v>
      </c>
      <c r="J299" s="31" t="s">
        <v>21</v>
      </c>
      <c r="K299" s="27" t="s">
        <v>208</v>
      </c>
      <c r="L299" s="27" t="s">
        <v>255</v>
      </c>
      <c r="M299" s="32" t="str">
        <f>HYPERLINK("http://slimages.macys.com/is/image/MCY/3913070 ")</f>
        <v xml:space="preserve">http://slimages.macys.com/is/image/MCY/3913070 </v>
      </c>
    </row>
    <row r="300" spans="1:13" ht="15.2" customHeight="1" x14ac:dyDescent="0.2">
      <c r="A300" s="26" t="s">
        <v>11214</v>
      </c>
      <c r="B300" s="27" t="s">
        <v>11215</v>
      </c>
      <c r="C300" s="28">
        <v>1</v>
      </c>
      <c r="D300" s="29">
        <v>7.82</v>
      </c>
      <c r="E300" s="29">
        <v>7.82</v>
      </c>
      <c r="F300" s="30">
        <v>19.989999999999998</v>
      </c>
      <c r="G300" s="29">
        <v>19.989999999999998</v>
      </c>
      <c r="H300" s="28">
        <v>60450129</v>
      </c>
      <c r="I300" s="27" t="s">
        <v>238</v>
      </c>
      <c r="J300" s="31" t="s">
        <v>65</v>
      </c>
      <c r="K300" s="27" t="s">
        <v>208</v>
      </c>
      <c r="L300" s="27" t="s">
        <v>255</v>
      </c>
      <c r="M300" s="32" t="str">
        <f>HYPERLINK("http://slimages.macys.com/is/image/MCY/3954999 ")</f>
        <v xml:space="preserve">http://slimages.macys.com/is/image/MCY/3954999 </v>
      </c>
    </row>
    <row r="301" spans="1:13" ht="15.2" customHeight="1" x14ac:dyDescent="0.2">
      <c r="A301" s="26" t="s">
        <v>2332</v>
      </c>
      <c r="B301" s="27" t="s">
        <v>2333</v>
      </c>
      <c r="C301" s="28">
        <v>1</v>
      </c>
      <c r="D301" s="29">
        <v>7.63</v>
      </c>
      <c r="E301" s="29">
        <v>7.63</v>
      </c>
      <c r="F301" s="30">
        <v>22.5</v>
      </c>
      <c r="G301" s="29">
        <v>22.5</v>
      </c>
      <c r="H301" s="28" t="s">
        <v>2334</v>
      </c>
      <c r="I301" s="27" t="s">
        <v>4</v>
      </c>
      <c r="J301" s="31" t="s">
        <v>40</v>
      </c>
      <c r="K301" s="27" t="s">
        <v>53</v>
      </c>
      <c r="L301" s="27" t="s">
        <v>372</v>
      </c>
      <c r="M301" s="32" t="str">
        <f>HYPERLINK("http://slimages.macys.com/is/image/MCY/2217105 ")</f>
        <v xml:space="preserve">http://slimages.macys.com/is/image/MCY/2217105 </v>
      </c>
    </row>
    <row r="302" spans="1:13" ht="15.2" customHeight="1" x14ac:dyDescent="0.2">
      <c r="A302" s="26" t="s">
        <v>10142</v>
      </c>
      <c r="B302" s="27" t="s">
        <v>10143</v>
      </c>
      <c r="C302" s="28">
        <v>1</v>
      </c>
      <c r="D302" s="29">
        <v>7.5</v>
      </c>
      <c r="E302" s="29">
        <v>7.5</v>
      </c>
      <c r="F302" s="30">
        <v>19.989999999999998</v>
      </c>
      <c r="G302" s="29">
        <v>19.989999999999998</v>
      </c>
      <c r="H302" s="28" t="s">
        <v>1427</v>
      </c>
      <c r="I302" s="27" t="s">
        <v>26</v>
      </c>
      <c r="J302" s="31" t="s">
        <v>21</v>
      </c>
      <c r="K302" s="27" t="s">
        <v>196</v>
      </c>
      <c r="L302" s="27" t="s">
        <v>336</v>
      </c>
      <c r="M302" s="32" t="str">
        <f>HYPERLINK("http://slimages.macys.com/is/image/MCY/3852983 ")</f>
        <v xml:space="preserve">http://slimages.macys.com/is/image/MCY/3852983 </v>
      </c>
    </row>
    <row r="303" spans="1:13" ht="15.2" customHeight="1" x14ac:dyDescent="0.2">
      <c r="A303" s="26" t="s">
        <v>369</v>
      </c>
      <c r="B303" s="27" t="s">
        <v>370</v>
      </c>
      <c r="C303" s="28">
        <v>2</v>
      </c>
      <c r="D303" s="29">
        <v>7.5</v>
      </c>
      <c r="E303" s="29">
        <v>15</v>
      </c>
      <c r="F303" s="30">
        <v>21.5</v>
      </c>
      <c r="G303" s="29">
        <v>43</v>
      </c>
      <c r="H303" s="28" t="s">
        <v>371</v>
      </c>
      <c r="I303" s="27" t="s">
        <v>4</v>
      </c>
      <c r="J303" s="31" t="s">
        <v>40</v>
      </c>
      <c r="K303" s="27" t="s">
        <v>70</v>
      </c>
      <c r="L303" s="27" t="s">
        <v>353</v>
      </c>
      <c r="M303" s="32" t="str">
        <f>HYPERLINK("http://slimages.macys.com/is/image/MCY/3845992 ")</f>
        <v xml:space="preserve">http://slimages.macys.com/is/image/MCY/3845992 </v>
      </c>
    </row>
    <row r="304" spans="1:13" ht="15.2" customHeight="1" x14ac:dyDescent="0.2">
      <c r="A304" s="26" t="s">
        <v>9673</v>
      </c>
      <c r="B304" s="27" t="s">
        <v>9674</v>
      </c>
      <c r="C304" s="28">
        <v>1</v>
      </c>
      <c r="D304" s="29">
        <v>7.5</v>
      </c>
      <c r="E304" s="29">
        <v>7.5</v>
      </c>
      <c r="F304" s="30">
        <v>18.989999999999998</v>
      </c>
      <c r="G304" s="29">
        <v>18.989999999999998</v>
      </c>
      <c r="H304" s="28" t="s">
        <v>8034</v>
      </c>
      <c r="I304" s="27" t="s">
        <v>4</v>
      </c>
      <c r="J304" s="31" t="s">
        <v>52</v>
      </c>
      <c r="K304" s="27" t="s">
        <v>70</v>
      </c>
      <c r="L304" s="27" t="s">
        <v>1355</v>
      </c>
      <c r="M304" s="32" t="str">
        <f>HYPERLINK("http://slimages.macys.com/is/image/MCY/3677953 ")</f>
        <v xml:space="preserve">http://slimages.macys.com/is/image/MCY/3677953 </v>
      </c>
    </row>
    <row r="305" spans="1:13" ht="15.2" customHeight="1" x14ac:dyDescent="0.2">
      <c r="A305" s="26" t="s">
        <v>3448</v>
      </c>
      <c r="B305" s="27" t="s">
        <v>3449</v>
      </c>
      <c r="C305" s="28">
        <v>1</v>
      </c>
      <c r="D305" s="29">
        <v>7.5</v>
      </c>
      <c r="E305" s="29">
        <v>7.5</v>
      </c>
      <c r="F305" s="30">
        <v>19.989999999999998</v>
      </c>
      <c r="G305" s="29">
        <v>19.989999999999998</v>
      </c>
      <c r="H305" s="28" t="s">
        <v>3438</v>
      </c>
      <c r="I305" s="27" t="s">
        <v>248</v>
      </c>
      <c r="J305" s="31" t="s">
        <v>21</v>
      </c>
      <c r="K305" s="27" t="s">
        <v>196</v>
      </c>
      <c r="L305" s="27" t="s">
        <v>336</v>
      </c>
      <c r="M305" s="32" t="str">
        <f>HYPERLINK("http://slimages.macys.com/is/image/MCY/3660171 ")</f>
        <v xml:space="preserve">http://slimages.macys.com/is/image/MCY/3660171 </v>
      </c>
    </row>
    <row r="306" spans="1:13" ht="15.2" customHeight="1" x14ac:dyDescent="0.2">
      <c r="A306" s="26" t="s">
        <v>11511</v>
      </c>
      <c r="B306" s="27" t="s">
        <v>11512</v>
      </c>
      <c r="C306" s="28">
        <v>1</v>
      </c>
      <c r="D306" s="29">
        <v>7.5</v>
      </c>
      <c r="E306" s="29">
        <v>7.5</v>
      </c>
      <c r="F306" s="30">
        <v>19.989999999999998</v>
      </c>
      <c r="G306" s="29">
        <v>19.989999999999998</v>
      </c>
      <c r="H306" s="28" t="s">
        <v>1427</v>
      </c>
      <c r="I306" s="27" t="s">
        <v>26</v>
      </c>
      <c r="J306" s="31" t="s">
        <v>5</v>
      </c>
      <c r="K306" s="27" t="s">
        <v>196</v>
      </c>
      <c r="L306" s="27" t="s">
        <v>336</v>
      </c>
      <c r="M306" s="32" t="str">
        <f>HYPERLINK("http://slimages.macys.com/is/image/MCY/3852983 ")</f>
        <v xml:space="preserve">http://slimages.macys.com/is/image/MCY/3852983 </v>
      </c>
    </row>
    <row r="307" spans="1:13" ht="15.2" customHeight="1" x14ac:dyDescent="0.2">
      <c r="A307" s="26" t="s">
        <v>9831</v>
      </c>
      <c r="B307" s="27" t="s">
        <v>9832</v>
      </c>
      <c r="C307" s="28">
        <v>1</v>
      </c>
      <c r="D307" s="29">
        <v>7.5</v>
      </c>
      <c r="E307" s="29">
        <v>7.5</v>
      </c>
      <c r="F307" s="30">
        <v>19.989999999999998</v>
      </c>
      <c r="G307" s="29">
        <v>19.989999999999998</v>
      </c>
      <c r="H307" s="28" t="s">
        <v>1433</v>
      </c>
      <c r="I307" s="27" t="s">
        <v>285</v>
      </c>
      <c r="J307" s="31" t="s">
        <v>21</v>
      </c>
      <c r="K307" s="27" t="s">
        <v>196</v>
      </c>
      <c r="L307" s="27" t="s">
        <v>336</v>
      </c>
      <c r="M307" s="32" t="str">
        <f>HYPERLINK("http://slimages.macys.com/is/image/MCY/3821001 ")</f>
        <v xml:space="preserve">http://slimages.macys.com/is/image/MCY/3821001 </v>
      </c>
    </row>
    <row r="308" spans="1:13" ht="15.2" customHeight="1" x14ac:dyDescent="0.2">
      <c r="A308" s="26" t="s">
        <v>1425</v>
      </c>
      <c r="B308" s="27" t="s">
        <v>1426</v>
      </c>
      <c r="C308" s="28">
        <v>2</v>
      </c>
      <c r="D308" s="29">
        <v>7.5</v>
      </c>
      <c r="E308" s="29">
        <v>15</v>
      </c>
      <c r="F308" s="30">
        <v>19.989999999999998</v>
      </c>
      <c r="G308" s="29">
        <v>39.979999999999997</v>
      </c>
      <c r="H308" s="28" t="s">
        <v>1427</v>
      </c>
      <c r="I308" s="27" t="s">
        <v>4</v>
      </c>
      <c r="J308" s="31" t="s">
        <v>5</v>
      </c>
      <c r="K308" s="27" t="s">
        <v>196</v>
      </c>
      <c r="L308" s="27" t="s">
        <v>336</v>
      </c>
      <c r="M308" s="32" t="str">
        <f>HYPERLINK("http://slimages.macys.com/is/image/MCY/3852983 ")</f>
        <v xml:space="preserve">http://slimages.macys.com/is/image/MCY/3852983 </v>
      </c>
    </row>
    <row r="309" spans="1:13" ht="15.2" customHeight="1" x14ac:dyDescent="0.2">
      <c r="A309" s="26" t="s">
        <v>9887</v>
      </c>
      <c r="B309" s="27" t="s">
        <v>9888</v>
      </c>
      <c r="C309" s="28">
        <v>1</v>
      </c>
      <c r="D309" s="29">
        <v>7.5</v>
      </c>
      <c r="E309" s="29">
        <v>7.5</v>
      </c>
      <c r="F309" s="30">
        <v>19.989999999999998</v>
      </c>
      <c r="G309" s="29">
        <v>19.989999999999998</v>
      </c>
      <c r="H309" s="28" t="s">
        <v>1427</v>
      </c>
      <c r="I309" s="27" t="s">
        <v>4</v>
      </c>
      <c r="J309" s="31" t="s">
        <v>40</v>
      </c>
      <c r="K309" s="27" t="s">
        <v>196</v>
      </c>
      <c r="L309" s="27" t="s">
        <v>336</v>
      </c>
      <c r="M309" s="32" t="str">
        <f>HYPERLINK("http://slimages.macys.com/is/image/MCY/3852983 ")</f>
        <v xml:space="preserve">http://slimages.macys.com/is/image/MCY/3852983 </v>
      </c>
    </row>
    <row r="310" spans="1:13" ht="15.2" customHeight="1" x14ac:dyDescent="0.2">
      <c r="A310" s="26" t="s">
        <v>1898</v>
      </c>
      <c r="B310" s="27" t="s">
        <v>1899</v>
      </c>
      <c r="C310" s="28">
        <v>2</v>
      </c>
      <c r="D310" s="29">
        <v>7.5</v>
      </c>
      <c r="E310" s="29">
        <v>15</v>
      </c>
      <c r="F310" s="30">
        <v>19.989999999999998</v>
      </c>
      <c r="G310" s="29">
        <v>39.979999999999997</v>
      </c>
      <c r="H310" s="28" t="s">
        <v>1900</v>
      </c>
      <c r="I310" s="27" t="s">
        <v>248</v>
      </c>
      <c r="J310" s="31" t="s">
        <v>5</v>
      </c>
      <c r="K310" s="27" t="s">
        <v>196</v>
      </c>
      <c r="L310" s="27" t="s">
        <v>225</v>
      </c>
      <c r="M310" s="32" t="str">
        <f>HYPERLINK("http://slimages.macys.com/is/image/MCY/3953461 ")</f>
        <v xml:space="preserve">http://slimages.macys.com/is/image/MCY/3953461 </v>
      </c>
    </row>
    <row r="311" spans="1:13" ht="15.2" customHeight="1" x14ac:dyDescent="0.2">
      <c r="A311" s="26" t="s">
        <v>9233</v>
      </c>
      <c r="B311" s="27" t="s">
        <v>9234</v>
      </c>
      <c r="C311" s="28">
        <v>1</v>
      </c>
      <c r="D311" s="29">
        <v>7.5</v>
      </c>
      <c r="E311" s="29">
        <v>7.5</v>
      </c>
      <c r="F311" s="30">
        <v>19.989999999999998</v>
      </c>
      <c r="G311" s="29">
        <v>19.989999999999998</v>
      </c>
      <c r="H311" s="28" t="s">
        <v>368</v>
      </c>
      <c r="I311" s="27" t="s">
        <v>248</v>
      </c>
      <c r="J311" s="31" t="s">
        <v>21</v>
      </c>
      <c r="K311" s="27" t="s">
        <v>196</v>
      </c>
      <c r="L311" s="27" t="s">
        <v>336</v>
      </c>
      <c r="M311" s="32" t="str">
        <f>HYPERLINK("http://slimages.macys.com/is/image/MCY/3705540 ")</f>
        <v xml:space="preserve">http://slimages.macys.com/is/image/MCY/3705540 </v>
      </c>
    </row>
    <row r="312" spans="1:13" ht="15.2" customHeight="1" x14ac:dyDescent="0.2">
      <c r="A312" s="26" t="s">
        <v>2982</v>
      </c>
      <c r="B312" s="27" t="s">
        <v>2983</v>
      </c>
      <c r="C312" s="28">
        <v>1</v>
      </c>
      <c r="D312" s="29">
        <v>7.5</v>
      </c>
      <c r="E312" s="29">
        <v>7.5</v>
      </c>
      <c r="F312" s="30">
        <v>12.99</v>
      </c>
      <c r="G312" s="29">
        <v>12.99</v>
      </c>
      <c r="H312" s="28" t="s">
        <v>2981</v>
      </c>
      <c r="I312" s="27" t="s">
        <v>4</v>
      </c>
      <c r="J312" s="31" t="s">
        <v>5</v>
      </c>
      <c r="K312" s="27" t="s">
        <v>200</v>
      </c>
      <c r="L312" s="27" t="s">
        <v>239</v>
      </c>
      <c r="M312" s="32" t="str">
        <f>HYPERLINK("http://slimages.macys.com/is/image/MCY/3755667 ")</f>
        <v xml:space="preserve">http://slimages.macys.com/is/image/MCY/3755667 </v>
      </c>
    </row>
    <row r="313" spans="1:13" ht="15.2" customHeight="1" x14ac:dyDescent="0.2">
      <c r="A313" s="26" t="s">
        <v>11513</v>
      </c>
      <c r="B313" s="27" t="s">
        <v>11514</v>
      </c>
      <c r="C313" s="28">
        <v>1</v>
      </c>
      <c r="D313" s="29">
        <v>7.5</v>
      </c>
      <c r="E313" s="29">
        <v>7.5</v>
      </c>
      <c r="F313" s="30">
        <v>24.98</v>
      </c>
      <c r="G313" s="29">
        <v>24.98</v>
      </c>
      <c r="H313" s="28">
        <v>4068866</v>
      </c>
      <c r="I313" s="27" t="s">
        <v>59</v>
      </c>
      <c r="J313" s="31" t="s">
        <v>216</v>
      </c>
      <c r="K313" s="27" t="s">
        <v>154</v>
      </c>
      <c r="L313" s="27" t="s">
        <v>155</v>
      </c>
      <c r="M313" s="32" t="str">
        <f>HYPERLINK("http://slimages.macys.com/is/image/MCY/1942084 ")</f>
        <v xml:space="preserve">http://slimages.macys.com/is/image/MCY/1942084 </v>
      </c>
    </row>
    <row r="314" spans="1:13" ht="15.2" customHeight="1" x14ac:dyDescent="0.2">
      <c r="A314" s="26" t="s">
        <v>10295</v>
      </c>
      <c r="B314" s="27" t="s">
        <v>10296</v>
      </c>
      <c r="C314" s="28">
        <v>2</v>
      </c>
      <c r="D314" s="29">
        <v>7.5</v>
      </c>
      <c r="E314" s="29">
        <v>15</v>
      </c>
      <c r="F314" s="30">
        <v>16.989999999999998</v>
      </c>
      <c r="G314" s="29">
        <v>33.979999999999997</v>
      </c>
      <c r="H314" s="28" t="s">
        <v>4355</v>
      </c>
      <c r="I314" s="27" t="s">
        <v>39</v>
      </c>
      <c r="J314" s="31" t="s">
        <v>40</v>
      </c>
      <c r="K314" s="27" t="s">
        <v>282</v>
      </c>
      <c r="L314" s="27" t="s">
        <v>260</v>
      </c>
      <c r="M314" s="32" t="str">
        <f>HYPERLINK("http://slimages.macys.com/is/image/MCY/3798083 ")</f>
        <v xml:space="preserve">http://slimages.macys.com/is/image/MCY/3798083 </v>
      </c>
    </row>
    <row r="315" spans="1:13" ht="15.2" customHeight="1" x14ac:dyDescent="0.2">
      <c r="A315" s="26" t="s">
        <v>7785</v>
      </c>
      <c r="B315" s="27" t="s">
        <v>7786</v>
      </c>
      <c r="C315" s="28">
        <v>1</v>
      </c>
      <c r="D315" s="29">
        <v>7.5</v>
      </c>
      <c r="E315" s="29">
        <v>7.5</v>
      </c>
      <c r="F315" s="30">
        <v>19.989999999999998</v>
      </c>
      <c r="G315" s="29">
        <v>19.989999999999998</v>
      </c>
      <c r="H315" s="28" t="s">
        <v>1900</v>
      </c>
      <c r="I315" s="27" t="s">
        <v>248</v>
      </c>
      <c r="J315" s="31" t="s">
        <v>21</v>
      </c>
      <c r="K315" s="27" t="s">
        <v>196</v>
      </c>
      <c r="L315" s="27" t="s">
        <v>225</v>
      </c>
      <c r="M315" s="32" t="str">
        <f>HYPERLINK("http://slimages.macys.com/is/image/MCY/3953461 ")</f>
        <v xml:space="preserve">http://slimages.macys.com/is/image/MCY/3953461 </v>
      </c>
    </row>
    <row r="316" spans="1:13" ht="15.2" customHeight="1" x14ac:dyDescent="0.2">
      <c r="A316" s="26" t="s">
        <v>8321</v>
      </c>
      <c r="B316" s="27" t="s">
        <v>8322</v>
      </c>
      <c r="C316" s="28">
        <v>1</v>
      </c>
      <c r="D316" s="29">
        <v>7.5</v>
      </c>
      <c r="E316" s="29">
        <v>7.5</v>
      </c>
      <c r="F316" s="30">
        <v>18.989999999999998</v>
      </c>
      <c r="G316" s="29">
        <v>18.989999999999998</v>
      </c>
      <c r="H316" s="28" t="s">
        <v>8034</v>
      </c>
      <c r="I316" s="27" t="s">
        <v>4</v>
      </c>
      <c r="J316" s="31" t="s">
        <v>5</v>
      </c>
      <c r="K316" s="27" t="s">
        <v>70</v>
      </c>
      <c r="L316" s="27" t="s">
        <v>1355</v>
      </c>
      <c r="M316" s="32" t="str">
        <f>HYPERLINK("http://slimages.macys.com/is/image/MCY/3677953 ")</f>
        <v xml:space="preserve">http://slimages.macys.com/is/image/MCY/3677953 </v>
      </c>
    </row>
    <row r="317" spans="1:13" ht="15.2" customHeight="1" x14ac:dyDescent="0.2">
      <c r="A317" s="26" t="s">
        <v>1429</v>
      </c>
      <c r="B317" s="27" t="s">
        <v>1430</v>
      </c>
      <c r="C317" s="28">
        <v>1</v>
      </c>
      <c r="D317" s="29">
        <v>7.5</v>
      </c>
      <c r="E317" s="29">
        <v>7.5</v>
      </c>
      <c r="F317" s="30">
        <v>21.5</v>
      </c>
      <c r="G317" s="29">
        <v>21.5</v>
      </c>
      <c r="H317" s="28" t="s">
        <v>371</v>
      </c>
      <c r="I317" s="27" t="s">
        <v>4</v>
      </c>
      <c r="J317" s="31" t="s">
        <v>71</v>
      </c>
      <c r="K317" s="27" t="s">
        <v>70</v>
      </c>
      <c r="L317" s="27" t="s">
        <v>353</v>
      </c>
      <c r="M317" s="32" t="str">
        <f>HYPERLINK("http://slimages.macys.com/is/image/MCY/3845992 ")</f>
        <v xml:space="preserve">http://slimages.macys.com/is/image/MCY/3845992 </v>
      </c>
    </row>
    <row r="318" spans="1:13" ht="15.2" customHeight="1" x14ac:dyDescent="0.2">
      <c r="A318" s="26" t="s">
        <v>11515</v>
      </c>
      <c r="B318" s="27" t="s">
        <v>11516</v>
      </c>
      <c r="C318" s="28">
        <v>1</v>
      </c>
      <c r="D318" s="29">
        <v>7.25</v>
      </c>
      <c r="E318" s="29">
        <v>7.25</v>
      </c>
      <c r="F318" s="30">
        <v>16.989999999999998</v>
      </c>
      <c r="G318" s="29">
        <v>16.989999999999998</v>
      </c>
      <c r="H318" s="28" t="s">
        <v>2351</v>
      </c>
      <c r="I318" s="27" t="s">
        <v>94</v>
      </c>
      <c r="J318" s="31" t="s">
        <v>5</v>
      </c>
      <c r="K318" s="27" t="s">
        <v>196</v>
      </c>
      <c r="L318" s="27" t="s">
        <v>239</v>
      </c>
      <c r="M318" s="32" t="str">
        <f>HYPERLINK("http://slimages.macys.com/is/image/MCY/3614757 ")</f>
        <v xml:space="preserve">http://slimages.macys.com/is/image/MCY/3614757 </v>
      </c>
    </row>
    <row r="319" spans="1:13" ht="15.2" customHeight="1" x14ac:dyDescent="0.2">
      <c r="A319" s="26" t="s">
        <v>8417</v>
      </c>
      <c r="B319" s="27" t="s">
        <v>8418</v>
      </c>
      <c r="C319" s="28">
        <v>1</v>
      </c>
      <c r="D319" s="29">
        <v>7.23</v>
      </c>
      <c r="E319" s="29">
        <v>7.23</v>
      </c>
      <c r="F319" s="30">
        <v>16.989999999999998</v>
      </c>
      <c r="G319" s="29">
        <v>16.989999999999998</v>
      </c>
      <c r="H319" s="28" t="s">
        <v>1903</v>
      </c>
      <c r="I319" s="27" t="s">
        <v>4</v>
      </c>
      <c r="J319" s="31" t="s">
        <v>52</v>
      </c>
      <c r="K319" s="27" t="s">
        <v>159</v>
      </c>
      <c r="L319" s="27" t="s">
        <v>160</v>
      </c>
      <c r="M319" s="32" t="str">
        <f>HYPERLINK("http://slimages.macys.com/is/image/MCY/3634309 ")</f>
        <v xml:space="preserve">http://slimages.macys.com/is/image/MCY/3634309 </v>
      </c>
    </row>
    <row r="320" spans="1:13" ht="15.2" customHeight="1" x14ac:dyDescent="0.2">
      <c r="A320" s="26" t="s">
        <v>7428</v>
      </c>
      <c r="B320" s="27" t="s">
        <v>7429</v>
      </c>
      <c r="C320" s="28">
        <v>1</v>
      </c>
      <c r="D320" s="29">
        <v>7.2</v>
      </c>
      <c r="E320" s="29">
        <v>7.2</v>
      </c>
      <c r="F320" s="30">
        <v>19.989999999999998</v>
      </c>
      <c r="G320" s="29">
        <v>19.989999999999998</v>
      </c>
      <c r="H320" s="28" t="s">
        <v>2354</v>
      </c>
      <c r="I320" s="27" t="s">
        <v>4</v>
      </c>
      <c r="J320" s="31" t="s">
        <v>21</v>
      </c>
      <c r="K320" s="27" t="s">
        <v>282</v>
      </c>
      <c r="L320" s="27" t="s">
        <v>349</v>
      </c>
      <c r="M320" s="32" t="str">
        <f>HYPERLINK("http://slimages.macys.com/is/image/MCY/3799633 ")</f>
        <v xml:space="preserve">http://slimages.macys.com/is/image/MCY/3799633 </v>
      </c>
    </row>
    <row r="321" spans="1:13" ht="15.2" customHeight="1" x14ac:dyDescent="0.2">
      <c r="A321" s="26" t="s">
        <v>2352</v>
      </c>
      <c r="B321" s="27" t="s">
        <v>2353</v>
      </c>
      <c r="C321" s="28">
        <v>1</v>
      </c>
      <c r="D321" s="29">
        <v>7.2</v>
      </c>
      <c r="E321" s="29">
        <v>7.2</v>
      </c>
      <c r="F321" s="30">
        <v>19.989999999999998</v>
      </c>
      <c r="G321" s="29">
        <v>19.989999999999998</v>
      </c>
      <c r="H321" s="28" t="s">
        <v>2354</v>
      </c>
      <c r="I321" s="27" t="s">
        <v>4</v>
      </c>
      <c r="J321" s="31" t="s">
        <v>40</v>
      </c>
      <c r="K321" s="27" t="s">
        <v>282</v>
      </c>
      <c r="L321" s="27" t="s">
        <v>349</v>
      </c>
      <c r="M321" s="32" t="str">
        <f>HYPERLINK("http://slimages.macys.com/is/image/MCY/3799633 ")</f>
        <v xml:space="preserve">http://slimages.macys.com/is/image/MCY/3799633 </v>
      </c>
    </row>
    <row r="322" spans="1:13" ht="15.2" customHeight="1" x14ac:dyDescent="0.2">
      <c r="A322" s="26" t="s">
        <v>5467</v>
      </c>
      <c r="B322" s="27" t="s">
        <v>5468</v>
      </c>
      <c r="C322" s="28">
        <v>3</v>
      </c>
      <c r="D322" s="29">
        <v>7</v>
      </c>
      <c r="E322" s="29">
        <v>21</v>
      </c>
      <c r="F322" s="30">
        <v>19.989999999999998</v>
      </c>
      <c r="G322" s="29">
        <v>59.97</v>
      </c>
      <c r="H322" s="28" t="s">
        <v>2984</v>
      </c>
      <c r="I322" s="27" t="s">
        <v>189</v>
      </c>
      <c r="J322" s="31" t="s">
        <v>21</v>
      </c>
      <c r="K322" s="27" t="s">
        <v>196</v>
      </c>
      <c r="L322" s="27" t="s">
        <v>239</v>
      </c>
      <c r="M322" s="32" t="str">
        <f>HYPERLINK("http://slimages.macys.com/is/image/MCY/3685480 ")</f>
        <v xml:space="preserve">http://slimages.macys.com/is/image/MCY/3685480 </v>
      </c>
    </row>
    <row r="323" spans="1:13" ht="15.2" customHeight="1" x14ac:dyDescent="0.2">
      <c r="A323" s="26" t="s">
        <v>2355</v>
      </c>
      <c r="B323" s="27" t="s">
        <v>2356</v>
      </c>
      <c r="C323" s="28">
        <v>2</v>
      </c>
      <c r="D323" s="29">
        <v>7</v>
      </c>
      <c r="E323" s="29">
        <v>14</v>
      </c>
      <c r="F323" s="30">
        <v>19.989999999999998</v>
      </c>
      <c r="G323" s="29">
        <v>39.979999999999997</v>
      </c>
      <c r="H323" s="28" t="s">
        <v>380</v>
      </c>
      <c r="I323" s="27" t="s">
        <v>274</v>
      </c>
      <c r="J323" s="31" t="s">
        <v>21</v>
      </c>
      <c r="K323" s="27" t="s">
        <v>196</v>
      </c>
      <c r="L323" s="27" t="s">
        <v>260</v>
      </c>
      <c r="M323" s="32" t="str">
        <f>HYPERLINK("http://slimages.macys.com/is/image/MCY/3910801 ")</f>
        <v xml:space="preserve">http://slimages.macys.com/is/image/MCY/3910801 </v>
      </c>
    </row>
    <row r="324" spans="1:13" ht="15.2" customHeight="1" x14ac:dyDescent="0.2">
      <c r="A324" s="26" t="s">
        <v>865</v>
      </c>
      <c r="B324" s="27" t="s">
        <v>866</v>
      </c>
      <c r="C324" s="28">
        <v>1</v>
      </c>
      <c r="D324" s="29">
        <v>7</v>
      </c>
      <c r="E324" s="29">
        <v>7</v>
      </c>
      <c r="F324" s="30">
        <v>19.989999999999998</v>
      </c>
      <c r="G324" s="29">
        <v>19.989999999999998</v>
      </c>
      <c r="H324" s="28" t="s">
        <v>380</v>
      </c>
      <c r="I324" s="27" t="s">
        <v>39</v>
      </c>
      <c r="J324" s="31" t="s">
        <v>21</v>
      </c>
      <c r="K324" s="27" t="s">
        <v>196</v>
      </c>
      <c r="L324" s="27" t="s">
        <v>260</v>
      </c>
      <c r="M324" s="32" t="str">
        <f>HYPERLINK("http://slimages.macys.com/is/image/MCY/3910801 ")</f>
        <v xml:space="preserve">http://slimages.macys.com/is/image/MCY/3910801 </v>
      </c>
    </row>
    <row r="325" spans="1:13" ht="15.2" customHeight="1" x14ac:dyDescent="0.2">
      <c r="A325" s="26" t="s">
        <v>1434</v>
      </c>
      <c r="B325" s="27" t="s">
        <v>1435</v>
      </c>
      <c r="C325" s="28">
        <v>1</v>
      </c>
      <c r="D325" s="29">
        <v>7</v>
      </c>
      <c r="E325" s="29">
        <v>7</v>
      </c>
      <c r="F325" s="30">
        <v>19.989999999999998</v>
      </c>
      <c r="G325" s="29">
        <v>19.989999999999998</v>
      </c>
      <c r="H325" s="28" t="s">
        <v>380</v>
      </c>
      <c r="I325" s="27" t="s">
        <v>383</v>
      </c>
      <c r="J325" s="31" t="s">
        <v>71</v>
      </c>
      <c r="K325" s="27" t="s">
        <v>196</v>
      </c>
      <c r="L325" s="27" t="s">
        <v>260</v>
      </c>
      <c r="M325" s="32" t="str">
        <f>HYPERLINK("http://slimages.macys.com/is/image/MCY/3910801 ")</f>
        <v xml:space="preserve">http://slimages.macys.com/is/image/MCY/3910801 </v>
      </c>
    </row>
    <row r="326" spans="1:13" ht="15.2" customHeight="1" x14ac:dyDescent="0.2">
      <c r="A326" s="26" t="s">
        <v>381</v>
      </c>
      <c r="B326" s="27" t="s">
        <v>382</v>
      </c>
      <c r="C326" s="28">
        <v>1</v>
      </c>
      <c r="D326" s="29">
        <v>7</v>
      </c>
      <c r="E326" s="29">
        <v>7</v>
      </c>
      <c r="F326" s="30">
        <v>19.989999999999998</v>
      </c>
      <c r="G326" s="29">
        <v>19.989999999999998</v>
      </c>
      <c r="H326" s="28" t="s">
        <v>380</v>
      </c>
      <c r="I326" s="27" t="s">
        <v>39</v>
      </c>
      <c r="J326" s="31" t="s">
        <v>5</v>
      </c>
      <c r="K326" s="27" t="s">
        <v>196</v>
      </c>
      <c r="L326" s="27" t="s">
        <v>260</v>
      </c>
      <c r="M326" s="32" t="str">
        <f>HYPERLINK("http://slimages.macys.com/is/image/MCY/3910801 ")</f>
        <v xml:space="preserve">http://slimages.macys.com/is/image/MCY/3910801 </v>
      </c>
    </row>
    <row r="327" spans="1:13" ht="15.2" customHeight="1" x14ac:dyDescent="0.2">
      <c r="A327" s="26" t="s">
        <v>11517</v>
      </c>
      <c r="B327" s="27" t="s">
        <v>11518</v>
      </c>
      <c r="C327" s="28">
        <v>1</v>
      </c>
      <c r="D327" s="29">
        <v>6.9</v>
      </c>
      <c r="E327" s="29">
        <v>6.9</v>
      </c>
      <c r="F327" s="30">
        <v>16.989999999999998</v>
      </c>
      <c r="G327" s="29">
        <v>16.989999999999998</v>
      </c>
      <c r="H327" s="28">
        <v>60450142</v>
      </c>
      <c r="I327" s="27" t="s">
        <v>4</v>
      </c>
      <c r="J327" s="31" t="s">
        <v>21</v>
      </c>
      <c r="K327" s="27" t="s">
        <v>208</v>
      </c>
      <c r="L327" s="27" t="s">
        <v>255</v>
      </c>
      <c r="M327" s="32" t="str">
        <f>HYPERLINK("http://slimages.macys.com/is/image/MCY/3955006 ")</f>
        <v xml:space="preserve">http://slimages.macys.com/is/image/MCY/3955006 </v>
      </c>
    </row>
    <row r="328" spans="1:13" ht="15.2" customHeight="1" x14ac:dyDescent="0.2">
      <c r="A328" s="26" t="s">
        <v>11519</v>
      </c>
      <c r="B328" s="27" t="s">
        <v>11520</v>
      </c>
      <c r="C328" s="28">
        <v>1</v>
      </c>
      <c r="D328" s="29">
        <v>6.75</v>
      </c>
      <c r="E328" s="29">
        <v>6.75</v>
      </c>
      <c r="F328" s="30">
        <v>16.989999999999998</v>
      </c>
      <c r="G328" s="29">
        <v>16.989999999999998</v>
      </c>
      <c r="H328" s="28">
        <v>60444529</v>
      </c>
      <c r="I328" s="27" t="s">
        <v>59</v>
      </c>
      <c r="J328" s="31" t="s">
        <v>21</v>
      </c>
      <c r="K328" s="27" t="s">
        <v>208</v>
      </c>
      <c r="L328" s="27" t="s">
        <v>255</v>
      </c>
      <c r="M328" s="32" t="str">
        <f>HYPERLINK("http://slimages.macys.com/is/image/MCY/3774063 ")</f>
        <v xml:space="preserve">http://slimages.macys.com/is/image/MCY/3774063 </v>
      </c>
    </row>
    <row r="329" spans="1:13" ht="15.2" customHeight="1" x14ac:dyDescent="0.2">
      <c r="A329" s="26" t="s">
        <v>11521</v>
      </c>
      <c r="B329" s="27" t="s">
        <v>11522</v>
      </c>
      <c r="C329" s="28">
        <v>1</v>
      </c>
      <c r="D329" s="29">
        <v>6.75</v>
      </c>
      <c r="E329" s="29">
        <v>6.75</v>
      </c>
      <c r="F329" s="30">
        <v>16.989999999999998</v>
      </c>
      <c r="G329" s="29">
        <v>16.989999999999998</v>
      </c>
      <c r="H329" s="28" t="s">
        <v>1917</v>
      </c>
      <c r="I329" s="27" t="s">
        <v>29</v>
      </c>
      <c r="J329" s="31" t="s">
        <v>5</v>
      </c>
      <c r="K329" s="27" t="s">
        <v>196</v>
      </c>
      <c r="L329" s="27" t="s">
        <v>239</v>
      </c>
      <c r="M329" s="32" t="str">
        <f>HYPERLINK("http://slimages.macys.com/is/image/MCY/3606639 ")</f>
        <v xml:space="preserve">http://slimages.macys.com/is/image/MCY/3606639 </v>
      </c>
    </row>
    <row r="330" spans="1:13" ht="15.2" customHeight="1" x14ac:dyDescent="0.2">
      <c r="A330" s="26" t="s">
        <v>9451</v>
      </c>
      <c r="B330" s="27" t="s">
        <v>9452</v>
      </c>
      <c r="C330" s="28">
        <v>2</v>
      </c>
      <c r="D330" s="29">
        <v>6.72</v>
      </c>
      <c r="E330" s="29">
        <v>13.44</v>
      </c>
      <c r="F330" s="30">
        <v>15.99</v>
      </c>
      <c r="G330" s="29">
        <v>31.98</v>
      </c>
      <c r="H330" s="28" t="s">
        <v>1920</v>
      </c>
      <c r="I330" s="27" t="s">
        <v>8</v>
      </c>
      <c r="J330" s="31" t="s">
        <v>71</v>
      </c>
      <c r="K330" s="27" t="s">
        <v>159</v>
      </c>
      <c r="L330" s="27" t="s">
        <v>160</v>
      </c>
      <c r="M330" s="32" t="str">
        <f>HYPERLINK("http://slimages.macys.com/is/image/MCY/3677454 ")</f>
        <v xml:space="preserve">http://slimages.macys.com/is/image/MCY/3677454 </v>
      </c>
    </row>
    <row r="331" spans="1:13" ht="15.2" customHeight="1" x14ac:dyDescent="0.2">
      <c r="A331" s="26" t="s">
        <v>9449</v>
      </c>
      <c r="B331" s="27" t="s">
        <v>9450</v>
      </c>
      <c r="C331" s="28">
        <v>1</v>
      </c>
      <c r="D331" s="29">
        <v>6.72</v>
      </c>
      <c r="E331" s="29">
        <v>6.72</v>
      </c>
      <c r="F331" s="30">
        <v>15.99</v>
      </c>
      <c r="G331" s="29">
        <v>15.99</v>
      </c>
      <c r="H331" s="28" t="s">
        <v>1920</v>
      </c>
      <c r="I331" s="27" t="s">
        <v>8</v>
      </c>
      <c r="J331" s="31" t="s">
        <v>172</v>
      </c>
      <c r="K331" s="27" t="s">
        <v>159</v>
      </c>
      <c r="L331" s="27" t="s">
        <v>160</v>
      </c>
      <c r="M331" s="32" t="str">
        <f>HYPERLINK("http://slimages.macys.com/is/image/MCY/3677454 ")</f>
        <v xml:space="preserve">http://slimages.macys.com/is/image/MCY/3677454 </v>
      </c>
    </row>
    <row r="332" spans="1:13" ht="15.2" customHeight="1" x14ac:dyDescent="0.2">
      <c r="A332" s="26" t="s">
        <v>875</v>
      </c>
      <c r="B332" s="27" t="s">
        <v>876</v>
      </c>
      <c r="C332" s="28">
        <v>3</v>
      </c>
      <c r="D332" s="29">
        <v>6.5</v>
      </c>
      <c r="E332" s="29">
        <v>19.5</v>
      </c>
      <c r="F332" s="30">
        <v>12.99</v>
      </c>
      <c r="G332" s="29">
        <v>38.97</v>
      </c>
      <c r="H332" s="28" t="s">
        <v>392</v>
      </c>
      <c r="I332" s="27"/>
      <c r="J332" s="31" t="s">
        <v>21</v>
      </c>
      <c r="K332" s="27" t="s">
        <v>282</v>
      </c>
      <c r="L332" s="27" t="s">
        <v>327</v>
      </c>
      <c r="M332" s="32" t="str">
        <f>HYPERLINK("http://slimages.macys.com/is/image/MCY/3820337 ")</f>
        <v xml:space="preserve">http://slimages.macys.com/is/image/MCY/3820337 </v>
      </c>
    </row>
    <row r="333" spans="1:13" ht="15.2" customHeight="1" x14ac:dyDescent="0.2">
      <c r="A333" s="26" t="s">
        <v>8200</v>
      </c>
      <c r="B333" s="27" t="s">
        <v>8201</v>
      </c>
      <c r="C333" s="28">
        <v>1</v>
      </c>
      <c r="D333" s="29">
        <v>6.5</v>
      </c>
      <c r="E333" s="29">
        <v>6.5</v>
      </c>
      <c r="F333" s="30">
        <v>12.99</v>
      </c>
      <c r="G333" s="29">
        <v>12.99</v>
      </c>
      <c r="H333" s="28" t="s">
        <v>392</v>
      </c>
      <c r="I333" s="27"/>
      <c r="J333" s="31" t="s">
        <v>5</v>
      </c>
      <c r="K333" s="27" t="s">
        <v>282</v>
      </c>
      <c r="L333" s="27" t="s">
        <v>327</v>
      </c>
      <c r="M333" s="32" t="str">
        <f>HYPERLINK("http://slimages.macys.com/is/image/MCY/3820337 ")</f>
        <v xml:space="preserve">http://slimages.macys.com/is/image/MCY/3820337 </v>
      </c>
    </row>
    <row r="334" spans="1:13" ht="15.2" customHeight="1" x14ac:dyDescent="0.2">
      <c r="A334" s="26" t="s">
        <v>8842</v>
      </c>
      <c r="B334" s="27" t="s">
        <v>8843</v>
      </c>
      <c r="C334" s="28">
        <v>1</v>
      </c>
      <c r="D334" s="29">
        <v>6.4</v>
      </c>
      <c r="E334" s="29">
        <v>6.4</v>
      </c>
      <c r="F334" s="30">
        <v>13.99</v>
      </c>
      <c r="G334" s="29">
        <v>13.99</v>
      </c>
      <c r="H334" s="28" t="s">
        <v>394</v>
      </c>
      <c r="I334" s="27" t="s">
        <v>4</v>
      </c>
      <c r="J334" s="31" t="s">
        <v>21</v>
      </c>
      <c r="K334" s="27" t="s">
        <v>282</v>
      </c>
      <c r="L334" s="27" t="s">
        <v>312</v>
      </c>
      <c r="M334" s="32" t="str">
        <f>HYPERLINK("http://slimages.macys.com/is/image/MCY/3623277 ")</f>
        <v xml:space="preserve">http://slimages.macys.com/is/image/MCY/3623277 </v>
      </c>
    </row>
    <row r="335" spans="1:13" ht="15.2" customHeight="1" x14ac:dyDescent="0.2">
      <c r="A335" s="26" t="s">
        <v>7577</v>
      </c>
      <c r="B335" s="27" t="s">
        <v>7578</v>
      </c>
      <c r="C335" s="28">
        <v>1</v>
      </c>
      <c r="D335" s="29">
        <v>6.3</v>
      </c>
      <c r="E335" s="29">
        <v>6.3</v>
      </c>
      <c r="F335" s="30">
        <v>16.989999999999998</v>
      </c>
      <c r="G335" s="29">
        <v>16.989999999999998</v>
      </c>
      <c r="H335" s="28" t="s">
        <v>7579</v>
      </c>
      <c r="I335" s="27" t="s">
        <v>4</v>
      </c>
      <c r="J335" s="31" t="s">
        <v>40</v>
      </c>
      <c r="K335" s="27" t="s">
        <v>159</v>
      </c>
      <c r="L335" s="27" t="s">
        <v>160</v>
      </c>
      <c r="M335" s="32" t="str">
        <f>HYPERLINK("http://slimages.macys.com/is/image/MCY/3623500 ")</f>
        <v xml:space="preserve">http://slimages.macys.com/is/image/MCY/3623500 </v>
      </c>
    </row>
    <row r="336" spans="1:13" ht="15.2" customHeight="1" x14ac:dyDescent="0.2">
      <c r="A336" s="26" t="s">
        <v>9837</v>
      </c>
      <c r="B336" s="27" t="s">
        <v>9838</v>
      </c>
      <c r="C336" s="28">
        <v>1</v>
      </c>
      <c r="D336" s="29">
        <v>6.3</v>
      </c>
      <c r="E336" s="29">
        <v>6.3</v>
      </c>
      <c r="F336" s="30">
        <v>16.989999999999998</v>
      </c>
      <c r="G336" s="29">
        <v>16.989999999999998</v>
      </c>
      <c r="H336" s="28" t="s">
        <v>2367</v>
      </c>
      <c r="I336" s="27" t="s">
        <v>103</v>
      </c>
      <c r="J336" s="31" t="s">
        <v>71</v>
      </c>
      <c r="K336" s="27" t="s">
        <v>159</v>
      </c>
      <c r="L336" s="27" t="s">
        <v>160</v>
      </c>
      <c r="M336" s="32" t="str">
        <f>HYPERLINK("http://slimages.macys.com/is/image/MCY/3677474 ")</f>
        <v xml:space="preserve">http://slimages.macys.com/is/image/MCY/3677474 </v>
      </c>
    </row>
    <row r="337" spans="1:13" ht="15.2" customHeight="1" x14ac:dyDescent="0.2">
      <c r="A337" s="26" t="s">
        <v>9297</v>
      </c>
      <c r="B337" s="27" t="s">
        <v>9298</v>
      </c>
      <c r="C337" s="28">
        <v>2</v>
      </c>
      <c r="D337" s="29">
        <v>6.3</v>
      </c>
      <c r="E337" s="29">
        <v>12.6</v>
      </c>
      <c r="F337" s="30">
        <v>16.989999999999998</v>
      </c>
      <c r="G337" s="29">
        <v>33.979999999999997</v>
      </c>
      <c r="H337" s="28" t="s">
        <v>8327</v>
      </c>
      <c r="I337" s="27" t="s">
        <v>82</v>
      </c>
      <c r="J337" s="31" t="s">
        <v>40</v>
      </c>
      <c r="K337" s="27" t="s">
        <v>159</v>
      </c>
      <c r="L337" s="27" t="s">
        <v>160</v>
      </c>
      <c r="M337" s="32" t="str">
        <f>HYPERLINK("http://slimages.macys.com/is/image/MCY/3623500 ")</f>
        <v xml:space="preserve">http://slimages.macys.com/is/image/MCY/3623500 </v>
      </c>
    </row>
    <row r="338" spans="1:13" ht="15.2" customHeight="1" x14ac:dyDescent="0.2">
      <c r="A338" s="26" t="s">
        <v>1459</v>
      </c>
      <c r="B338" s="27" t="s">
        <v>1460</v>
      </c>
      <c r="C338" s="28">
        <v>1</v>
      </c>
      <c r="D338" s="29">
        <v>6.3</v>
      </c>
      <c r="E338" s="29">
        <v>6.3</v>
      </c>
      <c r="F338" s="30">
        <v>14.99</v>
      </c>
      <c r="G338" s="29">
        <v>14.99</v>
      </c>
      <c r="H338" s="28" t="s">
        <v>1455</v>
      </c>
      <c r="I338" s="27" t="s">
        <v>103</v>
      </c>
      <c r="J338" s="31" t="s">
        <v>21</v>
      </c>
      <c r="K338" s="27" t="s">
        <v>159</v>
      </c>
      <c r="L338" s="27" t="s">
        <v>160</v>
      </c>
      <c r="M338" s="32" t="str">
        <f>HYPERLINK("http://slimages.macys.com/is/image/MCY/3597272 ")</f>
        <v xml:space="preserve">http://slimages.macys.com/is/image/MCY/3597272 </v>
      </c>
    </row>
    <row r="339" spans="1:13" ht="15.2" customHeight="1" x14ac:dyDescent="0.2">
      <c r="A339" s="26" t="s">
        <v>8844</v>
      </c>
      <c r="B339" s="27" t="s">
        <v>8845</v>
      </c>
      <c r="C339" s="28">
        <v>2</v>
      </c>
      <c r="D339" s="29">
        <v>6.3</v>
      </c>
      <c r="E339" s="29">
        <v>12.6</v>
      </c>
      <c r="F339" s="30">
        <v>16.989999999999998</v>
      </c>
      <c r="G339" s="29">
        <v>33.979999999999997</v>
      </c>
      <c r="H339" s="28" t="s">
        <v>7579</v>
      </c>
      <c r="I339" s="27" t="s">
        <v>4</v>
      </c>
      <c r="J339" s="31" t="s">
        <v>71</v>
      </c>
      <c r="K339" s="27" t="s">
        <v>159</v>
      </c>
      <c r="L339" s="27" t="s">
        <v>160</v>
      </c>
      <c r="M339" s="32" t="str">
        <f>HYPERLINK("http://slimages.macys.com/is/image/MCY/3623500 ")</f>
        <v xml:space="preserve">http://slimages.macys.com/is/image/MCY/3623500 </v>
      </c>
    </row>
    <row r="340" spans="1:13" ht="15.2" customHeight="1" x14ac:dyDescent="0.2">
      <c r="A340" s="26" t="s">
        <v>11523</v>
      </c>
      <c r="B340" s="27" t="s">
        <v>11524</v>
      </c>
      <c r="C340" s="28">
        <v>1</v>
      </c>
      <c r="D340" s="29">
        <v>6.3</v>
      </c>
      <c r="E340" s="29">
        <v>6.3</v>
      </c>
      <c r="F340" s="30">
        <v>16.989999999999998</v>
      </c>
      <c r="G340" s="29">
        <v>16.989999999999998</v>
      </c>
      <c r="H340" s="28" t="s">
        <v>2367</v>
      </c>
      <c r="I340" s="27" t="s">
        <v>103</v>
      </c>
      <c r="J340" s="31" t="s">
        <v>172</v>
      </c>
      <c r="K340" s="27" t="s">
        <v>159</v>
      </c>
      <c r="L340" s="27" t="s">
        <v>160</v>
      </c>
      <c r="M340" s="32" t="str">
        <f>HYPERLINK("http://slimages.macys.com/is/image/MCY/3677474 ")</f>
        <v xml:space="preserve">http://slimages.macys.com/is/image/MCY/3677474 </v>
      </c>
    </row>
    <row r="341" spans="1:13" ht="15.2" customHeight="1" x14ac:dyDescent="0.2">
      <c r="A341" s="26" t="s">
        <v>11525</v>
      </c>
      <c r="B341" s="27" t="s">
        <v>11526</v>
      </c>
      <c r="C341" s="28">
        <v>1</v>
      </c>
      <c r="D341" s="29">
        <v>6.25</v>
      </c>
      <c r="E341" s="29">
        <v>6.25</v>
      </c>
      <c r="F341" s="30">
        <v>16.989999999999998</v>
      </c>
      <c r="G341" s="29">
        <v>16.989999999999998</v>
      </c>
      <c r="H341" s="28" t="s">
        <v>4767</v>
      </c>
      <c r="I341" s="27" t="s">
        <v>374</v>
      </c>
      <c r="J341" s="31" t="s">
        <v>5</v>
      </c>
      <c r="K341" s="27" t="s">
        <v>196</v>
      </c>
      <c r="L341" s="27" t="s">
        <v>225</v>
      </c>
      <c r="M341" s="32" t="str">
        <f>HYPERLINK("http://slimages.macys.com/is/image/MCY/3721365 ")</f>
        <v xml:space="preserve">http://slimages.macys.com/is/image/MCY/3721365 </v>
      </c>
    </row>
    <row r="342" spans="1:13" ht="15.2" customHeight="1" x14ac:dyDescent="0.2">
      <c r="A342" s="26" t="s">
        <v>10333</v>
      </c>
      <c r="B342" s="27" t="s">
        <v>10334</v>
      </c>
      <c r="C342" s="28">
        <v>1</v>
      </c>
      <c r="D342" s="29">
        <v>6.25</v>
      </c>
      <c r="E342" s="29">
        <v>6.25</v>
      </c>
      <c r="F342" s="30">
        <v>16.989999999999998</v>
      </c>
      <c r="G342" s="29">
        <v>16.989999999999998</v>
      </c>
      <c r="H342" s="28" t="s">
        <v>7142</v>
      </c>
      <c r="I342" s="27" t="s">
        <v>4</v>
      </c>
      <c r="J342" s="31" t="s">
        <v>21</v>
      </c>
      <c r="K342" s="27" t="s">
        <v>196</v>
      </c>
      <c r="L342" s="27" t="s">
        <v>225</v>
      </c>
      <c r="M342" s="32" t="str">
        <f>HYPERLINK("http://slimages.macys.com/is/image/MCY/3721365 ")</f>
        <v xml:space="preserve">http://slimages.macys.com/is/image/MCY/3721365 </v>
      </c>
    </row>
    <row r="343" spans="1:13" ht="15.2" customHeight="1" x14ac:dyDescent="0.2">
      <c r="A343" s="26" t="s">
        <v>11527</v>
      </c>
      <c r="B343" s="27" t="s">
        <v>11528</v>
      </c>
      <c r="C343" s="28">
        <v>1</v>
      </c>
      <c r="D343" s="29">
        <v>6.25</v>
      </c>
      <c r="E343" s="29">
        <v>6.25</v>
      </c>
      <c r="F343" s="30">
        <v>14.99</v>
      </c>
      <c r="G343" s="29">
        <v>14.99</v>
      </c>
      <c r="H343" s="28" t="s">
        <v>6047</v>
      </c>
      <c r="I343" s="27" t="s">
        <v>4</v>
      </c>
      <c r="J343" s="31" t="s">
        <v>172</v>
      </c>
      <c r="K343" s="27" t="s">
        <v>159</v>
      </c>
      <c r="L343" s="27" t="s">
        <v>160</v>
      </c>
      <c r="M343" s="32" t="str">
        <f>HYPERLINK("http://slimages.macys.com/is/image/MCY/3633010 ")</f>
        <v xml:space="preserve">http://slimages.macys.com/is/image/MCY/3633010 </v>
      </c>
    </row>
    <row r="344" spans="1:13" ht="15.2" customHeight="1" x14ac:dyDescent="0.2">
      <c r="A344" s="26" t="s">
        <v>11529</v>
      </c>
      <c r="B344" s="27" t="s">
        <v>11530</v>
      </c>
      <c r="C344" s="28">
        <v>1</v>
      </c>
      <c r="D344" s="29">
        <v>6.25</v>
      </c>
      <c r="E344" s="29">
        <v>6.25</v>
      </c>
      <c r="F344" s="30">
        <v>19.989999999999998</v>
      </c>
      <c r="G344" s="29">
        <v>19.989999999999998</v>
      </c>
      <c r="H344" s="28" t="s">
        <v>1471</v>
      </c>
      <c r="I344" s="27" t="s">
        <v>4</v>
      </c>
      <c r="J344" s="31" t="s">
        <v>40</v>
      </c>
      <c r="K344" s="27" t="s">
        <v>196</v>
      </c>
      <c r="L344" s="27" t="s">
        <v>239</v>
      </c>
      <c r="M344" s="32" t="str">
        <f>HYPERLINK("http://slimages.macys.com/is/image/MCY/3671543 ")</f>
        <v xml:space="preserve">http://slimages.macys.com/is/image/MCY/3671543 </v>
      </c>
    </row>
    <row r="345" spans="1:13" ht="15.2" customHeight="1" x14ac:dyDescent="0.2">
      <c r="A345" s="26" t="s">
        <v>8484</v>
      </c>
      <c r="B345" s="27" t="s">
        <v>8485</v>
      </c>
      <c r="C345" s="28">
        <v>1</v>
      </c>
      <c r="D345" s="29">
        <v>6.21</v>
      </c>
      <c r="E345" s="29">
        <v>6.21</v>
      </c>
      <c r="F345" s="30">
        <v>16.989999999999998</v>
      </c>
      <c r="G345" s="29">
        <v>16.989999999999998</v>
      </c>
      <c r="H345" s="28">
        <v>60450152</v>
      </c>
      <c r="I345" s="27" t="s">
        <v>4</v>
      </c>
      <c r="J345" s="31" t="s">
        <v>71</v>
      </c>
      <c r="K345" s="27" t="s">
        <v>208</v>
      </c>
      <c r="L345" s="27" t="s">
        <v>255</v>
      </c>
      <c r="M345" s="32" t="str">
        <f>HYPERLINK("http://slimages.macys.com/is/image/MCY/3940690 ")</f>
        <v xml:space="preserve">http://slimages.macys.com/is/image/MCY/3940690 </v>
      </c>
    </row>
    <row r="346" spans="1:13" ht="15.2" customHeight="1" x14ac:dyDescent="0.2">
      <c r="A346" s="26" t="s">
        <v>6049</v>
      </c>
      <c r="B346" s="27" t="s">
        <v>6050</v>
      </c>
      <c r="C346" s="28">
        <v>1</v>
      </c>
      <c r="D346" s="29">
        <v>6.2</v>
      </c>
      <c r="E346" s="29">
        <v>6.2</v>
      </c>
      <c r="F346" s="30">
        <v>14.99</v>
      </c>
      <c r="G346" s="29">
        <v>14.99</v>
      </c>
      <c r="H346" s="28" t="s">
        <v>6048</v>
      </c>
      <c r="I346" s="27" t="s">
        <v>82</v>
      </c>
      <c r="J346" s="31" t="s">
        <v>40</v>
      </c>
      <c r="K346" s="27" t="s">
        <v>159</v>
      </c>
      <c r="L346" s="27" t="s">
        <v>160</v>
      </c>
      <c r="M346" s="32" t="str">
        <f>HYPERLINK("http://slimages.macys.com/is/image/MCY/3633013 ")</f>
        <v xml:space="preserve">http://slimages.macys.com/is/image/MCY/3633013 </v>
      </c>
    </row>
    <row r="347" spans="1:13" ht="15.2" customHeight="1" x14ac:dyDescent="0.2">
      <c r="A347" s="26" t="s">
        <v>8714</v>
      </c>
      <c r="B347" s="27" t="s">
        <v>8715</v>
      </c>
      <c r="C347" s="28">
        <v>1</v>
      </c>
      <c r="D347" s="29">
        <v>6</v>
      </c>
      <c r="E347" s="29">
        <v>6</v>
      </c>
      <c r="F347" s="30">
        <v>16.989999999999998</v>
      </c>
      <c r="G347" s="29">
        <v>16.989999999999998</v>
      </c>
      <c r="H347" s="28" t="s">
        <v>8716</v>
      </c>
      <c r="I347" s="27" t="s">
        <v>5519</v>
      </c>
      <c r="J347" s="31" t="s">
        <v>71</v>
      </c>
      <c r="K347" s="27" t="s">
        <v>196</v>
      </c>
      <c r="L347" s="27" t="s">
        <v>256</v>
      </c>
      <c r="M347" s="32" t="str">
        <f>HYPERLINK("http://slimages.macys.com/is/image/MCY/3799640 ")</f>
        <v xml:space="preserve">http://slimages.macys.com/is/image/MCY/3799640 </v>
      </c>
    </row>
    <row r="348" spans="1:13" ht="15.2" customHeight="1" x14ac:dyDescent="0.2">
      <c r="A348" s="26" t="s">
        <v>7433</v>
      </c>
      <c r="B348" s="27" t="s">
        <v>7434</v>
      </c>
      <c r="C348" s="28">
        <v>1</v>
      </c>
      <c r="D348" s="29">
        <v>6</v>
      </c>
      <c r="E348" s="29">
        <v>6</v>
      </c>
      <c r="F348" s="30">
        <v>12.99</v>
      </c>
      <c r="G348" s="29">
        <v>12.99</v>
      </c>
      <c r="H348" s="28" t="s">
        <v>7435</v>
      </c>
      <c r="I348" s="27"/>
      <c r="J348" s="31" t="s">
        <v>40</v>
      </c>
      <c r="K348" s="27" t="s">
        <v>282</v>
      </c>
      <c r="L348" s="27" t="s">
        <v>327</v>
      </c>
      <c r="M348" s="32" t="str">
        <f>HYPERLINK("http://slimages.macys.com/is/image/MCY/3910808 ")</f>
        <v xml:space="preserve">http://slimages.macys.com/is/image/MCY/3910808 </v>
      </c>
    </row>
    <row r="349" spans="1:13" ht="15.2" customHeight="1" x14ac:dyDescent="0.2">
      <c r="A349" s="26" t="s">
        <v>2379</v>
      </c>
      <c r="B349" s="27" t="s">
        <v>2380</v>
      </c>
      <c r="C349" s="28">
        <v>1</v>
      </c>
      <c r="D349" s="29">
        <v>6</v>
      </c>
      <c r="E349" s="29">
        <v>6</v>
      </c>
      <c r="F349" s="30">
        <v>12.99</v>
      </c>
      <c r="G349" s="29">
        <v>12.99</v>
      </c>
      <c r="H349" s="28" t="s">
        <v>890</v>
      </c>
      <c r="I349" s="27" t="s">
        <v>82</v>
      </c>
      <c r="J349" s="31" t="s">
        <v>40</v>
      </c>
      <c r="K349" s="27" t="s">
        <v>282</v>
      </c>
      <c r="L349" s="27" t="s">
        <v>283</v>
      </c>
      <c r="M349" s="32" t="str">
        <f>HYPERLINK("http://slimages.macys.com/is/image/MCY/3875958 ")</f>
        <v xml:space="preserve">http://slimages.macys.com/is/image/MCY/3875958 </v>
      </c>
    </row>
    <row r="350" spans="1:13" ht="15.2" customHeight="1" x14ac:dyDescent="0.2">
      <c r="A350" s="26" t="s">
        <v>2377</v>
      </c>
      <c r="B350" s="27" t="s">
        <v>2378</v>
      </c>
      <c r="C350" s="28">
        <v>1</v>
      </c>
      <c r="D350" s="29">
        <v>6</v>
      </c>
      <c r="E350" s="29">
        <v>6</v>
      </c>
      <c r="F350" s="30">
        <v>13.99</v>
      </c>
      <c r="G350" s="29">
        <v>13.99</v>
      </c>
      <c r="H350" s="28" t="s">
        <v>407</v>
      </c>
      <c r="I350" s="27" t="s">
        <v>4</v>
      </c>
      <c r="J350" s="31" t="s">
        <v>40</v>
      </c>
      <c r="K350" s="27" t="s">
        <v>282</v>
      </c>
      <c r="L350" s="27" t="s">
        <v>260</v>
      </c>
      <c r="M350" s="32" t="str">
        <f>HYPERLINK("http://slimages.macys.com/is/image/MCY/3886683 ")</f>
        <v xml:space="preserve">http://slimages.macys.com/is/image/MCY/3886683 </v>
      </c>
    </row>
    <row r="351" spans="1:13" ht="15.2" customHeight="1" x14ac:dyDescent="0.2">
      <c r="A351" s="26" t="s">
        <v>7436</v>
      </c>
      <c r="B351" s="27" t="s">
        <v>7437</v>
      </c>
      <c r="C351" s="28">
        <v>1</v>
      </c>
      <c r="D351" s="29">
        <v>6</v>
      </c>
      <c r="E351" s="29">
        <v>6</v>
      </c>
      <c r="F351" s="30">
        <v>13.99</v>
      </c>
      <c r="G351" s="29">
        <v>13.99</v>
      </c>
      <c r="H351" s="28" t="s">
        <v>407</v>
      </c>
      <c r="I351" s="27" t="s">
        <v>4</v>
      </c>
      <c r="J351" s="31" t="s">
        <v>21</v>
      </c>
      <c r="K351" s="27" t="s">
        <v>282</v>
      </c>
      <c r="L351" s="27" t="s">
        <v>260</v>
      </c>
      <c r="M351" s="32" t="str">
        <f>HYPERLINK("http://slimages.macys.com/is/image/MCY/3886683 ")</f>
        <v xml:space="preserve">http://slimages.macys.com/is/image/MCY/3886683 </v>
      </c>
    </row>
    <row r="352" spans="1:13" ht="15.2" customHeight="1" x14ac:dyDescent="0.2">
      <c r="A352" s="26" t="s">
        <v>8722</v>
      </c>
      <c r="B352" s="27" t="s">
        <v>8723</v>
      </c>
      <c r="C352" s="28">
        <v>1</v>
      </c>
      <c r="D352" s="29">
        <v>5.95</v>
      </c>
      <c r="E352" s="29">
        <v>5.95</v>
      </c>
      <c r="F352" s="30">
        <v>12.99</v>
      </c>
      <c r="G352" s="29">
        <v>12.99</v>
      </c>
      <c r="H352" s="28" t="s">
        <v>6054</v>
      </c>
      <c r="I352" s="27" t="s">
        <v>82</v>
      </c>
      <c r="J352" s="31" t="s">
        <v>21</v>
      </c>
      <c r="K352" s="27" t="s">
        <v>282</v>
      </c>
      <c r="L352" s="27" t="s">
        <v>358</v>
      </c>
      <c r="M352" s="32" t="str">
        <f>HYPERLINK("http://slimages.macys.com/is/image/MCY/3773694 ")</f>
        <v xml:space="preserve">http://slimages.macys.com/is/image/MCY/3773694 </v>
      </c>
    </row>
    <row r="353" spans="1:13" ht="15.2" customHeight="1" x14ac:dyDescent="0.2">
      <c r="A353" s="26" t="s">
        <v>6052</v>
      </c>
      <c r="B353" s="27" t="s">
        <v>6053</v>
      </c>
      <c r="C353" s="28">
        <v>1</v>
      </c>
      <c r="D353" s="29">
        <v>5.95</v>
      </c>
      <c r="E353" s="29">
        <v>5.95</v>
      </c>
      <c r="F353" s="30">
        <v>12.99</v>
      </c>
      <c r="G353" s="29">
        <v>12.99</v>
      </c>
      <c r="H353" s="28" t="s">
        <v>6054</v>
      </c>
      <c r="I353" s="27" t="s">
        <v>82</v>
      </c>
      <c r="J353" s="31" t="s">
        <v>52</v>
      </c>
      <c r="K353" s="27" t="s">
        <v>282</v>
      </c>
      <c r="L353" s="27" t="s">
        <v>358</v>
      </c>
      <c r="M353" s="32" t="str">
        <f>HYPERLINK("http://slimages.macys.com/is/image/MCY/3773694 ")</f>
        <v xml:space="preserve">http://slimages.macys.com/is/image/MCY/3773694 </v>
      </c>
    </row>
    <row r="354" spans="1:13" ht="15.2" customHeight="1" x14ac:dyDescent="0.2">
      <c r="A354" s="26" t="s">
        <v>2394</v>
      </c>
      <c r="B354" s="27" t="s">
        <v>2395</v>
      </c>
      <c r="C354" s="28">
        <v>1</v>
      </c>
      <c r="D354" s="29">
        <v>5.9</v>
      </c>
      <c r="E354" s="29">
        <v>5.9</v>
      </c>
      <c r="F354" s="30">
        <v>13.99</v>
      </c>
      <c r="G354" s="29">
        <v>13.99</v>
      </c>
      <c r="H354" s="28" t="s">
        <v>425</v>
      </c>
      <c r="I354" s="27" t="s">
        <v>59</v>
      </c>
      <c r="J354" s="31" t="s">
        <v>40</v>
      </c>
      <c r="K354" s="27" t="s">
        <v>282</v>
      </c>
      <c r="L354" s="27" t="s">
        <v>260</v>
      </c>
      <c r="M354" s="32" t="str">
        <f>HYPERLINK("http://slimages.macys.com/is/image/MCY/3773724 ")</f>
        <v xml:space="preserve">http://slimages.macys.com/is/image/MCY/3773724 </v>
      </c>
    </row>
    <row r="355" spans="1:13" ht="15.2" customHeight="1" x14ac:dyDescent="0.2">
      <c r="A355" s="26" t="s">
        <v>423</v>
      </c>
      <c r="B355" s="27" t="s">
        <v>424</v>
      </c>
      <c r="C355" s="28">
        <v>1</v>
      </c>
      <c r="D355" s="29">
        <v>5.9</v>
      </c>
      <c r="E355" s="29">
        <v>5.9</v>
      </c>
      <c r="F355" s="30">
        <v>13.99</v>
      </c>
      <c r="G355" s="29">
        <v>13.99</v>
      </c>
      <c r="H355" s="28" t="s">
        <v>425</v>
      </c>
      <c r="I355" s="27" t="s">
        <v>26</v>
      </c>
      <c r="J355" s="31" t="s">
        <v>52</v>
      </c>
      <c r="K355" s="27" t="s">
        <v>282</v>
      </c>
      <c r="L355" s="27" t="s">
        <v>260</v>
      </c>
      <c r="M355" s="32" t="str">
        <f>HYPERLINK("http://slimages.macys.com/is/image/MCY/3773724 ")</f>
        <v xml:space="preserve">http://slimages.macys.com/is/image/MCY/3773724 </v>
      </c>
    </row>
    <row r="356" spans="1:13" ht="15.2" customHeight="1" x14ac:dyDescent="0.2">
      <c r="A356" s="26" t="s">
        <v>7440</v>
      </c>
      <c r="B356" s="27" t="s">
        <v>7441</v>
      </c>
      <c r="C356" s="28">
        <v>1</v>
      </c>
      <c r="D356" s="29">
        <v>5.9</v>
      </c>
      <c r="E356" s="29">
        <v>5.9</v>
      </c>
      <c r="F356" s="30">
        <v>13.99</v>
      </c>
      <c r="G356" s="29">
        <v>13.99</v>
      </c>
      <c r="H356" s="28" t="s">
        <v>425</v>
      </c>
      <c r="I356" s="27" t="s">
        <v>274</v>
      </c>
      <c r="J356" s="31" t="s">
        <v>5</v>
      </c>
      <c r="K356" s="27" t="s">
        <v>282</v>
      </c>
      <c r="L356" s="27" t="s">
        <v>260</v>
      </c>
      <c r="M356" s="32" t="str">
        <f>HYPERLINK("http://slimages.macys.com/is/image/MCY/3773724 ")</f>
        <v xml:space="preserve">http://slimages.macys.com/is/image/MCY/3773724 </v>
      </c>
    </row>
    <row r="357" spans="1:13" ht="15.2" customHeight="1" x14ac:dyDescent="0.2">
      <c r="A357" s="26" t="s">
        <v>11531</v>
      </c>
      <c r="B357" s="27" t="s">
        <v>11532</v>
      </c>
      <c r="C357" s="28">
        <v>1</v>
      </c>
      <c r="D357" s="29">
        <v>5.85</v>
      </c>
      <c r="E357" s="29">
        <v>5.85</v>
      </c>
      <c r="F357" s="30">
        <v>13.99</v>
      </c>
      <c r="G357" s="29">
        <v>13.99</v>
      </c>
      <c r="H357" s="28" t="s">
        <v>11533</v>
      </c>
      <c r="I357" s="27" t="s">
        <v>4</v>
      </c>
      <c r="J357" s="31" t="s">
        <v>71</v>
      </c>
      <c r="K357" s="27" t="s">
        <v>282</v>
      </c>
      <c r="L357" s="27" t="s">
        <v>312</v>
      </c>
      <c r="M357" s="32" t="str">
        <f>HYPERLINK("http://slimages.macys.com/is/image/MCY/3779695 ")</f>
        <v xml:space="preserve">http://slimages.macys.com/is/image/MCY/3779695 </v>
      </c>
    </row>
    <row r="358" spans="1:13" ht="15.2" customHeight="1" x14ac:dyDescent="0.2">
      <c r="A358" s="26" t="s">
        <v>7444</v>
      </c>
      <c r="B358" s="27" t="s">
        <v>7445</v>
      </c>
      <c r="C358" s="28">
        <v>1</v>
      </c>
      <c r="D358" s="29">
        <v>5.85</v>
      </c>
      <c r="E358" s="29">
        <v>5.85</v>
      </c>
      <c r="F358" s="30">
        <v>13.99</v>
      </c>
      <c r="G358" s="29">
        <v>13.99</v>
      </c>
      <c r="H358" s="28" t="s">
        <v>1520</v>
      </c>
      <c r="I358" s="27" t="s">
        <v>33</v>
      </c>
      <c r="J358" s="31" t="s">
        <v>40</v>
      </c>
      <c r="K358" s="27" t="s">
        <v>282</v>
      </c>
      <c r="L358" s="27" t="s">
        <v>312</v>
      </c>
      <c r="M358" s="32" t="str">
        <f>HYPERLINK("http://slimages.macys.com/is/image/MCY/3787423 ")</f>
        <v xml:space="preserve">http://slimages.macys.com/is/image/MCY/3787423 </v>
      </c>
    </row>
    <row r="359" spans="1:13" ht="15.2" customHeight="1" x14ac:dyDescent="0.2">
      <c r="A359" s="26" t="s">
        <v>8229</v>
      </c>
      <c r="B359" s="27" t="s">
        <v>8230</v>
      </c>
      <c r="C359" s="28">
        <v>1</v>
      </c>
      <c r="D359" s="29">
        <v>5.75</v>
      </c>
      <c r="E359" s="29">
        <v>5.75</v>
      </c>
      <c r="F359" s="30">
        <v>13.99</v>
      </c>
      <c r="G359" s="29">
        <v>13.99</v>
      </c>
      <c r="H359" s="28" t="s">
        <v>8231</v>
      </c>
      <c r="I359" s="27" t="s">
        <v>4</v>
      </c>
      <c r="J359" s="31" t="s">
        <v>21</v>
      </c>
      <c r="K359" s="27" t="s">
        <v>282</v>
      </c>
      <c r="L359" s="27" t="s">
        <v>312</v>
      </c>
      <c r="M359" s="32" t="str">
        <f>HYPERLINK("http://slimages.macys.com/is/image/MCY/3814605 ")</f>
        <v xml:space="preserve">http://slimages.macys.com/is/image/MCY/3814605 </v>
      </c>
    </row>
    <row r="360" spans="1:13" ht="15.2" customHeight="1" x14ac:dyDescent="0.2">
      <c r="A360" s="26" t="s">
        <v>11534</v>
      </c>
      <c r="B360" s="27" t="s">
        <v>11535</v>
      </c>
      <c r="C360" s="28">
        <v>1</v>
      </c>
      <c r="D360" s="29">
        <v>5.75</v>
      </c>
      <c r="E360" s="29">
        <v>5.75</v>
      </c>
      <c r="F360" s="30">
        <v>13.99</v>
      </c>
      <c r="G360" s="29">
        <v>13.99</v>
      </c>
      <c r="H360" s="28" t="s">
        <v>914</v>
      </c>
      <c r="I360" s="27" t="s">
        <v>39</v>
      </c>
      <c r="J360" s="31" t="s">
        <v>52</v>
      </c>
      <c r="K360" s="27" t="s">
        <v>282</v>
      </c>
      <c r="L360" s="27" t="s">
        <v>260</v>
      </c>
      <c r="M360" s="32" t="str">
        <f>HYPERLINK("http://slimages.macys.com/is/image/MCY/3652540 ")</f>
        <v xml:space="preserve">http://slimages.macys.com/is/image/MCY/3652540 </v>
      </c>
    </row>
    <row r="361" spans="1:13" ht="15.2" customHeight="1" x14ac:dyDescent="0.2">
      <c r="A361" s="26" t="s">
        <v>1526</v>
      </c>
      <c r="B361" s="27" t="s">
        <v>1527</v>
      </c>
      <c r="C361" s="28">
        <v>1</v>
      </c>
      <c r="D361" s="29">
        <v>5.75</v>
      </c>
      <c r="E361" s="29">
        <v>5.75</v>
      </c>
      <c r="F361" s="30">
        <v>13.99</v>
      </c>
      <c r="G361" s="29">
        <v>13.99</v>
      </c>
      <c r="H361" s="28" t="s">
        <v>916</v>
      </c>
      <c r="I361" s="27" t="s">
        <v>215</v>
      </c>
      <c r="J361" s="31" t="s">
        <v>21</v>
      </c>
      <c r="K361" s="27" t="s">
        <v>282</v>
      </c>
      <c r="L361" s="27" t="s">
        <v>312</v>
      </c>
      <c r="M361" s="32" t="str">
        <f>HYPERLINK("http://slimages.macys.com/is/image/MCY/3814598 ")</f>
        <v xml:space="preserve">http://slimages.macys.com/is/image/MCY/3814598 </v>
      </c>
    </row>
    <row r="362" spans="1:13" ht="15.2" customHeight="1" x14ac:dyDescent="0.2">
      <c r="A362" s="26" t="s">
        <v>11536</v>
      </c>
      <c r="B362" s="27" t="s">
        <v>11537</v>
      </c>
      <c r="C362" s="28">
        <v>1</v>
      </c>
      <c r="D362" s="29">
        <v>5.5</v>
      </c>
      <c r="E362" s="29">
        <v>5.5</v>
      </c>
      <c r="F362" s="30">
        <v>13.99</v>
      </c>
      <c r="G362" s="29">
        <v>13.99</v>
      </c>
      <c r="H362" s="28" t="s">
        <v>930</v>
      </c>
      <c r="I362" s="27" t="s">
        <v>189</v>
      </c>
      <c r="J362" s="31" t="s">
        <v>71</v>
      </c>
      <c r="K362" s="27" t="s">
        <v>282</v>
      </c>
      <c r="L362" s="27" t="s">
        <v>260</v>
      </c>
      <c r="M362" s="32" t="str">
        <f>HYPERLINK("http://slimages.macys.com/is/image/MCY/3773895 ")</f>
        <v xml:space="preserve">http://slimages.macys.com/is/image/MCY/3773895 </v>
      </c>
    </row>
    <row r="363" spans="1:13" ht="15.2" customHeight="1" x14ac:dyDescent="0.2">
      <c r="A363" s="26" t="s">
        <v>7588</v>
      </c>
      <c r="B363" s="27" t="s">
        <v>7589</v>
      </c>
      <c r="C363" s="28">
        <v>1</v>
      </c>
      <c r="D363" s="29">
        <v>5.5</v>
      </c>
      <c r="E363" s="29">
        <v>5.5</v>
      </c>
      <c r="F363" s="30">
        <v>12.99</v>
      </c>
      <c r="G363" s="29">
        <v>12.99</v>
      </c>
      <c r="H363" s="28" t="s">
        <v>7590</v>
      </c>
      <c r="I363" s="27" t="s">
        <v>82</v>
      </c>
      <c r="J363" s="31" t="s">
        <v>40</v>
      </c>
      <c r="K363" s="27" t="s">
        <v>282</v>
      </c>
      <c r="L363" s="27" t="s">
        <v>349</v>
      </c>
      <c r="M363" s="32" t="str">
        <f>HYPERLINK("http://slimages.macys.com/is/image/MCY/3755120 ")</f>
        <v xml:space="preserve">http://slimages.macys.com/is/image/MCY/3755120 </v>
      </c>
    </row>
    <row r="364" spans="1:13" ht="15.2" customHeight="1" x14ac:dyDescent="0.2">
      <c r="A364" s="26" t="s">
        <v>6617</v>
      </c>
      <c r="B364" s="27" t="s">
        <v>6618</v>
      </c>
      <c r="C364" s="28">
        <v>1</v>
      </c>
      <c r="D364" s="29">
        <v>5.5</v>
      </c>
      <c r="E364" s="29">
        <v>5.5</v>
      </c>
      <c r="F364" s="30">
        <v>12.99</v>
      </c>
      <c r="G364" s="29">
        <v>12.99</v>
      </c>
      <c r="H364" s="28" t="s">
        <v>5486</v>
      </c>
      <c r="I364" s="27" t="s">
        <v>144</v>
      </c>
      <c r="J364" s="31" t="s">
        <v>71</v>
      </c>
      <c r="K364" s="27" t="s">
        <v>282</v>
      </c>
      <c r="L364" s="27" t="s">
        <v>312</v>
      </c>
      <c r="M364" s="32" t="str">
        <f>HYPERLINK("http://slimages.macys.com/is/image/MCY/3777674 ")</f>
        <v xml:space="preserve">http://slimages.macys.com/is/image/MCY/3777674 </v>
      </c>
    </row>
    <row r="365" spans="1:13" ht="15.2" customHeight="1" x14ac:dyDescent="0.2">
      <c r="A365" s="26" t="s">
        <v>8455</v>
      </c>
      <c r="B365" s="27" t="s">
        <v>8456</v>
      </c>
      <c r="C365" s="28">
        <v>1</v>
      </c>
      <c r="D365" s="29">
        <v>5.46</v>
      </c>
      <c r="E365" s="29">
        <v>5.46</v>
      </c>
      <c r="F365" s="30">
        <v>12.99</v>
      </c>
      <c r="G365" s="29">
        <v>12.99</v>
      </c>
      <c r="H365" s="28" t="s">
        <v>1570</v>
      </c>
      <c r="I365" s="27" t="s">
        <v>82</v>
      </c>
      <c r="J365" s="31" t="s">
        <v>40</v>
      </c>
      <c r="K365" s="27" t="s">
        <v>159</v>
      </c>
      <c r="L365" s="27" t="s">
        <v>160</v>
      </c>
      <c r="M365" s="32" t="str">
        <f>HYPERLINK("http://slimages.macys.com/is/image/MCY/3758318 ")</f>
        <v xml:space="preserve">http://slimages.macys.com/is/image/MCY/3758318 </v>
      </c>
    </row>
    <row r="366" spans="1:13" ht="15.2" customHeight="1" x14ac:dyDescent="0.2">
      <c r="A366" s="26" t="s">
        <v>11028</v>
      </c>
      <c r="B366" s="27" t="s">
        <v>11029</v>
      </c>
      <c r="C366" s="28">
        <v>1</v>
      </c>
      <c r="D366" s="29">
        <v>5.45</v>
      </c>
      <c r="E366" s="29">
        <v>5.45</v>
      </c>
      <c r="F366" s="30">
        <v>12.99</v>
      </c>
      <c r="G366" s="29">
        <v>12.99</v>
      </c>
      <c r="H366" s="28" t="s">
        <v>6062</v>
      </c>
      <c r="I366" s="27" t="s">
        <v>82</v>
      </c>
      <c r="J366" s="31" t="s">
        <v>40</v>
      </c>
      <c r="K366" s="27" t="s">
        <v>159</v>
      </c>
      <c r="L366" s="27" t="s">
        <v>160</v>
      </c>
      <c r="M366" s="32" t="str">
        <f>HYPERLINK("http://slimages.macys.com/is/image/MCY/3314215 ")</f>
        <v xml:space="preserve">http://slimages.macys.com/is/image/MCY/3314215 </v>
      </c>
    </row>
    <row r="367" spans="1:13" ht="15.2" customHeight="1" x14ac:dyDescent="0.2">
      <c r="A367" s="26" t="s">
        <v>11538</v>
      </c>
      <c r="B367" s="27" t="s">
        <v>11539</v>
      </c>
      <c r="C367" s="28">
        <v>1</v>
      </c>
      <c r="D367" s="29">
        <v>5.45</v>
      </c>
      <c r="E367" s="29">
        <v>5.45</v>
      </c>
      <c r="F367" s="30">
        <v>12.99</v>
      </c>
      <c r="G367" s="29">
        <v>12.99</v>
      </c>
      <c r="H367" s="28" t="s">
        <v>4502</v>
      </c>
      <c r="I367" s="27" t="s">
        <v>103</v>
      </c>
      <c r="J367" s="31" t="s">
        <v>71</v>
      </c>
      <c r="K367" s="27" t="s">
        <v>159</v>
      </c>
      <c r="L367" s="27" t="s">
        <v>160</v>
      </c>
      <c r="M367" s="32" t="str">
        <f>HYPERLINK("http://slimages.macys.com/is/image/MCY/3314215 ")</f>
        <v xml:space="preserve">http://slimages.macys.com/is/image/MCY/3314215 </v>
      </c>
    </row>
    <row r="368" spans="1:13" ht="15.2" customHeight="1" x14ac:dyDescent="0.2">
      <c r="A368" s="26" t="s">
        <v>936</v>
      </c>
      <c r="B368" s="27" t="s">
        <v>937</v>
      </c>
      <c r="C368" s="28">
        <v>1</v>
      </c>
      <c r="D368" s="29">
        <v>5.25</v>
      </c>
      <c r="E368" s="29">
        <v>5.25</v>
      </c>
      <c r="F368" s="30">
        <v>12.99</v>
      </c>
      <c r="G368" s="29">
        <v>12.99</v>
      </c>
      <c r="H368" s="28" t="s">
        <v>448</v>
      </c>
      <c r="I368" s="27" t="s">
        <v>82</v>
      </c>
      <c r="J368" s="31" t="s">
        <v>21</v>
      </c>
      <c r="K368" s="27" t="s">
        <v>282</v>
      </c>
      <c r="L368" s="27" t="s">
        <v>358</v>
      </c>
      <c r="M368" s="32" t="str">
        <f>HYPERLINK("http://slimages.macys.com/is/image/MCY/3875975 ")</f>
        <v xml:space="preserve">http://slimages.macys.com/is/image/MCY/3875975 </v>
      </c>
    </row>
    <row r="369" spans="1:13" ht="15.2" customHeight="1" x14ac:dyDescent="0.2">
      <c r="A369" s="26" t="s">
        <v>449</v>
      </c>
      <c r="B369" s="27" t="s">
        <v>450</v>
      </c>
      <c r="C369" s="28">
        <v>1</v>
      </c>
      <c r="D369" s="29">
        <v>5.25</v>
      </c>
      <c r="E369" s="29">
        <v>5.25</v>
      </c>
      <c r="F369" s="30">
        <v>12.99</v>
      </c>
      <c r="G369" s="29">
        <v>12.99</v>
      </c>
      <c r="H369" s="28" t="s">
        <v>448</v>
      </c>
      <c r="I369" s="27" t="s">
        <v>82</v>
      </c>
      <c r="J369" s="31" t="s">
        <v>40</v>
      </c>
      <c r="K369" s="27" t="s">
        <v>282</v>
      </c>
      <c r="L369" s="27" t="s">
        <v>358</v>
      </c>
      <c r="M369" s="32" t="str">
        <f>HYPERLINK("http://slimages.macys.com/is/image/MCY/3875975 ")</f>
        <v xml:space="preserve">http://slimages.macys.com/is/image/MCY/3875975 </v>
      </c>
    </row>
    <row r="370" spans="1:13" ht="15.2" customHeight="1" x14ac:dyDescent="0.2">
      <c r="A370" s="26" t="s">
        <v>6063</v>
      </c>
      <c r="B370" s="27" t="s">
        <v>6064</v>
      </c>
      <c r="C370" s="28">
        <v>2</v>
      </c>
      <c r="D370" s="29">
        <v>5.25</v>
      </c>
      <c r="E370" s="29">
        <v>10.5</v>
      </c>
      <c r="F370" s="30">
        <v>12.99</v>
      </c>
      <c r="G370" s="29">
        <v>25.98</v>
      </c>
      <c r="H370" s="28" t="s">
        <v>1575</v>
      </c>
      <c r="I370" s="27" t="s">
        <v>4</v>
      </c>
      <c r="J370" s="31" t="s">
        <v>52</v>
      </c>
      <c r="K370" s="27" t="s">
        <v>282</v>
      </c>
      <c r="L370" s="27" t="s">
        <v>358</v>
      </c>
      <c r="M370" s="32" t="str">
        <f>HYPERLINK("http://slimages.macys.com/is/image/MCY/3875978 ")</f>
        <v xml:space="preserve">http://slimages.macys.com/is/image/MCY/3875978 </v>
      </c>
    </row>
    <row r="371" spans="1:13" ht="15.2" customHeight="1" x14ac:dyDescent="0.2">
      <c r="A371" s="26" t="s">
        <v>8332</v>
      </c>
      <c r="B371" s="27" t="s">
        <v>8333</v>
      </c>
      <c r="C371" s="28">
        <v>1</v>
      </c>
      <c r="D371" s="29">
        <v>5.25</v>
      </c>
      <c r="E371" s="29">
        <v>5.25</v>
      </c>
      <c r="F371" s="30">
        <v>12.99</v>
      </c>
      <c r="G371" s="29">
        <v>12.99</v>
      </c>
      <c r="H371" s="28" t="s">
        <v>1581</v>
      </c>
      <c r="I371" s="27" t="s">
        <v>82</v>
      </c>
      <c r="J371" s="31" t="s">
        <v>21</v>
      </c>
      <c r="K371" s="27" t="s">
        <v>282</v>
      </c>
      <c r="L371" s="27" t="s">
        <v>358</v>
      </c>
      <c r="M371" s="32" t="str">
        <f>HYPERLINK("http://slimages.macys.com/is/image/MCY/3875976 ")</f>
        <v xml:space="preserve">http://slimages.macys.com/is/image/MCY/3875976 </v>
      </c>
    </row>
    <row r="372" spans="1:13" ht="15.2" customHeight="1" x14ac:dyDescent="0.2">
      <c r="A372" s="26" t="s">
        <v>451</v>
      </c>
      <c r="B372" s="27" t="s">
        <v>452</v>
      </c>
      <c r="C372" s="28">
        <v>1</v>
      </c>
      <c r="D372" s="29">
        <v>5.25</v>
      </c>
      <c r="E372" s="29">
        <v>5.25</v>
      </c>
      <c r="F372" s="30">
        <v>12.99</v>
      </c>
      <c r="G372" s="29">
        <v>12.99</v>
      </c>
      <c r="H372" s="28" t="s">
        <v>448</v>
      </c>
      <c r="I372" s="27" t="s">
        <v>82</v>
      </c>
      <c r="J372" s="31" t="s">
        <v>5</v>
      </c>
      <c r="K372" s="27" t="s">
        <v>282</v>
      </c>
      <c r="L372" s="27" t="s">
        <v>358</v>
      </c>
      <c r="M372" s="32" t="str">
        <f>HYPERLINK("http://slimages.macys.com/is/image/MCY/3875975 ")</f>
        <v xml:space="preserve">http://slimages.macys.com/is/image/MCY/3875975 </v>
      </c>
    </row>
    <row r="373" spans="1:13" ht="15.2" customHeight="1" x14ac:dyDescent="0.2">
      <c r="A373" s="26" t="s">
        <v>1964</v>
      </c>
      <c r="B373" s="27" t="s">
        <v>1965</v>
      </c>
      <c r="C373" s="28">
        <v>1</v>
      </c>
      <c r="D373" s="29">
        <v>4.6500000000000004</v>
      </c>
      <c r="E373" s="29">
        <v>4.6500000000000004</v>
      </c>
      <c r="F373" s="30">
        <v>10.99</v>
      </c>
      <c r="G373" s="29">
        <v>10.99</v>
      </c>
      <c r="H373" s="28">
        <v>60359814</v>
      </c>
      <c r="I373" s="27" t="s">
        <v>59</v>
      </c>
      <c r="J373" s="31" t="s">
        <v>71</v>
      </c>
      <c r="K373" s="27" t="s">
        <v>282</v>
      </c>
      <c r="L373" s="27" t="s">
        <v>255</v>
      </c>
      <c r="M373" s="32" t="str">
        <f>HYPERLINK("http://slimages.macys.com/is/image/MCY/2308510 ")</f>
        <v xml:space="preserve">http://slimages.macys.com/is/image/MCY/2308510 </v>
      </c>
    </row>
    <row r="374" spans="1:13" ht="15.2" customHeight="1" x14ac:dyDescent="0.2">
      <c r="A374" s="26" t="s">
        <v>942</v>
      </c>
      <c r="B374" s="27" t="s">
        <v>943</v>
      </c>
      <c r="C374" s="28">
        <v>1</v>
      </c>
      <c r="D374" s="29">
        <v>4.6500000000000004</v>
      </c>
      <c r="E374" s="29">
        <v>4.6500000000000004</v>
      </c>
      <c r="F374" s="30">
        <v>10.99</v>
      </c>
      <c r="G374" s="29">
        <v>10.99</v>
      </c>
      <c r="H374" s="28">
        <v>60359814</v>
      </c>
      <c r="I374" s="27" t="s">
        <v>22</v>
      </c>
      <c r="J374" s="31" t="s">
        <v>52</v>
      </c>
      <c r="K374" s="27" t="s">
        <v>282</v>
      </c>
      <c r="L374" s="27" t="s">
        <v>255</v>
      </c>
      <c r="M374" s="32" t="str">
        <f>HYPERLINK("http://slimages.macys.com/is/image/MCY/2308510 ")</f>
        <v xml:space="preserve">http://slimages.macys.com/is/image/MCY/2308510 </v>
      </c>
    </row>
    <row r="375" spans="1:13" ht="15.2" customHeight="1" x14ac:dyDescent="0.2">
      <c r="A375" s="26" t="s">
        <v>6071</v>
      </c>
      <c r="B375" s="27" t="s">
        <v>6072</v>
      </c>
      <c r="C375" s="28">
        <v>1</v>
      </c>
      <c r="D375" s="29">
        <v>4.5</v>
      </c>
      <c r="E375" s="29">
        <v>4.5</v>
      </c>
      <c r="F375" s="30">
        <v>12.99</v>
      </c>
      <c r="G375" s="29">
        <v>12.99</v>
      </c>
      <c r="H375" s="28" t="s">
        <v>5495</v>
      </c>
      <c r="I375" s="27" t="s">
        <v>8</v>
      </c>
      <c r="J375" s="31" t="s">
        <v>21</v>
      </c>
      <c r="K375" s="27" t="s">
        <v>282</v>
      </c>
      <c r="L375" s="27" t="s">
        <v>283</v>
      </c>
      <c r="M375" s="32" t="str">
        <f>HYPERLINK("http://slimages.macys.com/is/image/MCY/3875803 ")</f>
        <v xml:space="preserve">http://slimages.macys.com/is/image/MCY/3875803 </v>
      </c>
    </row>
    <row r="376" spans="1:13" ht="15.2" customHeight="1" x14ac:dyDescent="0.2">
      <c r="A376" s="26" t="s">
        <v>6069</v>
      </c>
      <c r="B376" s="27" t="s">
        <v>6070</v>
      </c>
      <c r="C376" s="28">
        <v>1</v>
      </c>
      <c r="D376" s="29">
        <v>4.5</v>
      </c>
      <c r="E376" s="29">
        <v>4.5</v>
      </c>
      <c r="F376" s="30">
        <v>12.99</v>
      </c>
      <c r="G376" s="29">
        <v>12.99</v>
      </c>
      <c r="H376" s="28" t="s">
        <v>5559</v>
      </c>
      <c r="I376" s="27" t="s">
        <v>59</v>
      </c>
      <c r="J376" s="31" t="s">
        <v>5</v>
      </c>
      <c r="K376" s="27" t="s">
        <v>282</v>
      </c>
      <c r="L376" s="27" t="s">
        <v>283</v>
      </c>
      <c r="M376" s="32" t="str">
        <f>HYPERLINK("http://slimages.macys.com/is/image/MCY/3875942 ")</f>
        <v xml:space="preserve">http://slimages.macys.com/is/image/MCY/3875942 </v>
      </c>
    </row>
    <row r="377" spans="1:13" ht="15.2" customHeight="1" x14ac:dyDescent="0.2">
      <c r="A377" s="26" t="s">
        <v>7461</v>
      </c>
      <c r="B377" s="27" t="s">
        <v>7462</v>
      </c>
      <c r="C377" s="28">
        <v>1</v>
      </c>
      <c r="D377" s="29">
        <v>4.5</v>
      </c>
      <c r="E377" s="29">
        <v>4.5</v>
      </c>
      <c r="F377" s="30">
        <v>12.99</v>
      </c>
      <c r="G377" s="29">
        <v>12.99</v>
      </c>
      <c r="H377" s="28" t="s">
        <v>5559</v>
      </c>
      <c r="I377" s="27" t="s">
        <v>59</v>
      </c>
      <c r="J377" s="31" t="s">
        <v>40</v>
      </c>
      <c r="K377" s="27" t="s">
        <v>282</v>
      </c>
      <c r="L377" s="27" t="s">
        <v>283</v>
      </c>
      <c r="M377" s="32" t="str">
        <f>HYPERLINK("http://slimages.macys.com/is/image/MCY/3875942 ")</f>
        <v xml:space="preserve">http://slimages.macys.com/is/image/MCY/3875942 </v>
      </c>
    </row>
    <row r="378" spans="1:13" ht="15.2" customHeight="1" x14ac:dyDescent="0.2">
      <c r="A378" s="26" t="s">
        <v>11540</v>
      </c>
      <c r="B378" s="27" t="s">
        <v>11541</v>
      </c>
      <c r="C378" s="28">
        <v>1</v>
      </c>
      <c r="D378" s="29">
        <v>4.5</v>
      </c>
      <c r="E378" s="29">
        <v>4.5</v>
      </c>
      <c r="F378" s="30">
        <v>10.99</v>
      </c>
      <c r="G378" s="29">
        <v>10.99</v>
      </c>
      <c r="H378" s="28">
        <v>60445055</v>
      </c>
      <c r="I378" s="27" t="s">
        <v>75</v>
      </c>
      <c r="J378" s="31" t="s">
        <v>52</v>
      </c>
      <c r="K378" s="27" t="s">
        <v>282</v>
      </c>
      <c r="L378" s="27" t="s">
        <v>255</v>
      </c>
      <c r="M378" s="32" t="str">
        <f>HYPERLINK("http://slimages.macys.com/is/image/MCY/3580367 ")</f>
        <v xml:space="preserve">http://slimages.macys.com/is/image/MCY/3580367 </v>
      </c>
    </row>
    <row r="379" spans="1:13" ht="15.2" customHeight="1" x14ac:dyDescent="0.2">
      <c r="A379" s="26" t="s">
        <v>1592</v>
      </c>
      <c r="B379" s="27" t="s">
        <v>1593</v>
      </c>
      <c r="C379" s="28">
        <v>1</v>
      </c>
      <c r="D379" s="29">
        <v>4.5</v>
      </c>
      <c r="E379" s="29">
        <v>4.5</v>
      </c>
      <c r="F379" s="30">
        <v>12.99</v>
      </c>
      <c r="G379" s="29">
        <v>12.99</v>
      </c>
      <c r="H379" s="28" t="s">
        <v>1594</v>
      </c>
      <c r="I379" s="27" t="s">
        <v>4</v>
      </c>
      <c r="J379" s="31" t="s">
        <v>21</v>
      </c>
      <c r="K379" s="27" t="s">
        <v>282</v>
      </c>
      <c r="L379" s="27" t="s">
        <v>283</v>
      </c>
      <c r="M379" s="32" t="str">
        <f>HYPERLINK("http://slimages.macys.com/is/image/MCY/3927796 ")</f>
        <v xml:space="preserve">http://slimages.macys.com/is/image/MCY/3927796 </v>
      </c>
    </row>
    <row r="380" spans="1:13" ht="15.2" customHeight="1" x14ac:dyDescent="0.2">
      <c r="A380" s="26" t="s">
        <v>7591</v>
      </c>
      <c r="B380" s="27" t="s">
        <v>7592</v>
      </c>
      <c r="C380" s="28">
        <v>3</v>
      </c>
      <c r="D380" s="29">
        <v>4.5</v>
      </c>
      <c r="E380" s="29">
        <v>13.5</v>
      </c>
      <c r="F380" s="30">
        <v>12.99</v>
      </c>
      <c r="G380" s="29">
        <v>38.97</v>
      </c>
      <c r="H380" s="28" t="s">
        <v>5559</v>
      </c>
      <c r="I380" s="27" t="s">
        <v>59</v>
      </c>
      <c r="J380" s="31" t="s">
        <v>21</v>
      </c>
      <c r="K380" s="27" t="s">
        <v>282</v>
      </c>
      <c r="L380" s="27" t="s">
        <v>283</v>
      </c>
      <c r="M380" s="32" t="str">
        <f>HYPERLINK("http://slimages.macys.com/is/image/MCY/3875942 ")</f>
        <v xml:space="preserve">http://slimages.macys.com/is/image/MCY/3875942 </v>
      </c>
    </row>
    <row r="381" spans="1:13" ht="15.2" customHeight="1" x14ac:dyDescent="0.2">
      <c r="A381" s="26" t="s">
        <v>7463</v>
      </c>
      <c r="B381" s="27" t="s">
        <v>7464</v>
      </c>
      <c r="C381" s="28">
        <v>2</v>
      </c>
      <c r="D381" s="29">
        <v>4.5</v>
      </c>
      <c r="E381" s="29">
        <v>9</v>
      </c>
      <c r="F381" s="30">
        <v>12.99</v>
      </c>
      <c r="G381" s="29">
        <v>25.98</v>
      </c>
      <c r="H381" s="28" t="s">
        <v>1594</v>
      </c>
      <c r="I381" s="27" t="s">
        <v>4</v>
      </c>
      <c r="J381" s="31" t="s">
        <v>40</v>
      </c>
      <c r="K381" s="27" t="s">
        <v>282</v>
      </c>
      <c r="L381" s="27" t="s">
        <v>283</v>
      </c>
      <c r="M381" s="32" t="str">
        <f>HYPERLINK("http://slimages.macys.com/is/image/MCY/3927796 ")</f>
        <v xml:space="preserve">http://slimages.macys.com/is/image/MCY/3927796 </v>
      </c>
    </row>
    <row r="382" spans="1:13" ht="15.2" customHeight="1" x14ac:dyDescent="0.2">
      <c r="A382" s="26" t="s">
        <v>8865</v>
      </c>
      <c r="B382" s="27" t="s">
        <v>8866</v>
      </c>
      <c r="C382" s="28">
        <v>2</v>
      </c>
      <c r="D382" s="29">
        <v>4.5</v>
      </c>
      <c r="E382" s="29">
        <v>9</v>
      </c>
      <c r="F382" s="30">
        <v>12.99</v>
      </c>
      <c r="G382" s="29">
        <v>25.98</v>
      </c>
      <c r="H382" s="28" t="s">
        <v>1597</v>
      </c>
      <c r="I382" s="27" t="s">
        <v>244</v>
      </c>
      <c r="J382" s="31" t="s">
        <v>21</v>
      </c>
      <c r="K382" s="27" t="s">
        <v>282</v>
      </c>
      <c r="L382" s="27" t="s">
        <v>283</v>
      </c>
      <c r="M382" s="32" t="str">
        <f>HYPERLINK("http://slimages.macys.com/is/image/MCY/3875943 ")</f>
        <v xml:space="preserve">http://slimages.macys.com/is/image/MCY/3875943 </v>
      </c>
    </row>
    <row r="383" spans="1:13" ht="15.2" customHeight="1" x14ac:dyDescent="0.2">
      <c r="A383" s="26" t="s">
        <v>3972</v>
      </c>
      <c r="B383" s="27" t="s">
        <v>3973</v>
      </c>
      <c r="C383" s="28">
        <v>1</v>
      </c>
      <c r="D383" s="29">
        <v>3.72</v>
      </c>
      <c r="E383" s="29">
        <v>3.72</v>
      </c>
      <c r="F383" s="30">
        <v>7.99</v>
      </c>
      <c r="G383" s="29">
        <v>7.99</v>
      </c>
      <c r="H383" s="28" t="s">
        <v>459</v>
      </c>
      <c r="I383" s="27" t="s">
        <v>39</v>
      </c>
      <c r="J383" s="31" t="s">
        <v>40</v>
      </c>
      <c r="K383" s="27" t="s">
        <v>282</v>
      </c>
      <c r="L383" s="27" t="s">
        <v>325</v>
      </c>
      <c r="M383" s="32" t="str">
        <f>HYPERLINK("http://slimages.macys.com/is/image/MCY/3609979 ")</f>
        <v xml:space="preserve">http://slimages.macys.com/is/image/MCY/3609979 </v>
      </c>
    </row>
    <row r="384" spans="1:13" ht="15.2" customHeight="1" x14ac:dyDescent="0.2">
      <c r="A384" s="26" t="s">
        <v>457</v>
      </c>
      <c r="B384" s="27" t="s">
        <v>458</v>
      </c>
      <c r="C384" s="28">
        <v>1</v>
      </c>
      <c r="D384" s="29">
        <v>3.72</v>
      </c>
      <c r="E384" s="29">
        <v>3.72</v>
      </c>
      <c r="F384" s="30">
        <v>7.99</v>
      </c>
      <c r="G384" s="29">
        <v>7.99</v>
      </c>
      <c r="H384" s="28" t="s">
        <v>459</v>
      </c>
      <c r="I384" s="27" t="s">
        <v>343</v>
      </c>
      <c r="J384" s="31" t="s">
        <v>40</v>
      </c>
      <c r="K384" s="27" t="s">
        <v>282</v>
      </c>
      <c r="L384" s="27" t="s">
        <v>325</v>
      </c>
      <c r="M384" s="32" t="str">
        <f>HYPERLINK("http://slimages.macys.com/is/image/MCY/3609979 ")</f>
        <v xml:space="preserve">http://slimages.macys.com/is/image/MCY/3609979 </v>
      </c>
    </row>
    <row r="385" spans="1:13" ht="15.2" customHeight="1" x14ac:dyDescent="0.2">
      <c r="A385" s="26" t="s">
        <v>5812</v>
      </c>
      <c r="B385" s="27" t="s">
        <v>5813</v>
      </c>
      <c r="C385" s="28">
        <v>2</v>
      </c>
      <c r="D385" s="29">
        <v>3.72</v>
      </c>
      <c r="E385" s="29">
        <v>7.44</v>
      </c>
      <c r="F385" s="30">
        <v>7.99</v>
      </c>
      <c r="G385" s="29">
        <v>15.98</v>
      </c>
      <c r="H385" s="28" t="s">
        <v>459</v>
      </c>
      <c r="I385" s="27" t="s">
        <v>39</v>
      </c>
      <c r="J385" s="31" t="s">
        <v>21</v>
      </c>
      <c r="K385" s="27" t="s">
        <v>282</v>
      </c>
      <c r="L385" s="27" t="s">
        <v>325</v>
      </c>
      <c r="M385" s="32" t="str">
        <f>HYPERLINK("http://slimages.macys.com/is/image/MCY/3609979 ")</f>
        <v xml:space="preserve">http://slimages.macys.com/is/image/MCY/3609979 </v>
      </c>
    </row>
    <row r="386" spans="1:13" ht="15.2" customHeight="1" x14ac:dyDescent="0.2">
      <c r="A386" s="26" t="s">
        <v>11542</v>
      </c>
      <c r="B386" s="27" t="s">
        <v>11543</v>
      </c>
      <c r="C386" s="28">
        <v>1</v>
      </c>
      <c r="D386" s="29">
        <v>3.72</v>
      </c>
      <c r="E386" s="29">
        <v>3.72</v>
      </c>
      <c r="F386" s="30">
        <v>7.99</v>
      </c>
      <c r="G386" s="29">
        <v>7.99</v>
      </c>
      <c r="H386" s="28" t="s">
        <v>460</v>
      </c>
      <c r="I386" s="27" t="s">
        <v>26</v>
      </c>
      <c r="J386" s="31" t="s">
        <v>71</v>
      </c>
      <c r="K386" s="27" t="s">
        <v>282</v>
      </c>
      <c r="L386" s="27" t="s">
        <v>325</v>
      </c>
      <c r="M386" s="32" t="str">
        <f>HYPERLINK("http://slimages.macys.com/is/image/MCY/3609965 ")</f>
        <v xml:space="preserve">http://slimages.macys.com/is/image/MCY/3609965 </v>
      </c>
    </row>
    <row r="387" spans="1:13" ht="15.2" customHeight="1" x14ac:dyDescent="0.2">
      <c r="A387" s="26" t="s">
        <v>11544</v>
      </c>
      <c r="B387" s="27" t="s">
        <v>11545</v>
      </c>
      <c r="C387" s="28">
        <v>1</v>
      </c>
      <c r="D387" s="29">
        <v>3.65</v>
      </c>
      <c r="E387" s="29">
        <v>3.65</v>
      </c>
      <c r="F387" s="30">
        <v>12.99</v>
      </c>
      <c r="G387" s="29">
        <v>12.99</v>
      </c>
      <c r="H387" s="28" t="s">
        <v>950</v>
      </c>
      <c r="I387" s="27" t="s">
        <v>29</v>
      </c>
      <c r="J387" s="31" t="s">
        <v>5</v>
      </c>
      <c r="K387" s="27" t="s">
        <v>200</v>
      </c>
      <c r="L387" s="27" t="s">
        <v>325</v>
      </c>
      <c r="M387" s="32" t="str">
        <f>HYPERLINK("http://slimages.macys.com/is/image/MCY/3937145 ")</f>
        <v xml:space="preserve">http://slimages.macys.com/is/image/MCY/3937145 </v>
      </c>
    </row>
    <row r="388" spans="1:13" ht="15.2" customHeight="1" x14ac:dyDescent="0.2">
      <c r="A388" s="26" t="s">
        <v>11546</v>
      </c>
      <c r="B388" s="27" t="s">
        <v>11547</v>
      </c>
      <c r="C388" s="28">
        <v>2</v>
      </c>
      <c r="D388" s="29">
        <v>3.65</v>
      </c>
      <c r="E388" s="29">
        <v>7.3</v>
      </c>
      <c r="F388" s="30">
        <v>12.99</v>
      </c>
      <c r="G388" s="29">
        <v>25.98</v>
      </c>
      <c r="H388" s="28" t="s">
        <v>950</v>
      </c>
      <c r="I388" s="27" t="s">
        <v>29</v>
      </c>
      <c r="J388" s="31" t="s">
        <v>21</v>
      </c>
      <c r="K388" s="27" t="s">
        <v>200</v>
      </c>
      <c r="L388" s="27" t="s">
        <v>325</v>
      </c>
      <c r="M388" s="32" t="str">
        <f>HYPERLINK("http://slimages.macys.com/is/image/MCY/3937123 ")</f>
        <v xml:space="preserve">http://slimages.macys.com/is/image/MCY/3937123 </v>
      </c>
    </row>
    <row r="389" spans="1:13" ht="15.2" customHeight="1" x14ac:dyDescent="0.2">
      <c r="A389" s="26" t="s">
        <v>7209</v>
      </c>
      <c r="B389" s="27" t="s">
        <v>7210</v>
      </c>
      <c r="C389" s="28">
        <v>2</v>
      </c>
      <c r="D389" s="29">
        <v>3.65</v>
      </c>
      <c r="E389" s="29">
        <v>7.3</v>
      </c>
      <c r="F389" s="30">
        <v>12.99</v>
      </c>
      <c r="G389" s="29">
        <v>25.98</v>
      </c>
      <c r="H389" s="28" t="s">
        <v>950</v>
      </c>
      <c r="I389" s="27" t="s">
        <v>29</v>
      </c>
      <c r="J389" s="31" t="s">
        <v>5</v>
      </c>
      <c r="K389" s="27" t="s">
        <v>200</v>
      </c>
      <c r="L389" s="27" t="s">
        <v>325</v>
      </c>
      <c r="M389" s="32" t="str">
        <f>HYPERLINK("http://slimages.macys.com/is/image/MCY/3937123 ")</f>
        <v xml:space="preserve">http://slimages.macys.com/is/image/MCY/3937123 </v>
      </c>
    </row>
    <row r="390" spans="1:13" ht="15.2" customHeight="1" x14ac:dyDescent="0.2">
      <c r="A390" s="26" t="s">
        <v>3028</v>
      </c>
      <c r="B390" s="27" t="s">
        <v>3029</v>
      </c>
      <c r="C390" s="28">
        <v>1</v>
      </c>
      <c r="D390" s="29">
        <v>3.45</v>
      </c>
      <c r="E390" s="29">
        <v>3.45</v>
      </c>
      <c r="F390" s="30">
        <v>7.99</v>
      </c>
      <c r="G390" s="29">
        <v>7.99</v>
      </c>
      <c r="H390" s="28">
        <v>60423445</v>
      </c>
      <c r="I390" s="27" t="s">
        <v>661</v>
      </c>
      <c r="J390" s="31" t="s">
        <v>21</v>
      </c>
      <c r="K390" s="27" t="s">
        <v>282</v>
      </c>
      <c r="L390" s="27" t="s">
        <v>255</v>
      </c>
      <c r="M390" s="32" t="str">
        <f>HYPERLINK("http://slimages.macys.com/is/image/MCY/3663800 ")</f>
        <v xml:space="preserve">http://slimages.macys.com/is/image/MCY/3663800 </v>
      </c>
    </row>
    <row r="391" spans="1:13" ht="15.2" customHeight="1" x14ac:dyDescent="0.2">
      <c r="A391" s="26" t="s">
        <v>3032</v>
      </c>
      <c r="B391" s="27" t="s">
        <v>3033</v>
      </c>
      <c r="C391" s="28">
        <v>2</v>
      </c>
      <c r="D391" s="29">
        <v>3.45</v>
      </c>
      <c r="E391" s="29">
        <v>6.9</v>
      </c>
      <c r="F391" s="30">
        <v>7.99</v>
      </c>
      <c r="G391" s="29">
        <v>15.98</v>
      </c>
      <c r="H391" s="28">
        <v>60423445</v>
      </c>
      <c r="I391" s="27" t="s">
        <v>75</v>
      </c>
      <c r="J391" s="31" t="s">
        <v>5</v>
      </c>
      <c r="K391" s="27" t="s">
        <v>282</v>
      </c>
      <c r="L391" s="27" t="s">
        <v>255</v>
      </c>
      <c r="M391" s="32" t="str">
        <f>HYPERLINK("http://slimages.macys.com/is/image/MCY/3663800 ")</f>
        <v xml:space="preserve">http://slimages.macys.com/is/image/MCY/3663800 </v>
      </c>
    </row>
    <row r="392" spans="1:13" ht="15.2" customHeight="1" x14ac:dyDescent="0.2">
      <c r="A392" s="26" t="s">
        <v>1970</v>
      </c>
      <c r="B392" s="27" t="s">
        <v>1971</v>
      </c>
      <c r="C392" s="28">
        <v>1</v>
      </c>
      <c r="D392" s="29">
        <v>3.45</v>
      </c>
      <c r="E392" s="29">
        <v>3.45</v>
      </c>
      <c r="F392" s="30">
        <v>7.99</v>
      </c>
      <c r="G392" s="29">
        <v>7.99</v>
      </c>
      <c r="H392" s="28">
        <v>60423445</v>
      </c>
      <c r="I392" s="27" t="s">
        <v>75</v>
      </c>
      <c r="J392" s="31" t="s">
        <v>21</v>
      </c>
      <c r="K392" s="27" t="s">
        <v>282</v>
      </c>
      <c r="L392" s="27" t="s">
        <v>255</v>
      </c>
      <c r="M392" s="32" t="str">
        <f>HYPERLINK("http://slimages.macys.com/is/image/MCY/3663800 ")</f>
        <v xml:space="preserve">http://slimages.macys.com/is/image/MCY/3663800 </v>
      </c>
    </row>
    <row r="393" spans="1:13" ht="15.2" customHeight="1" x14ac:dyDescent="0.2">
      <c r="A393" s="26" t="s">
        <v>2710</v>
      </c>
      <c r="B393" s="27" t="s">
        <v>2711</v>
      </c>
      <c r="C393" s="28">
        <v>1</v>
      </c>
      <c r="D393" s="29">
        <v>3.45</v>
      </c>
      <c r="E393" s="29">
        <v>3.45</v>
      </c>
      <c r="F393" s="30">
        <v>7.99</v>
      </c>
      <c r="G393" s="29">
        <v>7.99</v>
      </c>
      <c r="H393" s="28">
        <v>60423445</v>
      </c>
      <c r="I393" s="27" t="s">
        <v>75</v>
      </c>
      <c r="J393" s="31" t="s">
        <v>52</v>
      </c>
      <c r="K393" s="27" t="s">
        <v>282</v>
      </c>
      <c r="L393" s="27" t="s">
        <v>255</v>
      </c>
      <c r="M393" s="32" t="str">
        <f>HYPERLINK("http://slimages.macys.com/is/image/MCY/3663800 ")</f>
        <v xml:space="preserve">http://slimages.macys.com/is/image/MCY/3663800 </v>
      </c>
    </row>
    <row r="394" spans="1:13" ht="15.2" customHeight="1" x14ac:dyDescent="0.2">
      <c r="A394" s="26" t="s">
        <v>3034</v>
      </c>
      <c r="B394" s="27" t="s">
        <v>3035</v>
      </c>
      <c r="C394" s="28">
        <v>1</v>
      </c>
      <c r="D394" s="29">
        <v>3.45</v>
      </c>
      <c r="E394" s="29">
        <v>3.45</v>
      </c>
      <c r="F394" s="30">
        <v>7.99</v>
      </c>
      <c r="G394" s="29">
        <v>7.99</v>
      </c>
      <c r="H394" s="28">
        <v>60423445</v>
      </c>
      <c r="I394" s="27" t="s">
        <v>661</v>
      </c>
      <c r="J394" s="31" t="s">
        <v>71</v>
      </c>
      <c r="K394" s="27" t="s">
        <v>282</v>
      </c>
      <c r="L394" s="27" t="s">
        <v>255</v>
      </c>
      <c r="M394" s="32" t="str">
        <f>HYPERLINK("http://slimages.macys.com/is/image/MCY/3663800 ")</f>
        <v xml:space="preserve">http://slimages.macys.com/is/image/MCY/3663800 </v>
      </c>
    </row>
    <row r="395" spans="1:13" ht="15.2" customHeight="1" x14ac:dyDescent="0.2">
      <c r="A395" s="26" t="s">
        <v>8458</v>
      </c>
      <c r="B395" s="27" t="s">
        <v>8459</v>
      </c>
      <c r="C395" s="28">
        <v>1</v>
      </c>
      <c r="D395" s="29">
        <v>70.87</v>
      </c>
      <c r="E395" s="29">
        <v>70.87</v>
      </c>
      <c r="F395" s="30">
        <v>189</v>
      </c>
      <c r="G395" s="29">
        <v>189</v>
      </c>
      <c r="H395" s="28">
        <v>7066913</v>
      </c>
      <c r="I395" s="27" t="s">
        <v>5519</v>
      </c>
      <c r="J395" s="31" t="s">
        <v>8334</v>
      </c>
      <c r="K395" s="27" t="s">
        <v>462</v>
      </c>
      <c r="L395" s="27" t="s">
        <v>463</v>
      </c>
      <c r="M395" s="32"/>
    </row>
    <row r="396" spans="1:13" ht="15.2" customHeight="1" x14ac:dyDescent="0.2">
      <c r="A396" s="26" t="s">
        <v>8335</v>
      </c>
      <c r="B396" s="27" t="s">
        <v>7594</v>
      </c>
      <c r="C396" s="28">
        <v>1</v>
      </c>
      <c r="D396" s="29">
        <v>34</v>
      </c>
      <c r="E396" s="29">
        <v>34</v>
      </c>
      <c r="F396" s="30">
        <v>99</v>
      </c>
      <c r="G396" s="29">
        <v>99</v>
      </c>
      <c r="H396" s="28" t="s">
        <v>7595</v>
      </c>
      <c r="I396" s="27" t="s">
        <v>291</v>
      </c>
      <c r="J396" s="31" t="s">
        <v>23</v>
      </c>
      <c r="K396" s="27" t="s">
        <v>24</v>
      </c>
      <c r="L396" s="27" t="s">
        <v>25</v>
      </c>
      <c r="M396" s="32"/>
    </row>
    <row r="397" spans="1:13" ht="15.2" customHeight="1" x14ac:dyDescent="0.2">
      <c r="A397" s="26" t="s">
        <v>7819</v>
      </c>
      <c r="B397" s="27" t="s">
        <v>2418</v>
      </c>
      <c r="C397" s="28">
        <v>2</v>
      </c>
      <c r="D397" s="29">
        <v>30</v>
      </c>
      <c r="E397" s="29">
        <v>60</v>
      </c>
      <c r="F397" s="30">
        <v>79.5</v>
      </c>
      <c r="G397" s="29">
        <v>159</v>
      </c>
      <c r="H397" s="28" t="s">
        <v>2419</v>
      </c>
      <c r="I397" s="27" t="s">
        <v>36</v>
      </c>
      <c r="J397" s="31" t="s">
        <v>40</v>
      </c>
      <c r="K397" s="27" t="s">
        <v>17</v>
      </c>
      <c r="L397" s="27" t="s">
        <v>18</v>
      </c>
      <c r="M397" s="32"/>
    </row>
    <row r="398" spans="1:13" ht="15.2" customHeight="1" x14ac:dyDescent="0.2">
      <c r="A398" s="26" t="s">
        <v>11548</v>
      </c>
      <c r="B398" s="27" t="s">
        <v>11549</v>
      </c>
      <c r="C398" s="28">
        <v>1</v>
      </c>
      <c r="D398" s="29">
        <v>27.5</v>
      </c>
      <c r="E398" s="29">
        <v>27.5</v>
      </c>
      <c r="F398" s="30">
        <v>79</v>
      </c>
      <c r="G398" s="29">
        <v>79</v>
      </c>
      <c r="H398" s="28" t="s">
        <v>11550</v>
      </c>
      <c r="I398" s="27" t="s">
        <v>291</v>
      </c>
      <c r="J398" s="31" t="s">
        <v>230</v>
      </c>
      <c r="K398" s="27" t="s">
        <v>24</v>
      </c>
      <c r="L398" s="27" t="s">
        <v>101</v>
      </c>
      <c r="M398" s="32"/>
    </row>
    <row r="399" spans="1:13" ht="15.2" customHeight="1" x14ac:dyDescent="0.2">
      <c r="A399" s="26" t="s">
        <v>9763</v>
      </c>
      <c r="B399" s="27" t="s">
        <v>9764</v>
      </c>
      <c r="C399" s="28">
        <v>1</v>
      </c>
      <c r="D399" s="29">
        <v>26</v>
      </c>
      <c r="E399" s="29">
        <v>26</v>
      </c>
      <c r="F399" s="30">
        <v>79</v>
      </c>
      <c r="G399" s="29">
        <v>79</v>
      </c>
      <c r="H399" s="28" t="s">
        <v>467</v>
      </c>
      <c r="I399" s="27" t="s">
        <v>468</v>
      </c>
      <c r="J399" s="31" t="s">
        <v>234</v>
      </c>
      <c r="K399" s="27" t="s">
        <v>24</v>
      </c>
      <c r="L399" s="27" t="s">
        <v>25</v>
      </c>
      <c r="M399" s="32"/>
    </row>
    <row r="400" spans="1:13" ht="15.2" customHeight="1" x14ac:dyDescent="0.2">
      <c r="A400" s="26" t="s">
        <v>11551</v>
      </c>
      <c r="B400" s="27" t="s">
        <v>11552</v>
      </c>
      <c r="C400" s="28">
        <v>1</v>
      </c>
      <c r="D400" s="29">
        <v>24</v>
      </c>
      <c r="E400" s="29">
        <v>24</v>
      </c>
      <c r="F400" s="30">
        <v>79</v>
      </c>
      <c r="G400" s="29">
        <v>79</v>
      </c>
      <c r="H400" s="28" t="s">
        <v>11553</v>
      </c>
      <c r="I400" s="27" t="s">
        <v>39</v>
      </c>
      <c r="J400" s="31" t="s">
        <v>69</v>
      </c>
      <c r="K400" s="27" t="s">
        <v>24</v>
      </c>
      <c r="L400" s="27" t="s">
        <v>25</v>
      </c>
      <c r="M400" s="32"/>
    </row>
    <row r="401" spans="1:13" ht="15.2" customHeight="1" x14ac:dyDescent="0.2">
      <c r="A401" s="26" t="s">
        <v>8425</v>
      </c>
      <c r="B401" s="27" t="s">
        <v>8426</v>
      </c>
      <c r="C401" s="28">
        <v>1</v>
      </c>
      <c r="D401" s="29">
        <v>22</v>
      </c>
      <c r="E401" s="29">
        <v>22</v>
      </c>
      <c r="F401" s="30">
        <v>69</v>
      </c>
      <c r="G401" s="29">
        <v>69</v>
      </c>
      <c r="H401" s="28" t="s">
        <v>3057</v>
      </c>
      <c r="I401" s="27" t="s">
        <v>22</v>
      </c>
      <c r="J401" s="31" t="s">
        <v>69</v>
      </c>
      <c r="K401" s="27" t="s">
        <v>24</v>
      </c>
      <c r="L401" s="27" t="s">
        <v>1079</v>
      </c>
      <c r="M401" s="32"/>
    </row>
    <row r="402" spans="1:13" ht="15.2" customHeight="1" x14ac:dyDescent="0.2">
      <c r="A402" s="26" t="s">
        <v>11554</v>
      </c>
      <c r="B402" s="27" t="s">
        <v>11555</v>
      </c>
      <c r="C402" s="28">
        <v>1</v>
      </c>
      <c r="D402" s="29">
        <v>22</v>
      </c>
      <c r="E402" s="29">
        <v>22</v>
      </c>
      <c r="F402" s="30">
        <v>69</v>
      </c>
      <c r="G402" s="29">
        <v>69</v>
      </c>
      <c r="H402" s="28" t="s">
        <v>4003</v>
      </c>
      <c r="I402" s="27" t="s">
        <v>82</v>
      </c>
      <c r="J402" s="31" t="s">
        <v>71</v>
      </c>
      <c r="K402" s="27" t="s">
        <v>37</v>
      </c>
      <c r="L402" s="27" t="s">
        <v>38</v>
      </c>
      <c r="M402" s="32"/>
    </row>
    <row r="403" spans="1:13" ht="15.2" customHeight="1" x14ac:dyDescent="0.2">
      <c r="A403" s="26" t="s">
        <v>11556</v>
      </c>
      <c r="B403" s="27" t="s">
        <v>11557</v>
      </c>
      <c r="C403" s="28">
        <v>1</v>
      </c>
      <c r="D403" s="29">
        <v>21.74</v>
      </c>
      <c r="E403" s="29">
        <v>21.74</v>
      </c>
      <c r="F403" s="30">
        <v>49.99</v>
      </c>
      <c r="G403" s="29">
        <v>49.99</v>
      </c>
      <c r="H403" s="28" t="s">
        <v>11558</v>
      </c>
      <c r="I403" s="27" t="s">
        <v>82</v>
      </c>
      <c r="J403" s="31" t="s">
        <v>8363</v>
      </c>
      <c r="K403" s="27" t="s">
        <v>41</v>
      </c>
      <c r="L403" s="27" t="s">
        <v>45</v>
      </c>
      <c r="M403" s="32"/>
    </row>
    <row r="404" spans="1:13" ht="15.2" customHeight="1" x14ac:dyDescent="0.2">
      <c r="A404" s="26" t="s">
        <v>3058</v>
      </c>
      <c r="B404" s="27" t="s">
        <v>3059</v>
      </c>
      <c r="C404" s="28">
        <v>1</v>
      </c>
      <c r="D404" s="29">
        <v>21.5</v>
      </c>
      <c r="E404" s="29">
        <v>21.5</v>
      </c>
      <c r="F404" s="30">
        <v>69</v>
      </c>
      <c r="G404" s="29">
        <v>69</v>
      </c>
      <c r="H404" s="28" t="s">
        <v>3060</v>
      </c>
      <c r="I404" s="27" t="s">
        <v>4</v>
      </c>
      <c r="J404" s="31" t="s">
        <v>21</v>
      </c>
      <c r="K404" s="27" t="s">
        <v>24</v>
      </c>
      <c r="L404" s="27" t="s">
        <v>999</v>
      </c>
      <c r="M404" s="32"/>
    </row>
    <row r="405" spans="1:13" ht="15.2" customHeight="1" x14ac:dyDescent="0.2">
      <c r="A405" s="26" t="s">
        <v>8131</v>
      </c>
      <c r="B405" s="27" t="s">
        <v>8132</v>
      </c>
      <c r="C405" s="28">
        <v>1</v>
      </c>
      <c r="D405" s="29">
        <v>21.5</v>
      </c>
      <c r="E405" s="29">
        <v>21.5</v>
      </c>
      <c r="F405" s="30">
        <v>69</v>
      </c>
      <c r="G405" s="29">
        <v>69</v>
      </c>
      <c r="H405" s="28" t="s">
        <v>3060</v>
      </c>
      <c r="I405" s="27" t="s">
        <v>4</v>
      </c>
      <c r="J405" s="31" t="s">
        <v>5</v>
      </c>
      <c r="K405" s="27" t="s">
        <v>24</v>
      </c>
      <c r="L405" s="27" t="s">
        <v>999</v>
      </c>
      <c r="M405" s="32"/>
    </row>
    <row r="406" spans="1:13" ht="15.2" customHeight="1" x14ac:dyDescent="0.2">
      <c r="A406" s="26" t="s">
        <v>11559</v>
      </c>
      <c r="B406" s="27" t="s">
        <v>9470</v>
      </c>
      <c r="C406" s="28">
        <v>1</v>
      </c>
      <c r="D406" s="29">
        <v>21.5</v>
      </c>
      <c r="E406" s="29">
        <v>21.5</v>
      </c>
      <c r="F406" s="30">
        <v>69</v>
      </c>
      <c r="G406" s="29">
        <v>69</v>
      </c>
      <c r="H406" s="28" t="s">
        <v>9471</v>
      </c>
      <c r="I406" s="27" t="s">
        <v>4</v>
      </c>
      <c r="J406" s="31" t="s">
        <v>69</v>
      </c>
      <c r="K406" s="27" t="s">
        <v>24</v>
      </c>
      <c r="L406" s="27" t="s">
        <v>25</v>
      </c>
      <c r="M406" s="32"/>
    </row>
    <row r="407" spans="1:13" ht="15.2" customHeight="1" x14ac:dyDescent="0.2">
      <c r="A407" s="26" t="s">
        <v>969</v>
      </c>
      <c r="B407" s="27" t="s">
        <v>970</v>
      </c>
      <c r="C407" s="28">
        <v>1</v>
      </c>
      <c r="D407" s="29">
        <v>21</v>
      </c>
      <c r="E407" s="29">
        <v>21</v>
      </c>
      <c r="F407" s="30">
        <v>69</v>
      </c>
      <c r="G407" s="29">
        <v>69</v>
      </c>
      <c r="H407" s="28" t="s">
        <v>971</v>
      </c>
      <c r="I407" s="27" t="s">
        <v>26</v>
      </c>
      <c r="J407" s="31" t="s">
        <v>216</v>
      </c>
      <c r="K407" s="27" t="s">
        <v>24</v>
      </c>
      <c r="L407" s="27" t="s">
        <v>650</v>
      </c>
      <c r="M407" s="32"/>
    </row>
    <row r="408" spans="1:13" ht="15.2" customHeight="1" x14ac:dyDescent="0.2">
      <c r="A408" s="26" t="s">
        <v>11560</v>
      </c>
      <c r="B408" s="27" t="s">
        <v>11561</v>
      </c>
      <c r="C408" s="28">
        <v>1</v>
      </c>
      <c r="D408" s="29">
        <v>21</v>
      </c>
      <c r="E408" s="29">
        <v>21</v>
      </c>
      <c r="F408" s="30">
        <v>69</v>
      </c>
      <c r="G408" s="29">
        <v>69</v>
      </c>
      <c r="H408" s="28" t="s">
        <v>971</v>
      </c>
      <c r="I408" s="27" t="s">
        <v>26</v>
      </c>
      <c r="J408" s="31" t="s">
        <v>230</v>
      </c>
      <c r="K408" s="27" t="s">
        <v>24</v>
      </c>
      <c r="L408" s="27" t="s">
        <v>650</v>
      </c>
      <c r="M408" s="32"/>
    </row>
    <row r="409" spans="1:13" ht="15.2" customHeight="1" x14ac:dyDescent="0.2">
      <c r="A409" s="26" t="s">
        <v>11562</v>
      </c>
      <c r="B409" s="27" t="s">
        <v>11563</v>
      </c>
      <c r="C409" s="28">
        <v>1</v>
      </c>
      <c r="D409" s="29">
        <v>20</v>
      </c>
      <c r="E409" s="29">
        <v>20</v>
      </c>
      <c r="F409" s="30">
        <v>59</v>
      </c>
      <c r="G409" s="29">
        <v>59</v>
      </c>
      <c r="H409" s="28" t="s">
        <v>10630</v>
      </c>
      <c r="I409" s="27" t="s">
        <v>103</v>
      </c>
      <c r="J409" s="31" t="s">
        <v>216</v>
      </c>
      <c r="K409" s="27" t="s">
        <v>24</v>
      </c>
      <c r="L409" s="27" t="s">
        <v>1079</v>
      </c>
      <c r="M409" s="32"/>
    </row>
    <row r="410" spans="1:13" ht="15.2" customHeight="1" x14ac:dyDescent="0.2">
      <c r="A410" s="26" t="s">
        <v>7267</v>
      </c>
      <c r="B410" s="27" t="s">
        <v>7268</v>
      </c>
      <c r="C410" s="28">
        <v>1</v>
      </c>
      <c r="D410" s="29">
        <v>19</v>
      </c>
      <c r="E410" s="29">
        <v>19</v>
      </c>
      <c r="F410" s="30">
        <v>49.5</v>
      </c>
      <c r="G410" s="29">
        <v>49.5</v>
      </c>
      <c r="H410" s="28" t="s">
        <v>978</v>
      </c>
      <c r="I410" s="27" t="s">
        <v>20</v>
      </c>
      <c r="J410" s="31" t="s">
        <v>40</v>
      </c>
      <c r="K410" s="27" t="s">
        <v>17</v>
      </c>
      <c r="L410" s="27" t="s">
        <v>18</v>
      </c>
      <c r="M410" s="32"/>
    </row>
    <row r="411" spans="1:13" ht="15.2" customHeight="1" x14ac:dyDescent="0.2">
      <c r="A411" s="26" t="s">
        <v>11564</v>
      </c>
      <c r="B411" s="27" t="s">
        <v>11565</v>
      </c>
      <c r="C411" s="28">
        <v>1</v>
      </c>
      <c r="D411" s="29">
        <v>18</v>
      </c>
      <c r="E411" s="29">
        <v>18</v>
      </c>
      <c r="F411" s="30">
        <v>59</v>
      </c>
      <c r="G411" s="29">
        <v>59</v>
      </c>
      <c r="H411" s="28" t="s">
        <v>8336</v>
      </c>
      <c r="I411" s="27" t="s">
        <v>26</v>
      </c>
      <c r="J411" s="31" t="s">
        <v>69</v>
      </c>
      <c r="K411" s="27" t="s">
        <v>24</v>
      </c>
      <c r="L411" s="27" t="s">
        <v>1079</v>
      </c>
      <c r="M411" s="32"/>
    </row>
    <row r="412" spans="1:13" ht="15.2" customHeight="1" x14ac:dyDescent="0.2">
      <c r="A412" s="26" t="s">
        <v>11566</v>
      </c>
      <c r="B412" s="27" t="s">
        <v>11567</v>
      </c>
      <c r="C412" s="28">
        <v>1</v>
      </c>
      <c r="D412" s="29">
        <v>17</v>
      </c>
      <c r="E412" s="29">
        <v>17</v>
      </c>
      <c r="F412" s="30">
        <v>41.99</v>
      </c>
      <c r="G412" s="29">
        <v>41.99</v>
      </c>
      <c r="H412" s="28" t="s">
        <v>7275</v>
      </c>
      <c r="I412" s="27" t="s">
        <v>4</v>
      </c>
      <c r="J412" s="31" t="s">
        <v>5</v>
      </c>
      <c r="K412" s="27" t="s">
        <v>70</v>
      </c>
      <c r="L412" s="27" t="s">
        <v>101</v>
      </c>
      <c r="M412" s="32"/>
    </row>
    <row r="413" spans="1:13" ht="15.2" customHeight="1" x14ac:dyDescent="0.2">
      <c r="A413" s="26" t="s">
        <v>11568</v>
      </c>
      <c r="B413" s="27" t="s">
        <v>11569</v>
      </c>
      <c r="C413" s="28">
        <v>1</v>
      </c>
      <c r="D413" s="29">
        <v>17</v>
      </c>
      <c r="E413" s="29">
        <v>17</v>
      </c>
      <c r="F413" s="30">
        <v>41.99</v>
      </c>
      <c r="G413" s="29">
        <v>41.99</v>
      </c>
      <c r="H413" s="28" t="s">
        <v>9893</v>
      </c>
      <c r="I413" s="27" t="s">
        <v>94</v>
      </c>
      <c r="J413" s="31" t="s">
        <v>40</v>
      </c>
      <c r="K413" s="27" t="s">
        <v>70</v>
      </c>
      <c r="L413" s="27" t="s">
        <v>650</v>
      </c>
      <c r="M413" s="32"/>
    </row>
    <row r="414" spans="1:13" ht="15.2" customHeight="1" x14ac:dyDescent="0.2">
      <c r="A414" s="26" t="s">
        <v>8510</v>
      </c>
      <c r="B414" s="27" t="s">
        <v>8511</v>
      </c>
      <c r="C414" s="28">
        <v>1</v>
      </c>
      <c r="D414" s="29">
        <v>15</v>
      </c>
      <c r="E414" s="29">
        <v>15</v>
      </c>
      <c r="F414" s="30">
        <v>39.5</v>
      </c>
      <c r="G414" s="29">
        <v>39.5</v>
      </c>
      <c r="H414" s="28" t="s">
        <v>1634</v>
      </c>
      <c r="I414" s="27" t="s">
        <v>280</v>
      </c>
      <c r="J414" s="31" t="s">
        <v>71</v>
      </c>
      <c r="K414" s="27" t="s">
        <v>17</v>
      </c>
      <c r="L414" s="27" t="s">
        <v>18</v>
      </c>
      <c r="M414" s="32"/>
    </row>
    <row r="415" spans="1:13" ht="15.2" customHeight="1" x14ac:dyDescent="0.2">
      <c r="A415" s="26" t="s">
        <v>11570</v>
      </c>
      <c r="B415" s="27" t="s">
        <v>11571</v>
      </c>
      <c r="C415" s="28">
        <v>2</v>
      </c>
      <c r="D415" s="29">
        <v>14</v>
      </c>
      <c r="E415" s="29">
        <v>28</v>
      </c>
      <c r="F415" s="30">
        <v>49</v>
      </c>
      <c r="G415" s="29">
        <v>98</v>
      </c>
      <c r="H415" s="28" t="s">
        <v>7472</v>
      </c>
      <c r="I415" s="27" t="s">
        <v>152</v>
      </c>
      <c r="J415" s="31" t="s">
        <v>5</v>
      </c>
      <c r="K415" s="27" t="s">
        <v>24</v>
      </c>
      <c r="L415" s="27" t="s">
        <v>101</v>
      </c>
      <c r="M415" s="32"/>
    </row>
    <row r="416" spans="1:13" ht="15.2" customHeight="1" x14ac:dyDescent="0.2">
      <c r="A416" s="26" t="s">
        <v>11572</v>
      </c>
      <c r="B416" s="27" t="s">
        <v>7471</v>
      </c>
      <c r="C416" s="28">
        <v>1</v>
      </c>
      <c r="D416" s="29">
        <v>14</v>
      </c>
      <c r="E416" s="29">
        <v>14</v>
      </c>
      <c r="F416" s="30">
        <v>49</v>
      </c>
      <c r="G416" s="29">
        <v>49</v>
      </c>
      <c r="H416" s="28" t="s">
        <v>7472</v>
      </c>
      <c r="I416" s="27" t="s">
        <v>26</v>
      </c>
      <c r="J416" s="31" t="s">
        <v>21</v>
      </c>
      <c r="K416" s="27" t="s">
        <v>24</v>
      </c>
      <c r="L416" s="27" t="s">
        <v>101</v>
      </c>
      <c r="M416" s="32"/>
    </row>
    <row r="417" spans="1:13" ht="15.2" customHeight="1" x14ac:dyDescent="0.2">
      <c r="A417" s="26" t="s">
        <v>11573</v>
      </c>
      <c r="B417" s="27" t="s">
        <v>11574</v>
      </c>
      <c r="C417" s="28">
        <v>1</v>
      </c>
      <c r="D417" s="29">
        <v>12.65</v>
      </c>
      <c r="E417" s="29">
        <v>12.65</v>
      </c>
      <c r="F417" s="30">
        <v>29</v>
      </c>
      <c r="G417" s="29">
        <v>29</v>
      </c>
      <c r="H417" s="28" t="s">
        <v>1020</v>
      </c>
      <c r="I417" s="27" t="s">
        <v>29</v>
      </c>
      <c r="J417" s="31" t="s">
        <v>205</v>
      </c>
      <c r="K417" s="27" t="s">
        <v>200</v>
      </c>
      <c r="L417" s="27" t="s">
        <v>765</v>
      </c>
      <c r="M417" s="32"/>
    </row>
    <row r="418" spans="1:13" ht="15.2" customHeight="1" x14ac:dyDescent="0.2">
      <c r="A418" s="26" t="s">
        <v>9382</v>
      </c>
      <c r="B418" s="27" t="s">
        <v>9379</v>
      </c>
      <c r="C418" s="28">
        <v>1</v>
      </c>
      <c r="D418" s="29">
        <v>12</v>
      </c>
      <c r="E418" s="29">
        <v>12</v>
      </c>
      <c r="F418" s="30">
        <v>39</v>
      </c>
      <c r="G418" s="29">
        <v>39</v>
      </c>
      <c r="H418" s="28" t="s">
        <v>9380</v>
      </c>
      <c r="I418" s="27" t="s">
        <v>1467</v>
      </c>
      <c r="J418" s="31" t="s">
        <v>65</v>
      </c>
      <c r="K418" s="27" t="s">
        <v>154</v>
      </c>
      <c r="L418" s="27" t="s">
        <v>155</v>
      </c>
      <c r="M418" s="32"/>
    </row>
    <row r="419" spans="1:13" ht="15.2" customHeight="1" x14ac:dyDescent="0.2">
      <c r="A419" s="26" t="s">
        <v>11575</v>
      </c>
      <c r="B419" s="27" t="s">
        <v>11576</v>
      </c>
      <c r="C419" s="28">
        <v>1</v>
      </c>
      <c r="D419" s="29">
        <v>11</v>
      </c>
      <c r="E419" s="29">
        <v>11</v>
      </c>
      <c r="F419" s="30">
        <v>27.99</v>
      </c>
      <c r="G419" s="29">
        <v>27.99</v>
      </c>
      <c r="H419" s="28" t="s">
        <v>11577</v>
      </c>
      <c r="I419" s="27" t="s">
        <v>244</v>
      </c>
      <c r="J419" s="31" t="s">
        <v>5</v>
      </c>
      <c r="K419" s="27" t="s">
        <v>224</v>
      </c>
      <c r="L419" s="27" t="s">
        <v>563</v>
      </c>
      <c r="M419" s="32"/>
    </row>
    <row r="420" spans="1:13" ht="15.2" customHeight="1" x14ac:dyDescent="0.2">
      <c r="A420" s="26" t="s">
        <v>7611</v>
      </c>
      <c r="B420" s="27" t="s">
        <v>7609</v>
      </c>
      <c r="C420" s="28">
        <v>1</v>
      </c>
      <c r="D420" s="29">
        <v>11</v>
      </c>
      <c r="E420" s="29">
        <v>11</v>
      </c>
      <c r="F420" s="30">
        <v>25.99</v>
      </c>
      <c r="G420" s="29">
        <v>25.99</v>
      </c>
      <c r="H420" s="28" t="s">
        <v>7610</v>
      </c>
      <c r="I420" s="27" t="s">
        <v>343</v>
      </c>
      <c r="J420" s="31" t="s">
        <v>21</v>
      </c>
      <c r="K420" s="27" t="s">
        <v>200</v>
      </c>
      <c r="L420" s="27" t="s">
        <v>1201</v>
      </c>
      <c r="M420" s="32"/>
    </row>
    <row r="421" spans="1:13" ht="15.2" customHeight="1" x14ac:dyDescent="0.2">
      <c r="A421" s="26" t="s">
        <v>11578</v>
      </c>
      <c r="B421" s="27" t="s">
        <v>11579</v>
      </c>
      <c r="C421" s="28">
        <v>1</v>
      </c>
      <c r="D421" s="29">
        <v>11</v>
      </c>
      <c r="E421" s="29">
        <v>11</v>
      </c>
      <c r="F421" s="30">
        <v>39</v>
      </c>
      <c r="G421" s="29">
        <v>39</v>
      </c>
      <c r="H421" s="28">
        <v>1024287</v>
      </c>
      <c r="I421" s="27"/>
      <c r="J421" s="31" t="s">
        <v>5</v>
      </c>
      <c r="K421" s="27" t="s">
        <v>154</v>
      </c>
      <c r="L421" s="27" t="s">
        <v>155</v>
      </c>
      <c r="M421" s="32"/>
    </row>
    <row r="422" spans="1:13" ht="15.2" customHeight="1" x14ac:dyDescent="0.2">
      <c r="A422" s="26" t="s">
        <v>571</v>
      </c>
      <c r="B422" s="27" t="s">
        <v>572</v>
      </c>
      <c r="C422" s="28">
        <v>2</v>
      </c>
      <c r="D422" s="29">
        <v>10.5</v>
      </c>
      <c r="E422" s="29">
        <v>21</v>
      </c>
      <c r="F422" s="30">
        <v>24.99</v>
      </c>
      <c r="G422" s="29">
        <v>49.98</v>
      </c>
      <c r="H422" s="28" t="s">
        <v>573</v>
      </c>
      <c r="I422" s="27" t="s">
        <v>36</v>
      </c>
      <c r="J422" s="31" t="s">
        <v>21</v>
      </c>
      <c r="K422" s="27" t="s">
        <v>159</v>
      </c>
      <c r="L422" s="27" t="s">
        <v>160</v>
      </c>
      <c r="M422" s="32"/>
    </row>
    <row r="423" spans="1:13" ht="15.2" customHeight="1" x14ac:dyDescent="0.2">
      <c r="A423" s="26" t="s">
        <v>1044</v>
      </c>
      <c r="B423" s="27" t="s">
        <v>1045</v>
      </c>
      <c r="C423" s="28">
        <v>2</v>
      </c>
      <c r="D423" s="29">
        <v>10.5</v>
      </c>
      <c r="E423" s="29">
        <v>21</v>
      </c>
      <c r="F423" s="30">
        <v>24.99</v>
      </c>
      <c r="G423" s="29">
        <v>49.98</v>
      </c>
      <c r="H423" s="28" t="s">
        <v>1043</v>
      </c>
      <c r="I423" s="27" t="s">
        <v>238</v>
      </c>
      <c r="J423" s="31" t="s">
        <v>21</v>
      </c>
      <c r="K423" s="27" t="s">
        <v>224</v>
      </c>
      <c r="L423" s="27" t="s">
        <v>239</v>
      </c>
      <c r="M423" s="32"/>
    </row>
    <row r="424" spans="1:13" ht="15.2" customHeight="1" x14ac:dyDescent="0.2">
      <c r="A424" s="26" t="s">
        <v>2491</v>
      </c>
      <c r="B424" s="27" t="s">
        <v>2492</v>
      </c>
      <c r="C424" s="28">
        <v>1</v>
      </c>
      <c r="D424" s="29">
        <v>10.5</v>
      </c>
      <c r="E424" s="29">
        <v>10.5</v>
      </c>
      <c r="F424" s="30">
        <v>24.99</v>
      </c>
      <c r="G424" s="29">
        <v>24.99</v>
      </c>
      <c r="H424" s="28" t="s">
        <v>1043</v>
      </c>
      <c r="I424" s="27" t="s">
        <v>238</v>
      </c>
      <c r="J424" s="31" t="s">
        <v>5</v>
      </c>
      <c r="K424" s="27" t="s">
        <v>224</v>
      </c>
      <c r="L424" s="27" t="s">
        <v>239</v>
      </c>
      <c r="M424" s="32"/>
    </row>
    <row r="425" spans="1:13" ht="15.2" customHeight="1" x14ac:dyDescent="0.2">
      <c r="A425" s="26" t="s">
        <v>2488</v>
      </c>
      <c r="B425" s="27" t="s">
        <v>2489</v>
      </c>
      <c r="C425" s="28">
        <v>1</v>
      </c>
      <c r="D425" s="29">
        <v>10.5</v>
      </c>
      <c r="E425" s="29">
        <v>10.5</v>
      </c>
      <c r="F425" s="30">
        <v>22.99</v>
      </c>
      <c r="G425" s="29">
        <v>22.99</v>
      </c>
      <c r="H425" s="28" t="s">
        <v>2490</v>
      </c>
      <c r="I425" s="27" t="s">
        <v>10</v>
      </c>
      <c r="J425" s="31" t="s">
        <v>21</v>
      </c>
      <c r="K425" s="27" t="s">
        <v>200</v>
      </c>
      <c r="L425" s="27" t="s">
        <v>243</v>
      </c>
      <c r="M425" s="32"/>
    </row>
    <row r="426" spans="1:13" ht="15.2" customHeight="1" x14ac:dyDescent="0.2">
      <c r="A426" s="26" t="s">
        <v>11580</v>
      </c>
      <c r="B426" s="27" t="s">
        <v>11581</v>
      </c>
      <c r="C426" s="28">
        <v>1</v>
      </c>
      <c r="D426" s="29">
        <v>10.5</v>
      </c>
      <c r="E426" s="29">
        <v>10.5</v>
      </c>
      <c r="F426" s="30">
        <v>24.99</v>
      </c>
      <c r="G426" s="29">
        <v>24.99</v>
      </c>
      <c r="H426" s="28" t="s">
        <v>11582</v>
      </c>
      <c r="I426" s="27" t="s">
        <v>374</v>
      </c>
      <c r="J426" s="31" t="s">
        <v>21</v>
      </c>
      <c r="K426" s="27" t="s">
        <v>196</v>
      </c>
      <c r="L426" s="27" t="s">
        <v>225</v>
      </c>
      <c r="M426" s="32"/>
    </row>
    <row r="427" spans="1:13" ht="15.2" customHeight="1" x14ac:dyDescent="0.2">
      <c r="A427" s="26" t="s">
        <v>2507</v>
      </c>
      <c r="B427" s="27" t="s">
        <v>2508</v>
      </c>
      <c r="C427" s="28">
        <v>1</v>
      </c>
      <c r="D427" s="29">
        <v>9.23</v>
      </c>
      <c r="E427" s="29">
        <v>9.23</v>
      </c>
      <c r="F427" s="30">
        <v>21.99</v>
      </c>
      <c r="G427" s="29">
        <v>21.99</v>
      </c>
      <c r="H427" s="28" t="s">
        <v>1671</v>
      </c>
      <c r="I427" s="27" t="s">
        <v>4</v>
      </c>
      <c r="J427" s="31" t="s">
        <v>52</v>
      </c>
      <c r="K427" s="27" t="s">
        <v>159</v>
      </c>
      <c r="L427" s="27" t="s">
        <v>160</v>
      </c>
      <c r="M427" s="32"/>
    </row>
    <row r="428" spans="1:13" ht="15.2" customHeight="1" x14ac:dyDescent="0.2">
      <c r="A428" s="26" t="s">
        <v>1681</v>
      </c>
      <c r="B428" s="27" t="s">
        <v>1682</v>
      </c>
      <c r="C428" s="28">
        <v>1</v>
      </c>
      <c r="D428" s="29">
        <v>8.25</v>
      </c>
      <c r="E428" s="29">
        <v>8.25</v>
      </c>
      <c r="F428" s="30">
        <v>22.99</v>
      </c>
      <c r="G428" s="29">
        <v>22.99</v>
      </c>
      <c r="H428" s="28" t="s">
        <v>1680</v>
      </c>
      <c r="I428" s="27" t="s">
        <v>1</v>
      </c>
      <c r="J428" s="31" t="s">
        <v>69</v>
      </c>
      <c r="K428" s="27" t="s">
        <v>200</v>
      </c>
      <c r="L428" s="27" t="s">
        <v>1201</v>
      </c>
      <c r="M428" s="32"/>
    </row>
    <row r="429" spans="1:13" ht="15.2" customHeight="1" x14ac:dyDescent="0.2">
      <c r="A429" s="26" t="s">
        <v>8878</v>
      </c>
      <c r="B429" s="27" t="s">
        <v>1691</v>
      </c>
      <c r="C429" s="28">
        <v>1</v>
      </c>
      <c r="D429" s="29">
        <v>7.75</v>
      </c>
      <c r="E429" s="29">
        <v>7.75</v>
      </c>
      <c r="F429" s="30">
        <v>19.989999999999998</v>
      </c>
      <c r="G429" s="29">
        <v>19.989999999999998</v>
      </c>
      <c r="H429" s="28" t="s">
        <v>1692</v>
      </c>
      <c r="I429" s="27" t="s">
        <v>189</v>
      </c>
      <c r="J429" s="31" t="s">
        <v>40</v>
      </c>
      <c r="K429" s="27" t="s">
        <v>196</v>
      </c>
      <c r="L429" s="27" t="s">
        <v>256</v>
      </c>
      <c r="M429" s="32"/>
    </row>
    <row r="430" spans="1:13" ht="15.2" customHeight="1" x14ac:dyDescent="0.2">
      <c r="A430" s="26" t="s">
        <v>5380</v>
      </c>
      <c r="B430" s="27" t="s">
        <v>2067</v>
      </c>
      <c r="C430" s="28">
        <v>1</v>
      </c>
      <c r="D430" s="29">
        <v>6.3</v>
      </c>
      <c r="E430" s="29">
        <v>6.3</v>
      </c>
      <c r="F430" s="30">
        <v>14.99</v>
      </c>
      <c r="G430" s="29">
        <v>14.99</v>
      </c>
      <c r="H430" s="28" t="s">
        <v>2068</v>
      </c>
      <c r="I430" s="27" t="s">
        <v>82</v>
      </c>
      <c r="J430" s="31" t="s">
        <v>52</v>
      </c>
      <c r="K430" s="27" t="s">
        <v>159</v>
      </c>
      <c r="L430" s="27" t="s">
        <v>160</v>
      </c>
      <c r="M430" s="32"/>
    </row>
    <row r="431" spans="1:13" ht="15.2" customHeight="1" x14ac:dyDescent="0.2">
      <c r="A431" s="26" t="s">
        <v>2065</v>
      </c>
      <c r="B431" s="27" t="s">
        <v>1694</v>
      </c>
      <c r="C431" s="28">
        <v>1</v>
      </c>
      <c r="D431" s="29">
        <v>6.3</v>
      </c>
      <c r="E431" s="29">
        <v>6.3</v>
      </c>
      <c r="F431" s="30">
        <v>14.99</v>
      </c>
      <c r="G431" s="29">
        <v>14.99</v>
      </c>
      <c r="H431" s="28" t="s">
        <v>1695</v>
      </c>
      <c r="I431" s="27" t="s">
        <v>4</v>
      </c>
      <c r="J431" s="31" t="s">
        <v>40</v>
      </c>
      <c r="K431" s="27" t="s">
        <v>159</v>
      </c>
      <c r="L431" s="27" t="s">
        <v>160</v>
      </c>
      <c r="M431" s="32"/>
    </row>
    <row r="432" spans="1:13" ht="15.2" customHeight="1" x14ac:dyDescent="0.2">
      <c r="A432" s="26" t="s">
        <v>5520</v>
      </c>
      <c r="B432" s="27" t="s">
        <v>2067</v>
      </c>
      <c r="C432" s="28">
        <v>1</v>
      </c>
      <c r="D432" s="29">
        <v>6.3</v>
      </c>
      <c r="E432" s="29">
        <v>6.3</v>
      </c>
      <c r="F432" s="30">
        <v>14.99</v>
      </c>
      <c r="G432" s="29">
        <v>14.99</v>
      </c>
      <c r="H432" s="28" t="s">
        <v>2068</v>
      </c>
      <c r="I432" s="27" t="s">
        <v>82</v>
      </c>
      <c r="J432" s="31" t="s">
        <v>40</v>
      </c>
      <c r="K432" s="27" t="s">
        <v>159</v>
      </c>
      <c r="L432" s="27" t="s">
        <v>160</v>
      </c>
      <c r="M432" s="32"/>
    </row>
    <row r="433" spans="1:13" ht="15.2" customHeight="1" x14ac:dyDescent="0.2">
      <c r="A433" s="26" t="s">
        <v>11583</v>
      </c>
      <c r="B433" s="27" t="s">
        <v>1694</v>
      </c>
      <c r="C433" s="28">
        <v>1</v>
      </c>
      <c r="D433" s="29">
        <v>6.3</v>
      </c>
      <c r="E433" s="29">
        <v>6.3</v>
      </c>
      <c r="F433" s="30">
        <v>14.99</v>
      </c>
      <c r="G433" s="29">
        <v>14.99</v>
      </c>
      <c r="H433" s="28" t="s">
        <v>1695</v>
      </c>
      <c r="I433" s="27" t="s">
        <v>4</v>
      </c>
      <c r="J433" s="31" t="s">
        <v>52</v>
      </c>
      <c r="K433" s="27" t="s">
        <v>159</v>
      </c>
      <c r="L433" s="27" t="s">
        <v>160</v>
      </c>
      <c r="M433" s="32"/>
    </row>
    <row r="434" spans="1:13" ht="15.2" customHeight="1" x14ac:dyDescent="0.2">
      <c r="A434" s="26" t="s">
        <v>8347</v>
      </c>
      <c r="B434" s="27" t="s">
        <v>615</v>
      </c>
      <c r="C434" s="28">
        <v>3</v>
      </c>
      <c r="D434" s="29">
        <v>5.65</v>
      </c>
      <c r="E434" s="29">
        <v>16.95</v>
      </c>
      <c r="F434" s="30">
        <v>12.99</v>
      </c>
      <c r="G434" s="29">
        <v>38.97</v>
      </c>
      <c r="H434" s="28" t="s">
        <v>616</v>
      </c>
      <c r="I434" s="27" t="s">
        <v>36</v>
      </c>
      <c r="J434" s="31" t="s">
        <v>52</v>
      </c>
      <c r="K434" s="27" t="s">
        <v>282</v>
      </c>
      <c r="L434" s="27" t="s">
        <v>393</v>
      </c>
      <c r="M434" s="32"/>
    </row>
    <row r="435" spans="1:13" ht="15.2" customHeight="1" x14ac:dyDescent="0.2">
      <c r="A435" s="26" t="s">
        <v>1069</v>
      </c>
      <c r="B435" s="27" t="s">
        <v>615</v>
      </c>
      <c r="C435" s="28">
        <v>1</v>
      </c>
      <c r="D435" s="29">
        <v>5.65</v>
      </c>
      <c r="E435" s="29">
        <v>5.65</v>
      </c>
      <c r="F435" s="30">
        <v>12.99</v>
      </c>
      <c r="G435" s="29">
        <v>12.99</v>
      </c>
      <c r="H435" s="28" t="s">
        <v>616</v>
      </c>
      <c r="I435" s="27" t="s">
        <v>36</v>
      </c>
      <c r="J435" s="31" t="s">
        <v>21</v>
      </c>
      <c r="K435" s="27" t="s">
        <v>282</v>
      </c>
      <c r="L435" s="27" t="s">
        <v>393</v>
      </c>
      <c r="M435" s="3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31"/>
  <sheetViews>
    <sheetView workbookViewId="0">
      <selection activeCell="B5" sqref="B5"/>
    </sheetView>
  </sheetViews>
  <sheetFormatPr defaultRowHeight="15.2" customHeight="1" x14ac:dyDescent="0.2"/>
  <cols>
    <col min="1" max="1" width="14.85546875" style="1" bestFit="1" customWidth="1"/>
    <col min="2" max="2" width="77.28515625" style="1" bestFit="1" customWidth="1"/>
    <col min="3" max="3" width="6.42578125" style="1" bestFit="1" customWidth="1"/>
    <col min="4" max="4" width="7.5703125" style="1" bestFit="1" customWidth="1"/>
    <col min="5" max="5" width="9.5703125" style="1" bestFit="1" customWidth="1"/>
    <col min="6" max="6" width="8.7109375" style="1" bestFit="1" customWidth="1"/>
    <col min="7" max="7" width="11.140625" style="1" bestFit="1" customWidth="1"/>
    <col min="8" max="8" width="22.5703125" style="1" bestFit="1" customWidth="1"/>
    <col min="9" max="9" width="14.7109375" style="1" bestFit="1" customWidth="1"/>
    <col min="10" max="10" width="10.28515625" style="1" bestFit="1" customWidth="1"/>
    <col min="11" max="11" width="18.7109375" style="1" bestFit="1" customWidth="1"/>
    <col min="12" max="12" width="45" style="1" bestFit="1" customWidth="1"/>
    <col min="13" max="13" width="49.42578125" style="1" bestFit="1" customWidth="1"/>
    <col min="14" max="16384" width="9.140625" style="1"/>
  </cols>
  <sheetData>
    <row r="1" spans="1:13" ht="15.2" customHeight="1" x14ac:dyDescent="0.2">
      <c r="A1" s="25" t="s">
        <v>0</v>
      </c>
      <c r="B1" s="25" t="s">
        <v>11929</v>
      </c>
      <c r="C1" s="25" t="s">
        <v>11915</v>
      </c>
      <c r="D1" s="25" t="s">
        <v>11927</v>
      </c>
      <c r="E1" s="25" t="s">
        <v>11928</v>
      </c>
      <c r="F1" s="25" t="s">
        <v>11919</v>
      </c>
      <c r="G1" s="25" t="s">
        <v>11920</v>
      </c>
      <c r="H1" s="25" t="s">
        <v>11921</v>
      </c>
      <c r="I1" s="25" t="s">
        <v>11922</v>
      </c>
      <c r="J1" s="25" t="s">
        <v>11923</v>
      </c>
      <c r="K1" s="25" t="s">
        <v>11924</v>
      </c>
      <c r="L1" s="25" t="s">
        <v>11925</v>
      </c>
      <c r="M1" s="25" t="s">
        <v>11926</v>
      </c>
    </row>
    <row r="2" spans="1:13" ht="15.2" customHeight="1" x14ac:dyDescent="0.2">
      <c r="A2" s="26" t="s">
        <v>11591</v>
      </c>
      <c r="B2" s="27" t="s">
        <v>11592</v>
      </c>
      <c r="C2" s="28">
        <v>1</v>
      </c>
      <c r="D2" s="29">
        <v>79.75</v>
      </c>
      <c r="E2" s="29">
        <v>79.75</v>
      </c>
      <c r="F2" s="30">
        <v>229</v>
      </c>
      <c r="G2" s="29">
        <v>229</v>
      </c>
      <c r="H2" s="28">
        <v>56005</v>
      </c>
      <c r="I2" s="27" t="s">
        <v>75</v>
      </c>
      <c r="J2" s="31" t="s">
        <v>230</v>
      </c>
      <c r="K2" s="27" t="s">
        <v>24</v>
      </c>
      <c r="L2" s="27" t="s">
        <v>1972</v>
      </c>
      <c r="M2" s="32" t="str">
        <f>HYPERLINK("http://slimages.macys.com/is/image/MCY/3468373 ")</f>
        <v xml:space="preserve">http://slimages.macys.com/is/image/MCY/3468373 </v>
      </c>
    </row>
    <row r="3" spans="1:13" ht="15.2" customHeight="1" x14ac:dyDescent="0.2">
      <c r="A3" s="26" t="s">
        <v>11593</v>
      </c>
      <c r="B3" s="27" t="s">
        <v>11293</v>
      </c>
      <c r="C3" s="28">
        <v>1</v>
      </c>
      <c r="D3" s="29">
        <v>64.75</v>
      </c>
      <c r="E3" s="29">
        <v>64.75</v>
      </c>
      <c r="F3" s="30">
        <v>189</v>
      </c>
      <c r="G3" s="29">
        <v>189</v>
      </c>
      <c r="H3" s="28">
        <v>56699</v>
      </c>
      <c r="I3" s="27" t="s">
        <v>4</v>
      </c>
      <c r="J3" s="31" t="s">
        <v>210</v>
      </c>
      <c r="K3" s="27" t="s">
        <v>24</v>
      </c>
      <c r="L3" s="27" t="s">
        <v>1972</v>
      </c>
      <c r="M3" s="32" t="str">
        <f>HYPERLINK("http://slimages.macys.com/is/image/MCY/3800872 ")</f>
        <v xml:space="preserve">http://slimages.macys.com/is/image/MCY/3800872 </v>
      </c>
    </row>
    <row r="4" spans="1:13" ht="15.2" customHeight="1" x14ac:dyDescent="0.2">
      <c r="A4" s="26" t="s">
        <v>11594</v>
      </c>
      <c r="B4" s="27" t="s">
        <v>11595</v>
      </c>
      <c r="C4" s="28">
        <v>1</v>
      </c>
      <c r="D4" s="29">
        <v>58</v>
      </c>
      <c r="E4" s="29">
        <v>58</v>
      </c>
      <c r="F4" s="30">
        <v>199</v>
      </c>
      <c r="G4" s="29">
        <v>199</v>
      </c>
      <c r="H4" s="28" t="s">
        <v>8465</v>
      </c>
      <c r="I4" s="27" t="s">
        <v>36</v>
      </c>
      <c r="J4" s="31" t="s">
        <v>234</v>
      </c>
      <c r="K4" s="27" t="s">
        <v>24</v>
      </c>
      <c r="L4" s="27" t="s">
        <v>485</v>
      </c>
      <c r="M4" s="32" t="str">
        <f>HYPERLINK("http://slimages.macys.com/is/image/MCY/3371923 ")</f>
        <v xml:space="preserve">http://slimages.macys.com/is/image/MCY/3371923 </v>
      </c>
    </row>
    <row r="5" spans="1:13" ht="15.2" customHeight="1" x14ac:dyDescent="0.2">
      <c r="A5" s="26" t="s">
        <v>11596</v>
      </c>
      <c r="B5" s="27" t="s">
        <v>11597</v>
      </c>
      <c r="C5" s="28">
        <v>1</v>
      </c>
      <c r="D5" s="29">
        <v>54.75</v>
      </c>
      <c r="E5" s="29">
        <v>54.75</v>
      </c>
      <c r="F5" s="30">
        <v>169</v>
      </c>
      <c r="G5" s="29">
        <v>169</v>
      </c>
      <c r="H5" s="28">
        <v>55345</v>
      </c>
      <c r="I5" s="27" t="s">
        <v>207</v>
      </c>
      <c r="J5" s="31" t="s">
        <v>210</v>
      </c>
      <c r="K5" s="27" t="s">
        <v>24</v>
      </c>
      <c r="L5" s="27" t="s">
        <v>1972</v>
      </c>
      <c r="M5" s="32" t="str">
        <f>HYPERLINK("http://slimages.macys.com/is/image/MCY/3800875 ")</f>
        <v xml:space="preserve">http://slimages.macys.com/is/image/MCY/3800875 </v>
      </c>
    </row>
    <row r="6" spans="1:13" ht="15.2" customHeight="1" x14ac:dyDescent="0.2">
      <c r="A6" s="26" t="s">
        <v>8350</v>
      </c>
      <c r="B6" s="27" t="s">
        <v>8351</v>
      </c>
      <c r="C6" s="28">
        <v>1</v>
      </c>
      <c r="D6" s="29">
        <v>49</v>
      </c>
      <c r="E6" s="29">
        <v>49</v>
      </c>
      <c r="F6" s="30">
        <v>149</v>
      </c>
      <c r="G6" s="29">
        <v>149</v>
      </c>
      <c r="H6" s="28" t="s">
        <v>8352</v>
      </c>
      <c r="I6" s="27" t="s">
        <v>4</v>
      </c>
      <c r="J6" s="31" t="s">
        <v>69</v>
      </c>
      <c r="K6" s="27" t="s">
        <v>24</v>
      </c>
      <c r="L6" s="27" t="s">
        <v>25</v>
      </c>
      <c r="M6" s="32" t="str">
        <f>HYPERLINK("http://slimages.macys.com/is/image/MCY/3471207 ")</f>
        <v xml:space="preserve">http://slimages.macys.com/is/image/MCY/3471207 </v>
      </c>
    </row>
    <row r="7" spans="1:13" ht="15.2" customHeight="1" x14ac:dyDescent="0.2">
      <c r="A7" s="26" t="s">
        <v>5978</v>
      </c>
      <c r="B7" s="27" t="s">
        <v>5979</v>
      </c>
      <c r="C7" s="28">
        <v>1</v>
      </c>
      <c r="D7" s="29">
        <v>49</v>
      </c>
      <c r="E7" s="29">
        <v>49</v>
      </c>
      <c r="F7" s="30">
        <v>128</v>
      </c>
      <c r="G7" s="29">
        <v>128</v>
      </c>
      <c r="H7" s="28" t="s">
        <v>1714</v>
      </c>
      <c r="I7" s="27" t="s">
        <v>267</v>
      </c>
      <c r="J7" s="31" t="s">
        <v>5</v>
      </c>
      <c r="K7" s="27" t="s">
        <v>17</v>
      </c>
      <c r="L7" s="27" t="s">
        <v>18</v>
      </c>
      <c r="M7" s="32" t="str">
        <f>HYPERLINK("http://slimages.macys.com/is/image/MCY/3971035 ")</f>
        <v xml:space="preserve">http://slimages.macys.com/is/image/MCY/3971035 </v>
      </c>
    </row>
    <row r="8" spans="1:13" ht="15.2" customHeight="1" x14ac:dyDescent="0.2">
      <c r="A8" s="26" t="s">
        <v>11598</v>
      </c>
      <c r="B8" s="27" t="s">
        <v>11599</v>
      </c>
      <c r="C8" s="28">
        <v>1</v>
      </c>
      <c r="D8" s="29">
        <v>44.62</v>
      </c>
      <c r="E8" s="29">
        <v>44.62</v>
      </c>
      <c r="F8" s="30">
        <v>119</v>
      </c>
      <c r="G8" s="29">
        <v>119</v>
      </c>
      <c r="H8" s="28">
        <v>7066916</v>
      </c>
      <c r="I8" s="27" t="s">
        <v>189</v>
      </c>
      <c r="J8" s="31" t="s">
        <v>5815</v>
      </c>
      <c r="K8" s="27" t="s">
        <v>462</v>
      </c>
      <c r="L8" s="27" t="s">
        <v>463</v>
      </c>
      <c r="M8" s="32" t="str">
        <f>HYPERLINK("http://slimages.macys.com/is/image/MCY/3941293 ")</f>
        <v xml:space="preserve">http://slimages.macys.com/is/image/MCY/3941293 </v>
      </c>
    </row>
    <row r="9" spans="1:13" ht="15.2" customHeight="1" x14ac:dyDescent="0.2">
      <c r="A9" s="26" t="s">
        <v>11011</v>
      </c>
      <c r="B9" s="27" t="s">
        <v>11012</v>
      </c>
      <c r="C9" s="28">
        <v>1</v>
      </c>
      <c r="D9" s="29">
        <v>39.75</v>
      </c>
      <c r="E9" s="29">
        <v>39.75</v>
      </c>
      <c r="F9" s="30">
        <v>119</v>
      </c>
      <c r="G9" s="29">
        <v>119</v>
      </c>
      <c r="H9" s="28" t="s">
        <v>7623</v>
      </c>
      <c r="I9" s="27" t="s">
        <v>189</v>
      </c>
      <c r="J9" s="31" t="s">
        <v>210</v>
      </c>
      <c r="K9" s="27" t="s">
        <v>24</v>
      </c>
      <c r="L9" s="27" t="s">
        <v>25</v>
      </c>
      <c r="M9" s="32" t="str">
        <f>HYPERLINK("http://slimages.macys.com/is/image/MCY/3776991 ")</f>
        <v xml:space="preserve">http://slimages.macys.com/is/image/MCY/3776991 </v>
      </c>
    </row>
    <row r="10" spans="1:13" ht="15.2" customHeight="1" x14ac:dyDescent="0.2">
      <c r="A10" s="26" t="s">
        <v>11600</v>
      </c>
      <c r="B10" s="27" t="s">
        <v>11601</v>
      </c>
      <c r="C10" s="28">
        <v>1</v>
      </c>
      <c r="D10" s="29">
        <v>39.75</v>
      </c>
      <c r="E10" s="29">
        <v>39.75</v>
      </c>
      <c r="F10" s="30">
        <v>119</v>
      </c>
      <c r="G10" s="29">
        <v>119</v>
      </c>
      <c r="H10" s="28" t="s">
        <v>7623</v>
      </c>
      <c r="I10" s="27" t="s">
        <v>189</v>
      </c>
      <c r="J10" s="31" t="s">
        <v>234</v>
      </c>
      <c r="K10" s="27" t="s">
        <v>24</v>
      </c>
      <c r="L10" s="27" t="s">
        <v>25</v>
      </c>
      <c r="M10" s="32" t="str">
        <f>HYPERLINK("http://slimages.macys.com/is/image/MCY/3776991 ")</f>
        <v xml:space="preserve">http://slimages.macys.com/is/image/MCY/3776991 </v>
      </c>
    </row>
    <row r="11" spans="1:13" ht="15.2" customHeight="1" x14ac:dyDescent="0.2">
      <c r="A11" s="26" t="s">
        <v>11602</v>
      </c>
      <c r="B11" s="27" t="s">
        <v>11603</v>
      </c>
      <c r="C11" s="28">
        <v>1</v>
      </c>
      <c r="D11" s="29">
        <v>34</v>
      </c>
      <c r="E11" s="29">
        <v>34</v>
      </c>
      <c r="F11" s="30">
        <v>99</v>
      </c>
      <c r="G11" s="29">
        <v>99</v>
      </c>
      <c r="H11" s="28" t="s">
        <v>4910</v>
      </c>
      <c r="I11" s="27" t="s">
        <v>291</v>
      </c>
      <c r="J11" s="31" t="s">
        <v>230</v>
      </c>
      <c r="K11" s="27" t="s">
        <v>24</v>
      </c>
      <c r="L11" s="27" t="s">
        <v>25</v>
      </c>
      <c r="M11" s="32" t="str">
        <f>HYPERLINK("http://slimages.macys.com/is/image/MCY/2950892 ")</f>
        <v xml:space="preserve">http://slimages.macys.com/is/image/MCY/2950892 </v>
      </c>
    </row>
    <row r="12" spans="1:13" ht="15.2" customHeight="1" x14ac:dyDescent="0.2">
      <c r="A12" s="26" t="s">
        <v>11604</v>
      </c>
      <c r="B12" s="27" t="s">
        <v>11605</v>
      </c>
      <c r="C12" s="28">
        <v>1</v>
      </c>
      <c r="D12" s="29">
        <v>34</v>
      </c>
      <c r="E12" s="29">
        <v>34</v>
      </c>
      <c r="F12" s="30">
        <v>99</v>
      </c>
      <c r="G12" s="29">
        <v>99</v>
      </c>
      <c r="H12" s="28" t="s">
        <v>4910</v>
      </c>
      <c r="I12" s="27" t="s">
        <v>291</v>
      </c>
      <c r="J12" s="31" t="s">
        <v>205</v>
      </c>
      <c r="K12" s="27" t="s">
        <v>24</v>
      </c>
      <c r="L12" s="27" t="s">
        <v>25</v>
      </c>
      <c r="M12" s="32" t="str">
        <f>HYPERLINK("http://slimages.macys.com/is/image/MCY/2950892 ")</f>
        <v xml:space="preserve">http://slimages.macys.com/is/image/MCY/2950892 </v>
      </c>
    </row>
    <row r="13" spans="1:13" ht="15.2" customHeight="1" x14ac:dyDescent="0.2">
      <c r="A13" s="26" t="s">
        <v>11606</v>
      </c>
      <c r="B13" s="27" t="s">
        <v>11607</v>
      </c>
      <c r="C13" s="28">
        <v>1</v>
      </c>
      <c r="D13" s="29">
        <v>34</v>
      </c>
      <c r="E13" s="29">
        <v>34</v>
      </c>
      <c r="F13" s="30">
        <v>89.5</v>
      </c>
      <c r="G13" s="29">
        <v>89.5</v>
      </c>
      <c r="H13" s="28" t="s">
        <v>11608</v>
      </c>
      <c r="I13" s="27" t="s">
        <v>189</v>
      </c>
      <c r="J13" s="31" t="s">
        <v>71</v>
      </c>
      <c r="K13" s="27" t="s">
        <v>17</v>
      </c>
      <c r="L13" s="27" t="s">
        <v>18</v>
      </c>
      <c r="M13" s="32" t="str">
        <f>HYPERLINK("http://slimages.macys.com/is/image/MCY/3623643 ")</f>
        <v xml:space="preserve">http://slimages.macys.com/is/image/MCY/3623643 </v>
      </c>
    </row>
    <row r="14" spans="1:13" ht="15.2" customHeight="1" x14ac:dyDescent="0.2">
      <c r="A14" s="26" t="s">
        <v>11609</v>
      </c>
      <c r="B14" s="27" t="s">
        <v>11610</v>
      </c>
      <c r="C14" s="28">
        <v>1</v>
      </c>
      <c r="D14" s="29">
        <v>33</v>
      </c>
      <c r="E14" s="29">
        <v>33</v>
      </c>
      <c r="F14" s="30">
        <v>99</v>
      </c>
      <c r="G14" s="29">
        <v>99</v>
      </c>
      <c r="H14" s="28">
        <v>48243</v>
      </c>
      <c r="I14" s="27" t="s">
        <v>4</v>
      </c>
      <c r="J14" s="31"/>
      <c r="K14" s="27" t="s">
        <v>24</v>
      </c>
      <c r="L14" s="27" t="s">
        <v>35</v>
      </c>
      <c r="M14" s="32" t="str">
        <f>HYPERLINK("http://slimages.macys.com/is/image/MCY/3207747 ")</f>
        <v xml:space="preserve">http://slimages.macys.com/is/image/MCY/3207747 </v>
      </c>
    </row>
    <row r="15" spans="1:13" ht="15.2" customHeight="1" x14ac:dyDescent="0.2">
      <c r="A15" s="26" t="s">
        <v>11611</v>
      </c>
      <c r="B15" s="27" t="s">
        <v>11612</v>
      </c>
      <c r="C15" s="28">
        <v>1</v>
      </c>
      <c r="D15" s="29">
        <v>32.5</v>
      </c>
      <c r="E15" s="29">
        <v>32.5</v>
      </c>
      <c r="F15" s="30">
        <v>99</v>
      </c>
      <c r="G15" s="29">
        <v>99</v>
      </c>
      <c r="H15" s="28" t="s">
        <v>11613</v>
      </c>
      <c r="I15" s="27" t="s">
        <v>4</v>
      </c>
      <c r="J15" s="31" t="s">
        <v>230</v>
      </c>
      <c r="K15" s="27" t="s">
        <v>24</v>
      </c>
      <c r="L15" s="27" t="s">
        <v>650</v>
      </c>
      <c r="M15" s="32" t="str">
        <f>HYPERLINK("http://slimages.macys.com/is/image/MCY/3776633 ")</f>
        <v xml:space="preserve">http://slimages.macys.com/is/image/MCY/3776633 </v>
      </c>
    </row>
    <row r="16" spans="1:13" ht="15.2" customHeight="1" x14ac:dyDescent="0.2">
      <c r="A16" s="26" t="s">
        <v>11614</v>
      </c>
      <c r="B16" s="27" t="s">
        <v>11615</v>
      </c>
      <c r="C16" s="28">
        <v>1</v>
      </c>
      <c r="D16" s="29">
        <v>29.32</v>
      </c>
      <c r="E16" s="29">
        <v>29.32</v>
      </c>
      <c r="F16" s="30">
        <v>69.989999999999995</v>
      </c>
      <c r="G16" s="29">
        <v>69.989999999999995</v>
      </c>
      <c r="H16" s="28" t="s">
        <v>8354</v>
      </c>
      <c r="I16" s="27" t="s">
        <v>94</v>
      </c>
      <c r="J16" s="31" t="s">
        <v>21</v>
      </c>
      <c r="K16" s="27" t="s">
        <v>41</v>
      </c>
      <c r="L16" s="27" t="s">
        <v>45</v>
      </c>
      <c r="M16" s="32" t="str">
        <f>HYPERLINK("http://slimages.macys.com/is/image/MCY/2962533 ")</f>
        <v xml:space="preserve">http://slimages.macys.com/is/image/MCY/2962533 </v>
      </c>
    </row>
    <row r="17" spans="1:13" ht="15.2" customHeight="1" x14ac:dyDescent="0.2">
      <c r="A17" s="26" t="s">
        <v>11616</v>
      </c>
      <c r="B17" s="27" t="s">
        <v>11617</v>
      </c>
      <c r="C17" s="28">
        <v>1</v>
      </c>
      <c r="D17" s="29">
        <v>29</v>
      </c>
      <c r="E17" s="29">
        <v>29</v>
      </c>
      <c r="F17" s="30">
        <v>89</v>
      </c>
      <c r="G17" s="29">
        <v>89</v>
      </c>
      <c r="H17" s="28" t="s">
        <v>8543</v>
      </c>
      <c r="I17" s="27" t="s">
        <v>26</v>
      </c>
      <c r="J17" s="31"/>
      <c r="K17" s="27" t="s">
        <v>24</v>
      </c>
      <c r="L17" s="27" t="s">
        <v>67</v>
      </c>
      <c r="M17" s="32" t="str">
        <f>HYPERLINK("http://slimages.macys.com/is/image/MCY/3776629 ")</f>
        <v xml:space="preserve">http://slimages.macys.com/is/image/MCY/3776629 </v>
      </c>
    </row>
    <row r="18" spans="1:13" ht="15.2" customHeight="1" x14ac:dyDescent="0.2">
      <c r="A18" s="26" t="s">
        <v>8893</v>
      </c>
      <c r="B18" s="27" t="s">
        <v>8894</v>
      </c>
      <c r="C18" s="28">
        <v>1</v>
      </c>
      <c r="D18" s="29">
        <v>27.2</v>
      </c>
      <c r="E18" s="29">
        <v>27.2</v>
      </c>
      <c r="F18" s="30">
        <v>79</v>
      </c>
      <c r="G18" s="29">
        <v>79</v>
      </c>
      <c r="H18" s="28" t="s">
        <v>8895</v>
      </c>
      <c r="I18" s="27" t="s">
        <v>189</v>
      </c>
      <c r="J18" s="31" t="s">
        <v>52</v>
      </c>
      <c r="K18" s="27" t="s">
        <v>42</v>
      </c>
      <c r="L18" s="27" t="s">
        <v>43</v>
      </c>
      <c r="M18" s="32" t="str">
        <f>HYPERLINK("http://slimages.macys.com/is/image/MCY/3611176 ")</f>
        <v xml:space="preserve">http://slimages.macys.com/is/image/MCY/3611176 </v>
      </c>
    </row>
    <row r="19" spans="1:13" ht="15.2" customHeight="1" x14ac:dyDescent="0.2">
      <c r="A19" s="26" t="s">
        <v>9407</v>
      </c>
      <c r="B19" s="27" t="s">
        <v>9408</v>
      </c>
      <c r="C19" s="28">
        <v>1</v>
      </c>
      <c r="D19" s="29">
        <v>27.2</v>
      </c>
      <c r="E19" s="29">
        <v>27.2</v>
      </c>
      <c r="F19" s="30">
        <v>79</v>
      </c>
      <c r="G19" s="29">
        <v>79</v>
      </c>
      <c r="H19" s="28" t="s">
        <v>5595</v>
      </c>
      <c r="I19" s="27" t="s">
        <v>4</v>
      </c>
      <c r="J19" s="31" t="s">
        <v>21</v>
      </c>
      <c r="K19" s="27" t="s">
        <v>42</v>
      </c>
      <c r="L19" s="27" t="s">
        <v>43</v>
      </c>
      <c r="M19" s="32" t="str">
        <f>HYPERLINK("http://slimages.macys.com/is/image/MCY/3611448 ")</f>
        <v xml:space="preserve">http://slimages.macys.com/is/image/MCY/3611448 </v>
      </c>
    </row>
    <row r="20" spans="1:13" ht="15.2" customHeight="1" x14ac:dyDescent="0.2">
      <c r="A20" s="26" t="s">
        <v>11618</v>
      </c>
      <c r="B20" s="27" t="s">
        <v>11619</v>
      </c>
      <c r="C20" s="28">
        <v>1</v>
      </c>
      <c r="D20" s="29">
        <v>27</v>
      </c>
      <c r="E20" s="29">
        <v>27</v>
      </c>
      <c r="F20" s="30">
        <v>69.5</v>
      </c>
      <c r="G20" s="29">
        <v>69.5</v>
      </c>
      <c r="H20" s="28" t="s">
        <v>11620</v>
      </c>
      <c r="I20" s="27" t="s">
        <v>36</v>
      </c>
      <c r="J20" s="31" t="s">
        <v>5</v>
      </c>
      <c r="K20" s="27" t="s">
        <v>17</v>
      </c>
      <c r="L20" s="27" t="s">
        <v>18</v>
      </c>
      <c r="M20" s="32" t="str">
        <f>HYPERLINK("http://slimages.macys.com/is/image/MCY/3971126 ")</f>
        <v xml:space="preserve">http://slimages.macys.com/is/image/MCY/3971126 </v>
      </c>
    </row>
    <row r="21" spans="1:13" ht="15.2" customHeight="1" x14ac:dyDescent="0.2">
      <c r="A21" s="26" t="s">
        <v>11621</v>
      </c>
      <c r="B21" s="27" t="s">
        <v>11622</v>
      </c>
      <c r="C21" s="28">
        <v>1</v>
      </c>
      <c r="D21" s="29">
        <v>26.08</v>
      </c>
      <c r="E21" s="29">
        <v>26.08</v>
      </c>
      <c r="F21" s="30">
        <v>79</v>
      </c>
      <c r="G21" s="29">
        <v>79</v>
      </c>
      <c r="H21" s="28" t="s">
        <v>11623</v>
      </c>
      <c r="I21" s="27" t="s">
        <v>94</v>
      </c>
      <c r="J21" s="31" t="s">
        <v>21</v>
      </c>
      <c r="K21" s="27" t="s">
        <v>42</v>
      </c>
      <c r="L21" s="27" t="s">
        <v>43</v>
      </c>
      <c r="M21" s="32" t="str">
        <f>HYPERLINK("http://slimages.macys.com/is/image/MCY/3775655 ")</f>
        <v xml:space="preserve">http://slimages.macys.com/is/image/MCY/3775655 </v>
      </c>
    </row>
    <row r="22" spans="1:13" ht="15.2" customHeight="1" x14ac:dyDescent="0.2">
      <c r="A22" s="26" t="s">
        <v>4922</v>
      </c>
      <c r="B22" s="27" t="s">
        <v>4923</v>
      </c>
      <c r="C22" s="28">
        <v>1</v>
      </c>
      <c r="D22" s="29">
        <v>26</v>
      </c>
      <c r="E22" s="29">
        <v>26</v>
      </c>
      <c r="F22" s="30">
        <v>79</v>
      </c>
      <c r="G22" s="29">
        <v>79</v>
      </c>
      <c r="H22" s="28" t="s">
        <v>2805</v>
      </c>
      <c r="I22" s="27" t="s">
        <v>4</v>
      </c>
      <c r="J22" s="31"/>
      <c r="K22" s="27" t="s">
        <v>24</v>
      </c>
      <c r="L22" s="27" t="s">
        <v>67</v>
      </c>
      <c r="M22" s="32" t="str">
        <f>HYPERLINK("http://slimages.macys.com/is/image/MCY/3817400 ")</f>
        <v xml:space="preserve">http://slimages.macys.com/is/image/MCY/3817400 </v>
      </c>
    </row>
    <row r="23" spans="1:13" ht="15.2" customHeight="1" x14ac:dyDescent="0.2">
      <c r="A23" s="26" t="s">
        <v>11624</v>
      </c>
      <c r="B23" s="27" t="s">
        <v>11625</v>
      </c>
      <c r="C23" s="28">
        <v>1</v>
      </c>
      <c r="D23" s="29">
        <v>26</v>
      </c>
      <c r="E23" s="29">
        <v>26</v>
      </c>
      <c r="F23" s="30">
        <v>79</v>
      </c>
      <c r="G23" s="29">
        <v>79</v>
      </c>
      <c r="H23" s="28" t="s">
        <v>2805</v>
      </c>
      <c r="I23" s="27" t="s">
        <v>4</v>
      </c>
      <c r="J23" s="31"/>
      <c r="K23" s="27" t="s">
        <v>24</v>
      </c>
      <c r="L23" s="27" t="s">
        <v>67</v>
      </c>
      <c r="M23" s="32" t="str">
        <f>HYPERLINK("http://slimages.macys.com/is/image/MCY/3817400 ")</f>
        <v xml:space="preserve">http://slimages.macys.com/is/image/MCY/3817400 </v>
      </c>
    </row>
    <row r="24" spans="1:13" ht="15.2" customHeight="1" x14ac:dyDescent="0.2">
      <c r="A24" s="26" t="s">
        <v>7353</v>
      </c>
      <c r="B24" s="27" t="s">
        <v>7354</v>
      </c>
      <c r="C24" s="28">
        <v>2</v>
      </c>
      <c r="D24" s="29">
        <v>24</v>
      </c>
      <c r="E24" s="29">
        <v>48</v>
      </c>
      <c r="F24" s="30">
        <v>69</v>
      </c>
      <c r="G24" s="29">
        <v>138</v>
      </c>
      <c r="H24" s="28" t="s">
        <v>2080</v>
      </c>
      <c r="I24" s="27" t="s">
        <v>36</v>
      </c>
      <c r="J24" s="31" t="s">
        <v>71</v>
      </c>
      <c r="K24" s="27" t="s">
        <v>37</v>
      </c>
      <c r="L24" s="27" t="s">
        <v>38</v>
      </c>
      <c r="M24" s="32" t="str">
        <f>HYPERLINK("http://slimages.macys.com/is/image/MCY/3827012 ")</f>
        <v xml:space="preserve">http://slimages.macys.com/is/image/MCY/3827012 </v>
      </c>
    </row>
    <row r="25" spans="1:13" ht="15.2" customHeight="1" x14ac:dyDescent="0.2">
      <c r="A25" s="26" t="s">
        <v>9780</v>
      </c>
      <c r="B25" s="27" t="s">
        <v>9781</v>
      </c>
      <c r="C25" s="28">
        <v>1</v>
      </c>
      <c r="D25" s="29">
        <v>23.85</v>
      </c>
      <c r="E25" s="29">
        <v>23.85</v>
      </c>
      <c r="F25" s="30">
        <v>79.5</v>
      </c>
      <c r="G25" s="29">
        <v>79.5</v>
      </c>
      <c r="H25" s="28">
        <v>49008255</v>
      </c>
      <c r="I25" s="27" t="s">
        <v>22</v>
      </c>
      <c r="J25" s="31" t="s">
        <v>5</v>
      </c>
      <c r="K25" s="27" t="s">
        <v>6</v>
      </c>
      <c r="L25" s="27" t="s">
        <v>7</v>
      </c>
      <c r="M25" s="32" t="str">
        <f>HYPERLINK("http://slimages.macys.com/is/image/MCY/3829241 ")</f>
        <v xml:space="preserve">http://slimages.macys.com/is/image/MCY/3829241 </v>
      </c>
    </row>
    <row r="26" spans="1:13" ht="15.2" customHeight="1" x14ac:dyDescent="0.2">
      <c r="A26" s="26" t="s">
        <v>11626</v>
      </c>
      <c r="B26" s="27" t="s">
        <v>11627</v>
      </c>
      <c r="C26" s="28">
        <v>1</v>
      </c>
      <c r="D26" s="29">
        <v>23.54</v>
      </c>
      <c r="E26" s="29">
        <v>23.54</v>
      </c>
      <c r="F26" s="30">
        <v>64.5</v>
      </c>
      <c r="G26" s="29">
        <v>64.5</v>
      </c>
      <c r="H26" s="28" t="s">
        <v>11628</v>
      </c>
      <c r="I26" s="27" t="s">
        <v>4</v>
      </c>
      <c r="J26" s="31" t="s">
        <v>52</v>
      </c>
      <c r="K26" s="27" t="s">
        <v>53</v>
      </c>
      <c r="L26" s="27" t="s">
        <v>54</v>
      </c>
      <c r="M26" s="32" t="str">
        <f>HYPERLINK("http://slimages.macys.com/is/image/MCY/3691985 ")</f>
        <v xml:space="preserve">http://slimages.macys.com/is/image/MCY/3691985 </v>
      </c>
    </row>
    <row r="27" spans="1:13" ht="15.2" customHeight="1" x14ac:dyDescent="0.2">
      <c r="A27" s="26" t="s">
        <v>11629</v>
      </c>
      <c r="B27" s="27" t="s">
        <v>11630</v>
      </c>
      <c r="C27" s="28">
        <v>1</v>
      </c>
      <c r="D27" s="29">
        <v>23</v>
      </c>
      <c r="E27" s="29">
        <v>23</v>
      </c>
      <c r="F27" s="30">
        <v>69</v>
      </c>
      <c r="G27" s="29">
        <v>69</v>
      </c>
      <c r="H27" s="28" t="s">
        <v>11631</v>
      </c>
      <c r="I27" s="27" t="s">
        <v>152</v>
      </c>
      <c r="J27" s="31"/>
      <c r="K27" s="27" t="s">
        <v>24</v>
      </c>
      <c r="L27" s="27" t="s">
        <v>67</v>
      </c>
      <c r="M27" s="32" t="str">
        <f>HYPERLINK("http://slimages.macys.com/is/image/MCY/3654648 ")</f>
        <v xml:space="preserve">http://slimages.macys.com/is/image/MCY/3654648 </v>
      </c>
    </row>
    <row r="28" spans="1:13" ht="15.2" customHeight="1" x14ac:dyDescent="0.2">
      <c r="A28" s="26" t="s">
        <v>11632</v>
      </c>
      <c r="B28" s="27" t="s">
        <v>11633</v>
      </c>
      <c r="C28" s="28">
        <v>1</v>
      </c>
      <c r="D28" s="29">
        <v>23</v>
      </c>
      <c r="E28" s="29">
        <v>23</v>
      </c>
      <c r="F28" s="30">
        <v>59.5</v>
      </c>
      <c r="G28" s="29">
        <v>59.5</v>
      </c>
      <c r="H28" s="28" t="s">
        <v>7855</v>
      </c>
      <c r="I28" s="27" t="s">
        <v>189</v>
      </c>
      <c r="J28" s="31" t="s">
        <v>5</v>
      </c>
      <c r="K28" s="27" t="s">
        <v>17</v>
      </c>
      <c r="L28" s="27" t="s">
        <v>18</v>
      </c>
      <c r="M28" s="32" t="str">
        <f>HYPERLINK("http://slimages.macys.com/is/image/MCY/3890904 ")</f>
        <v xml:space="preserve">http://slimages.macys.com/is/image/MCY/3890904 </v>
      </c>
    </row>
    <row r="29" spans="1:13" ht="15.2" customHeight="1" x14ac:dyDescent="0.2">
      <c r="A29" s="26" t="s">
        <v>11634</v>
      </c>
      <c r="B29" s="27" t="s">
        <v>11635</v>
      </c>
      <c r="C29" s="28">
        <v>3</v>
      </c>
      <c r="D29" s="29">
        <v>23</v>
      </c>
      <c r="E29" s="29">
        <v>69</v>
      </c>
      <c r="F29" s="30">
        <v>59.5</v>
      </c>
      <c r="G29" s="29">
        <v>178.5</v>
      </c>
      <c r="H29" s="28" t="s">
        <v>7855</v>
      </c>
      <c r="I29" s="27" t="s">
        <v>36</v>
      </c>
      <c r="J29" s="31" t="s">
        <v>71</v>
      </c>
      <c r="K29" s="27" t="s">
        <v>17</v>
      </c>
      <c r="L29" s="27" t="s">
        <v>18</v>
      </c>
      <c r="M29" s="32" t="str">
        <f>HYPERLINK("http://slimages.macys.com/is/image/MCY/3890904 ")</f>
        <v xml:space="preserve">http://slimages.macys.com/is/image/MCY/3890904 </v>
      </c>
    </row>
    <row r="30" spans="1:13" ht="15.2" customHeight="1" x14ac:dyDescent="0.2">
      <c r="A30" s="26" t="s">
        <v>11636</v>
      </c>
      <c r="B30" s="27" t="s">
        <v>11637</v>
      </c>
      <c r="C30" s="28">
        <v>1</v>
      </c>
      <c r="D30" s="29">
        <v>23</v>
      </c>
      <c r="E30" s="29">
        <v>23</v>
      </c>
      <c r="F30" s="30">
        <v>59.5</v>
      </c>
      <c r="G30" s="29">
        <v>59.5</v>
      </c>
      <c r="H30" s="28" t="s">
        <v>7855</v>
      </c>
      <c r="I30" s="27" t="s">
        <v>357</v>
      </c>
      <c r="J30" s="31" t="s">
        <v>21</v>
      </c>
      <c r="K30" s="27" t="s">
        <v>17</v>
      </c>
      <c r="L30" s="27" t="s">
        <v>18</v>
      </c>
      <c r="M30" s="32" t="str">
        <f>HYPERLINK("http://slimages.macys.com/is/image/MCY/3890904 ")</f>
        <v xml:space="preserve">http://slimages.macys.com/is/image/MCY/3890904 </v>
      </c>
    </row>
    <row r="31" spans="1:13" ht="15.2" customHeight="1" x14ac:dyDescent="0.2">
      <c r="A31" s="26" t="s">
        <v>8580</v>
      </c>
      <c r="B31" s="27" t="s">
        <v>8581</v>
      </c>
      <c r="C31" s="28">
        <v>1</v>
      </c>
      <c r="D31" s="29">
        <v>22.5</v>
      </c>
      <c r="E31" s="29">
        <v>22.5</v>
      </c>
      <c r="F31" s="30">
        <v>56.99</v>
      </c>
      <c r="G31" s="29">
        <v>56.99</v>
      </c>
      <c r="H31" s="28" t="s">
        <v>8582</v>
      </c>
      <c r="I31" s="27" t="s">
        <v>59</v>
      </c>
      <c r="J31" s="31" t="s">
        <v>21</v>
      </c>
      <c r="K31" s="27" t="s">
        <v>70</v>
      </c>
      <c r="L31" s="27" t="s">
        <v>650</v>
      </c>
      <c r="M31" s="32" t="str">
        <f>HYPERLINK("http://slimages.macys.com/is/image/MCY/3799160 ")</f>
        <v xml:space="preserve">http://slimages.macys.com/is/image/MCY/3799160 </v>
      </c>
    </row>
    <row r="32" spans="1:13" ht="15.2" customHeight="1" x14ac:dyDescent="0.2">
      <c r="A32" s="26" t="s">
        <v>11638</v>
      </c>
      <c r="B32" s="27" t="s">
        <v>11639</v>
      </c>
      <c r="C32" s="28">
        <v>1</v>
      </c>
      <c r="D32" s="29">
        <v>22.25</v>
      </c>
      <c r="E32" s="29">
        <v>22.25</v>
      </c>
      <c r="F32" s="30">
        <v>64.5</v>
      </c>
      <c r="G32" s="29">
        <v>64.5</v>
      </c>
      <c r="H32" s="28" t="s">
        <v>1100</v>
      </c>
      <c r="I32" s="27" t="s">
        <v>4</v>
      </c>
      <c r="J32" s="31" t="s">
        <v>21</v>
      </c>
      <c r="K32" s="27" t="s">
        <v>53</v>
      </c>
      <c r="L32" s="27" t="s">
        <v>167</v>
      </c>
      <c r="M32" s="32" t="str">
        <f>HYPERLINK("http://slimages.macys.com/is/image/MCY/3664646 ")</f>
        <v xml:space="preserve">http://slimages.macys.com/is/image/MCY/3664646 </v>
      </c>
    </row>
    <row r="33" spans="1:13" ht="15.2" customHeight="1" x14ac:dyDescent="0.2">
      <c r="A33" s="26" t="s">
        <v>11584</v>
      </c>
      <c r="B33" s="27" t="s">
        <v>11585</v>
      </c>
      <c r="C33" s="28">
        <v>1</v>
      </c>
      <c r="D33" s="29">
        <v>22</v>
      </c>
      <c r="E33" s="29">
        <v>22</v>
      </c>
      <c r="F33" s="30">
        <v>59</v>
      </c>
      <c r="G33" s="29">
        <v>59</v>
      </c>
      <c r="H33" s="28" t="s">
        <v>8357</v>
      </c>
      <c r="I33" s="27" t="s">
        <v>274</v>
      </c>
      <c r="J33" s="31" t="s">
        <v>21</v>
      </c>
      <c r="K33" s="27" t="s">
        <v>42</v>
      </c>
      <c r="L33" s="27" t="s">
        <v>327</v>
      </c>
      <c r="M33" s="32" t="str">
        <f>HYPERLINK("http://slimages.macys.com/is/image/MCY/3703344 ")</f>
        <v xml:space="preserve">http://slimages.macys.com/is/image/MCY/3703344 </v>
      </c>
    </row>
    <row r="34" spans="1:13" ht="15.2" customHeight="1" x14ac:dyDescent="0.2">
      <c r="A34" s="26" t="s">
        <v>7635</v>
      </c>
      <c r="B34" s="27" t="s">
        <v>7636</v>
      </c>
      <c r="C34" s="28">
        <v>1</v>
      </c>
      <c r="D34" s="29">
        <v>22</v>
      </c>
      <c r="E34" s="29">
        <v>22</v>
      </c>
      <c r="F34" s="30">
        <v>69</v>
      </c>
      <c r="G34" s="29">
        <v>69</v>
      </c>
      <c r="H34" s="28" t="s">
        <v>7637</v>
      </c>
      <c r="I34" s="27" t="s">
        <v>377</v>
      </c>
      <c r="J34" s="31" t="s">
        <v>21</v>
      </c>
      <c r="K34" s="27" t="s">
        <v>37</v>
      </c>
      <c r="L34" s="27" t="s">
        <v>38</v>
      </c>
      <c r="M34" s="32" t="str">
        <f>HYPERLINK("http://slimages.macys.com/is/image/MCY/3670411 ")</f>
        <v xml:space="preserve">http://slimages.macys.com/is/image/MCY/3670411 </v>
      </c>
    </row>
    <row r="35" spans="1:13" ht="15.2" customHeight="1" x14ac:dyDescent="0.2">
      <c r="A35" s="26" t="s">
        <v>11640</v>
      </c>
      <c r="B35" s="27" t="s">
        <v>11641</v>
      </c>
      <c r="C35" s="28">
        <v>1</v>
      </c>
      <c r="D35" s="29">
        <v>21.75</v>
      </c>
      <c r="E35" s="29">
        <v>21.75</v>
      </c>
      <c r="F35" s="30">
        <v>69</v>
      </c>
      <c r="G35" s="29">
        <v>69</v>
      </c>
      <c r="H35" s="28" t="s">
        <v>8358</v>
      </c>
      <c r="I35" s="27" t="s">
        <v>59</v>
      </c>
      <c r="J35" s="31" t="s">
        <v>210</v>
      </c>
      <c r="K35" s="27" t="s">
        <v>24</v>
      </c>
      <c r="L35" s="27" t="s">
        <v>2806</v>
      </c>
      <c r="M35" s="32" t="str">
        <f>HYPERLINK("http://slimages.macys.com/is/image/MCY/3811812 ")</f>
        <v xml:space="preserve">http://slimages.macys.com/is/image/MCY/3811812 </v>
      </c>
    </row>
    <row r="36" spans="1:13" ht="15.2" customHeight="1" x14ac:dyDescent="0.2">
      <c r="A36" s="26" t="s">
        <v>1101</v>
      </c>
      <c r="B36" s="27" t="s">
        <v>1102</v>
      </c>
      <c r="C36" s="28">
        <v>1</v>
      </c>
      <c r="D36" s="29">
        <v>21.74</v>
      </c>
      <c r="E36" s="29">
        <v>21.74</v>
      </c>
      <c r="F36" s="30">
        <v>59.99</v>
      </c>
      <c r="G36" s="29">
        <v>59.99</v>
      </c>
      <c r="H36" s="28" t="s">
        <v>44</v>
      </c>
      <c r="I36" s="27" t="s">
        <v>4</v>
      </c>
      <c r="J36" s="31" t="s">
        <v>5</v>
      </c>
      <c r="K36" s="27" t="s">
        <v>41</v>
      </c>
      <c r="L36" s="27" t="s">
        <v>45</v>
      </c>
      <c r="M36" s="32" t="str">
        <f>HYPERLINK("http://slimages.macys.com/is/image/MCY/3802130 ")</f>
        <v xml:space="preserve">http://slimages.macys.com/is/image/MCY/3802130 </v>
      </c>
    </row>
    <row r="37" spans="1:13" ht="15.2" customHeight="1" x14ac:dyDescent="0.2">
      <c r="A37" s="26" t="s">
        <v>8925</v>
      </c>
      <c r="B37" s="27" t="s">
        <v>8926</v>
      </c>
      <c r="C37" s="28">
        <v>1</v>
      </c>
      <c r="D37" s="29">
        <v>21.72</v>
      </c>
      <c r="E37" s="29">
        <v>21.72</v>
      </c>
      <c r="F37" s="30">
        <v>49.99</v>
      </c>
      <c r="G37" s="29">
        <v>49.99</v>
      </c>
      <c r="H37" s="28" t="s">
        <v>5409</v>
      </c>
      <c r="I37" s="27" t="s">
        <v>10</v>
      </c>
      <c r="J37" s="31" t="s">
        <v>214</v>
      </c>
      <c r="K37" s="27" t="s">
        <v>41</v>
      </c>
      <c r="L37" s="27" t="s">
        <v>45</v>
      </c>
      <c r="M37" s="32" t="str">
        <f>HYPERLINK("http://slimages.macys.com/is/image/MCY/3264514 ")</f>
        <v xml:space="preserve">http://slimages.macys.com/is/image/MCY/3264514 </v>
      </c>
    </row>
    <row r="38" spans="1:13" ht="15.2" customHeight="1" x14ac:dyDescent="0.2">
      <c r="A38" s="26" t="s">
        <v>7356</v>
      </c>
      <c r="B38" s="27" t="s">
        <v>7357</v>
      </c>
      <c r="C38" s="28">
        <v>2</v>
      </c>
      <c r="D38" s="29">
        <v>21</v>
      </c>
      <c r="E38" s="29">
        <v>42</v>
      </c>
      <c r="F38" s="30">
        <v>69</v>
      </c>
      <c r="G38" s="29">
        <v>138</v>
      </c>
      <c r="H38" s="28" t="s">
        <v>1106</v>
      </c>
      <c r="I38" s="27" t="s">
        <v>248</v>
      </c>
      <c r="J38" s="31" t="s">
        <v>230</v>
      </c>
      <c r="K38" s="27" t="s">
        <v>24</v>
      </c>
      <c r="L38" s="27" t="s">
        <v>155</v>
      </c>
      <c r="M38" s="32" t="str">
        <f>HYPERLINK("http://slimages.macys.com/is/image/MCY/3705626 ")</f>
        <v xml:space="preserve">http://slimages.macys.com/is/image/MCY/3705626 </v>
      </c>
    </row>
    <row r="39" spans="1:13" ht="15.2" customHeight="1" x14ac:dyDescent="0.2">
      <c r="A39" s="26" t="s">
        <v>11642</v>
      </c>
      <c r="B39" s="27" t="s">
        <v>11643</v>
      </c>
      <c r="C39" s="28">
        <v>1</v>
      </c>
      <c r="D39" s="29">
        <v>21</v>
      </c>
      <c r="E39" s="29">
        <v>21</v>
      </c>
      <c r="F39" s="30">
        <v>69</v>
      </c>
      <c r="G39" s="29">
        <v>69</v>
      </c>
      <c r="H39" s="28" t="s">
        <v>1106</v>
      </c>
      <c r="I39" s="27" t="s">
        <v>248</v>
      </c>
      <c r="J39" s="31" t="s">
        <v>69</v>
      </c>
      <c r="K39" s="27" t="s">
        <v>24</v>
      </c>
      <c r="L39" s="27" t="s">
        <v>155</v>
      </c>
      <c r="M39" s="32" t="str">
        <f>HYPERLINK("http://slimages.macys.com/is/image/MCY/3705626 ")</f>
        <v xml:space="preserve">http://slimages.macys.com/is/image/MCY/3705626 </v>
      </c>
    </row>
    <row r="40" spans="1:13" ht="15.2" customHeight="1" x14ac:dyDescent="0.2">
      <c r="A40" s="26" t="s">
        <v>11644</v>
      </c>
      <c r="B40" s="27" t="s">
        <v>11645</v>
      </c>
      <c r="C40" s="28">
        <v>1</v>
      </c>
      <c r="D40" s="29">
        <v>21</v>
      </c>
      <c r="E40" s="29">
        <v>21</v>
      </c>
      <c r="F40" s="30">
        <v>51.99</v>
      </c>
      <c r="G40" s="29">
        <v>51.99</v>
      </c>
      <c r="H40" s="28" t="s">
        <v>7355</v>
      </c>
      <c r="I40" s="27" t="s">
        <v>22</v>
      </c>
      <c r="J40" s="31"/>
      <c r="K40" s="27" t="s">
        <v>70</v>
      </c>
      <c r="L40" s="27" t="s">
        <v>67</v>
      </c>
      <c r="M40" s="32" t="str">
        <f>HYPERLINK("http://slimages.macys.com/is/image/MCY/3723628 ")</f>
        <v xml:space="preserve">http://slimages.macys.com/is/image/MCY/3723628 </v>
      </c>
    </row>
    <row r="41" spans="1:13" ht="15.2" customHeight="1" x14ac:dyDescent="0.2">
      <c r="A41" s="26" t="s">
        <v>7638</v>
      </c>
      <c r="B41" s="27" t="s">
        <v>7639</v>
      </c>
      <c r="C41" s="28">
        <v>1</v>
      </c>
      <c r="D41" s="29">
        <v>20.85</v>
      </c>
      <c r="E41" s="29">
        <v>20.85</v>
      </c>
      <c r="F41" s="30">
        <v>69.5</v>
      </c>
      <c r="G41" s="29">
        <v>69.5</v>
      </c>
      <c r="H41" s="28">
        <v>60435383</v>
      </c>
      <c r="I41" s="27" t="s">
        <v>4</v>
      </c>
      <c r="J41" s="31" t="s">
        <v>21</v>
      </c>
      <c r="K41" s="27" t="s">
        <v>6</v>
      </c>
      <c r="L41" s="27" t="s">
        <v>7</v>
      </c>
      <c r="M41" s="32" t="str">
        <f>HYPERLINK("http://slimages.macys.com/is/image/MCY/3900381 ")</f>
        <v xml:space="preserve">http://slimages.macys.com/is/image/MCY/3900381 </v>
      </c>
    </row>
    <row r="42" spans="1:13" ht="15.2" customHeight="1" x14ac:dyDescent="0.2">
      <c r="A42" s="26" t="s">
        <v>7487</v>
      </c>
      <c r="B42" s="27" t="s">
        <v>7488</v>
      </c>
      <c r="C42" s="28">
        <v>1</v>
      </c>
      <c r="D42" s="29">
        <v>20.85</v>
      </c>
      <c r="E42" s="29">
        <v>20.85</v>
      </c>
      <c r="F42" s="30">
        <v>69.5</v>
      </c>
      <c r="G42" s="29">
        <v>69.5</v>
      </c>
      <c r="H42" s="28">
        <v>60435383</v>
      </c>
      <c r="I42" s="27" t="s">
        <v>82</v>
      </c>
      <c r="J42" s="31" t="s">
        <v>40</v>
      </c>
      <c r="K42" s="27" t="s">
        <v>6</v>
      </c>
      <c r="L42" s="27" t="s">
        <v>7</v>
      </c>
      <c r="M42" s="32" t="str">
        <f>HYPERLINK("http://slimages.macys.com/is/image/MCY/3900381 ")</f>
        <v xml:space="preserve">http://slimages.macys.com/is/image/MCY/3900381 </v>
      </c>
    </row>
    <row r="43" spans="1:13" ht="15.2" customHeight="1" x14ac:dyDescent="0.2">
      <c r="A43" s="26" t="s">
        <v>1736</v>
      </c>
      <c r="B43" s="27" t="s">
        <v>1737</v>
      </c>
      <c r="C43" s="28">
        <v>1</v>
      </c>
      <c r="D43" s="29">
        <v>20.85</v>
      </c>
      <c r="E43" s="29">
        <v>20.85</v>
      </c>
      <c r="F43" s="30">
        <v>69.5</v>
      </c>
      <c r="G43" s="29">
        <v>69.5</v>
      </c>
      <c r="H43" s="28">
        <v>60435383</v>
      </c>
      <c r="I43" s="27" t="s">
        <v>39</v>
      </c>
      <c r="J43" s="31" t="s">
        <v>40</v>
      </c>
      <c r="K43" s="27" t="s">
        <v>6</v>
      </c>
      <c r="L43" s="27" t="s">
        <v>7</v>
      </c>
      <c r="M43" s="32" t="str">
        <f>HYPERLINK("http://slimages.macys.com/is/image/MCY/3900381 ")</f>
        <v xml:space="preserve">http://slimages.macys.com/is/image/MCY/3900381 </v>
      </c>
    </row>
    <row r="44" spans="1:13" ht="15.2" customHeight="1" x14ac:dyDescent="0.2">
      <c r="A44" s="26" t="s">
        <v>11646</v>
      </c>
      <c r="B44" s="27" t="s">
        <v>11647</v>
      </c>
      <c r="C44" s="28">
        <v>1</v>
      </c>
      <c r="D44" s="29">
        <v>20.51</v>
      </c>
      <c r="E44" s="29">
        <v>20.51</v>
      </c>
      <c r="F44" s="30">
        <v>59.5</v>
      </c>
      <c r="G44" s="29">
        <v>59.5</v>
      </c>
      <c r="H44" s="28" t="s">
        <v>11648</v>
      </c>
      <c r="I44" s="27" t="s">
        <v>4</v>
      </c>
      <c r="J44" s="31" t="s">
        <v>21</v>
      </c>
      <c r="K44" s="27" t="s">
        <v>53</v>
      </c>
      <c r="L44" s="27" t="s">
        <v>167</v>
      </c>
      <c r="M44" s="32" t="str">
        <f>HYPERLINK("http://slimages.macys.com/is/image/MCY/3274995 ")</f>
        <v xml:space="preserve">http://slimages.macys.com/is/image/MCY/3274995 </v>
      </c>
    </row>
    <row r="45" spans="1:13" ht="15.2" customHeight="1" x14ac:dyDescent="0.2">
      <c r="A45" s="26" t="s">
        <v>6837</v>
      </c>
      <c r="B45" s="27" t="s">
        <v>6838</v>
      </c>
      <c r="C45" s="28">
        <v>1</v>
      </c>
      <c r="D45" s="29">
        <v>20.5</v>
      </c>
      <c r="E45" s="29">
        <v>20.5</v>
      </c>
      <c r="F45" s="30">
        <v>59</v>
      </c>
      <c r="G45" s="29">
        <v>59</v>
      </c>
      <c r="H45" s="28" t="s">
        <v>6839</v>
      </c>
      <c r="I45" s="27" t="s">
        <v>94</v>
      </c>
      <c r="J45" s="31" t="s">
        <v>5</v>
      </c>
      <c r="K45" s="27" t="s">
        <v>37</v>
      </c>
      <c r="L45" s="27" t="s">
        <v>38</v>
      </c>
      <c r="M45" s="32" t="str">
        <f>HYPERLINK("http://slimages.macys.com/is/image/MCY/3670371 ")</f>
        <v xml:space="preserve">http://slimages.macys.com/is/image/MCY/3670371 </v>
      </c>
    </row>
    <row r="46" spans="1:13" ht="15.2" customHeight="1" x14ac:dyDescent="0.2">
      <c r="A46" s="26" t="s">
        <v>11649</v>
      </c>
      <c r="B46" s="27" t="s">
        <v>11650</v>
      </c>
      <c r="C46" s="28">
        <v>1</v>
      </c>
      <c r="D46" s="29">
        <v>20.260000000000002</v>
      </c>
      <c r="E46" s="29">
        <v>20.260000000000002</v>
      </c>
      <c r="F46" s="30">
        <v>44.99</v>
      </c>
      <c r="G46" s="29">
        <v>44.99</v>
      </c>
      <c r="H46" s="28" t="s">
        <v>11651</v>
      </c>
      <c r="I46" s="27" t="s">
        <v>10</v>
      </c>
      <c r="J46" s="31" t="s">
        <v>8363</v>
      </c>
      <c r="K46" s="27" t="s">
        <v>41</v>
      </c>
      <c r="L46" s="27" t="s">
        <v>45</v>
      </c>
      <c r="M46" s="32" t="str">
        <f>HYPERLINK("http://slimages.macys.com/is/image/MCY/3444376 ")</f>
        <v xml:space="preserve">http://slimages.macys.com/is/image/MCY/3444376 </v>
      </c>
    </row>
    <row r="47" spans="1:13" ht="15.2" customHeight="1" x14ac:dyDescent="0.2">
      <c r="A47" s="26" t="s">
        <v>7363</v>
      </c>
      <c r="B47" s="27" t="s">
        <v>7364</v>
      </c>
      <c r="C47" s="28">
        <v>1</v>
      </c>
      <c r="D47" s="29">
        <v>20.190000000000001</v>
      </c>
      <c r="E47" s="29">
        <v>20.190000000000001</v>
      </c>
      <c r="F47" s="30">
        <v>52.99</v>
      </c>
      <c r="G47" s="29">
        <v>52.99</v>
      </c>
      <c r="H47" s="28" t="s">
        <v>7365</v>
      </c>
      <c r="I47" s="27" t="s">
        <v>4</v>
      </c>
      <c r="J47" s="31" t="s">
        <v>5</v>
      </c>
      <c r="K47" s="27" t="s">
        <v>41</v>
      </c>
      <c r="L47" s="27" t="s">
        <v>45</v>
      </c>
      <c r="M47" s="32" t="str">
        <f>HYPERLINK("http://slimages.macys.com/is/image/MCY/3449916 ")</f>
        <v xml:space="preserve">http://slimages.macys.com/is/image/MCY/3449916 </v>
      </c>
    </row>
    <row r="48" spans="1:13" ht="15.2" customHeight="1" x14ac:dyDescent="0.2">
      <c r="A48" s="26" t="s">
        <v>11652</v>
      </c>
      <c r="B48" s="27" t="s">
        <v>11653</v>
      </c>
      <c r="C48" s="28">
        <v>1</v>
      </c>
      <c r="D48" s="29">
        <v>19.98</v>
      </c>
      <c r="E48" s="29">
        <v>19.98</v>
      </c>
      <c r="F48" s="30">
        <v>54</v>
      </c>
      <c r="G48" s="29">
        <v>54</v>
      </c>
      <c r="H48" s="28" t="s">
        <v>5607</v>
      </c>
      <c r="I48" s="27" t="s">
        <v>690</v>
      </c>
      <c r="J48" s="31" t="s">
        <v>71</v>
      </c>
      <c r="K48" s="27" t="s">
        <v>989</v>
      </c>
      <c r="L48" s="27" t="s">
        <v>990</v>
      </c>
      <c r="M48" s="32" t="str">
        <f>HYPERLINK("http://slimages.macys.com/is/image/MCY/3745072 ")</f>
        <v xml:space="preserve">http://slimages.macys.com/is/image/MCY/3745072 </v>
      </c>
    </row>
    <row r="49" spans="1:13" ht="15.2" customHeight="1" x14ac:dyDescent="0.2">
      <c r="A49" s="26" t="s">
        <v>11654</v>
      </c>
      <c r="B49" s="27" t="s">
        <v>11655</v>
      </c>
      <c r="C49" s="28">
        <v>1</v>
      </c>
      <c r="D49" s="29">
        <v>19.5</v>
      </c>
      <c r="E49" s="29">
        <v>19.5</v>
      </c>
      <c r="F49" s="30">
        <v>59</v>
      </c>
      <c r="G49" s="29">
        <v>59</v>
      </c>
      <c r="H49" s="28" t="s">
        <v>1123</v>
      </c>
      <c r="I49" s="27" t="s">
        <v>4</v>
      </c>
      <c r="J49" s="31" t="s">
        <v>40</v>
      </c>
      <c r="K49" s="27" t="s">
        <v>24</v>
      </c>
      <c r="L49" s="27" t="s">
        <v>650</v>
      </c>
      <c r="M49" s="32" t="str">
        <f>HYPERLINK("http://slimages.macys.com/is/image/MCY/3783879 ")</f>
        <v xml:space="preserve">http://slimages.macys.com/is/image/MCY/3783879 </v>
      </c>
    </row>
    <row r="50" spans="1:13" ht="15.2" customHeight="1" x14ac:dyDescent="0.2">
      <c r="A50" s="26" t="s">
        <v>11656</v>
      </c>
      <c r="B50" s="27" t="s">
        <v>11657</v>
      </c>
      <c r="C50" s="28">
        <v>1</v>
      </c>
      <c r="D50" s="29">
        <v>19.5</v>
      </c>
      <c r="E50" s="29">
        <v>19.5</v>
      </c>
      <c r="F50" s="30">
        <v>59</v>
      </c>
      <c r="G50" s="29">
        <v>59</v>
      </c>
      <c r="H50" s="28" t="s">
        <v>1123</v>
      </c>
      <c r="I50" s="27" t="s">
        <v>4</v>
      </c>
      <c r="J50" s="31" t="s">
        <v>71</v>
      </c>
      <c r="K50" s="27" t="s">
        <v>24</v>
      </c>
      <c r="L50" s="27" t="s">
        <v>650</v>
      </c>
      <c r="M50" s="32" t="str">
        <f>HYPERLINK("http://slimages.macys.com/is/image/MCY/3783879 ")</f>
        <v xml:space="preserve">http://slimages.macys.com/is/image/MCY/3783879 </v>
      </c>
    </row>
    <row r="51" spans="1:13" ht="15.2" customHeight="1" x14ac:dyDescent="0.2">
      <c r="A51" s="26" t="s">
        <v>6000</v>
      </c>
      <c r="B51" s="27" t="s">
        <v>6001</v>
      </c>
      <c r="C51" s="28">
        <v>1</v>
      </c>
      <c r="D51" s="29">
        <v>19</v>
      </c>
      <c r="E51" s="29">
        <v>19</v>
      </c>
      <c r="F51" s="30">
        <v>59</v>
      </c>
      <c r="G51" s="29">
        <v>59</v>
      </c>
      <c r="H51" s="28" t="s">
        <v>6002</v>
      </c>
      <c r="I51" s="27"/>
      <c r="J51" s="31" t="s">
        <v>52</v>
      </c>
      <c r="K51" s="27" t="s">
        <v>42</v>
      </c>
      <c r="L51" s="27" t="s">
        <v>43</v>
      </c>
      <c r="M51" s="32" t="str">
        <f>HYPERLINK("http://slimages.macys.com/is/image/MCY/3611454 ")</f>
        <v xml:space="preserve">http://slimages.macys.com/is/image/MCY/3611454 </v>
      </c>
    </row>
    <row r="52" spans="1:13" ht="15.2" customHeight="1" x14ac:dyDescent="0.2">
      <c r="A52" s="26" t="s">
        <v>6005</v>
      </c>
      <c r="B52" s="27" t="s">
        <v>6006</v>
      </c>
      <c r="C52" s="28">
        <v>1</v>
      </c>
      <c r="D52" s="29">
        <v>19</v>
      </c>
      <c r="E52" s="29">
        <v>19</v>
      </c>
      <c r="F52" s="30">
        <v>59</v>
      </c>
      <c r="G52" s="29">
        <v>59</v>
      </c>
      <c r="H52" s="28" t="s">
        <v>6002</v>
      </c>
      <c r="I52" s="27"/>
      <c r="J52" s="31" t="s">
        <v>5</v>
      </c>
      <c r="K52" s="27" t="s">
        <v>42</v>
      </c>
      <c r="L52" s="27" t="s">
        <v>43</v>
      </c>
      <c r="M52" s="32" t="str">
        <f>HYPERLINK("http://slimages.macys.com/is/image/MCY/3611454 ")</f>
        <v xml:space="preserve">http://slimages.macys.com/is/image/MCY/3611454 </v>
      </c>
    </row>
    <row r="53" spans="1:13" ht="15.2" customHeight="1" x14ac:dyDescent="0.2">
      <c r="A53" s="26" t="s">
        <v>11658</v>
      </c>
      <c r="B53" s="27" t="s">
        <v>11659</v>
      </c>
      <c r="C53" s="28">
        <v>1</v>
      </c>
      <c r="D53" s="29">
        <v>19</v>
      </c>
      <c r="E53" s="29">
        <v>19</v>
      </c>
      <c r="F53" s="30">
        <v>59</v>
      </c>
      <c r="G53" s="29">
        <v>59</v>
      </c>
      <c r="H53" s="28" t="s">
        <v>2569</v>
      </c>
      <c r="I53" s="27" t="s">
        <v>75</v>
      </c>
      <c r="J53" s="31" t="s">
        <v>205</v>
      </c>
      <c r="K53" s="27" t="s">
        <v>24</v>
      </c>
      <c r="L53" s="27" t="s">
        <v>128</v>
      </c>
      <c r="M53" s="32" t="str">
        <f>HYPERLINK("http://slimages.macys.com/is/image/MCY/3739568 ")</f>
        <v xml:space="preserve">http://slimages.macys.com/is/image/MCY/3739568 </v>
      </c>
    </row>
    <row r="54" spans="1:13" ht="15.2" customHeight="1" x14ac:dyDescent="0.2">
      <c r="A54" s="26" t="s">
        <v>7493</v>
      </c>
      <c r="B54" s="27" t="s">
        <v>7494</v>
      </c>
      <c r="C54" s="28">
        <v>1</v>
      </c>
      <c r="D54" s="29">
        <v>19</v>
      </c>
      <c r="E54" s="29">
        <v>19</v>
      </c>
      <c r="F54" s="30">
        <v>59</v>
      </c>
      <c r="G54" s="29">
        <v>59</v>
      </c>
      <c r="H54" s="28" t="s">
        <v>7495</v>
      </c>
      <c r="I54" s="27" t="s">
        <v>4</v>
      </c>
      <c r="J54" s="31" t="s">
        <v>69</v>
      </c>
      <c r="K54" s="27" t="s">
        <v>24</v>
      </c>
      <c r="L54" s="27" t="s">
        <v>101</v>
      </c>
      <c r="M54" s="32" t="str">
        <f>HYPERLINK("http://slimages.macys.com/is/image/MCY/3832800 ")</f>
        <v xml:space="preserve">http://slimages.macys.com/is/image/MCY/3832800 </v>
      </c>
    </row>
    <row r="55" spans="1:13" ht="15.2" customHeight="1" x14ac:dyDescent="0.2">
      <c r="A55" s="26" t="s">
        <v>6009</v>
      </c>
      <c r="B55" s="27" t="s">
        <v>6010</v>
      </c>
      <c r="C55" s="28">
        <v>1</v>
      </c>
      <c r="D55" s="29">
        <v>19</v>
      </c>
      <c r="E55" s="29">
        <v>19</v>
      </c>
      <c r="F55" s="30">
        <v>59</v>
      </c>
      <c r="G55" s="29">
        <v>59</v>
      </c>
      <c r="H55" s="28" t="s">
        <v>6002</v>
      </c>
      <c r="I55" s="27"/>
      <c r="J55" s="31" t="s">
        <v>21</v>
      </c>
      <c r="K55" s="27" t="s">
        <v>42</v>
      </c>
      <c r="L55" s="27" t="s">
        <v>43</v>
      </c>
      <c r="M55" s="32" t="str">
        <f>HYPERLINK("http://slimages.macys.com/is/image/MCY/3611454 ")</f>
        <v xml:space="preserve">http://slimages.macys.com/is/image/MCY/3611454 </v>
      </c>
    </row>
    <row r="56" spans="1:13" ht="15.2" customHeight="1" x14ac:dyDescent="0.2">
      <c r="A56" s="26" t="s">
        <v>6856</v>
      </c>
      <c r="B56" s="27" t="s">
        <v>6857</v>
      </c>
      <c r="C56" s="28">
        <v>1</v>
      </c>
      <c r="D56" s="29">
        <v>18.75</v>
      </c>
      <c r="E56" s="29">
        <v>18.75</v>
      </c>
      <c r="F56" s="30">
        <v>44.99</v>
      </c>
      <c r="G56" s="29">
        <v>44.99</v>
      </c>
      <c r="H56" s="28" t="s">
        <v>6858</v>
      </c>
      <c r="I56" s="27" t="s">
        <v>661</v>
      </c>
      <c r="J56" s="31" t="s">
        <v>21</v>
      </c>
      <c r="K56" s="27" t="s">
        <v>70</v>
      </c>
      <c r="L56" s="27" t="s">
        <v>999</v>
      </c>
      <c r="M56" s="32" t="str">
        <f>HYPERLINK("http://slimages.macys.com/is/image/MCY/3755644 ")</f>
        <v xml:space="preserve">http://slimages.macys.com/is/image/MCY/3755644 </v>
      </c>
    </row>
    <row r="57" spans="1:13" ht="15.2" customHeight="1" x14ac:dyDescent="0.2">
      <c r="A57" s="26" t="s">
        <v>1131</v>
      </c>
      <c r="B57" s="27" t="s">
        <v>1132</v>
      </c>
      <c r="C57" s="28">
        <v>1</v>
      </c>
      <c r="D57" s="29">
        <v>18.739999999999998</v>
      </c>
      <c r="E57" s="29">
        <v>18.739999999999998</v>
      </c>
      <c r="F57" s="30">
        <v>43.5</v>
      </c>
      <c r="G57" s="29">
        <v>43.5</v>
      </c>
      <c r="H57" s="28" t="s">
        <v>1133</v>
      </c>
      <c r="I57" s="27" t="s">
        <v>4</v>
      </c>
      <c r="J57" s="31" t="s">
        <v>210</v>
      </c>
      <c r="K57" s="27" t="s">
        <v>41</v>
      </c>
      <c r="L57" s="27" t="s">
        <v>45</v>
      </c>
      <c r="M57" s="32" t="str">
        <f>HYPERLINK("http://slimages.macys.com/is/image/MCY/3678345 ")</f>
        <v xml:space="preserve">http://slimages.macys.com/is/image/MCY/3678345 </v>
      </c>
    </row>
    <row r="58" spans="1:13" ht="15.2" customHeight="1" x14ac:dyDescent="0.2">
      <c r="A58" s="26" t="s">
        <v>11660</v>
      </c>
      <c r="B58" s="27" t="s">
        <v>11661</v>
      </c>
      <c r="C58" s="28">
        <v>1</v>
      </c>
      <c r="D58" s="29">
        <v>18.07</v>
      </c>
      <c r="E58" s="29">
        <v>18.07</v>
      </c>
      <c r="F58" s="30">
        <v>49.5</v>
      </c>
      <c r="G58" s="29">
        <v>49.5</v>
      </c>
      <c r="H58" s="28" t="s">
        <v>1145</v>
      </c>
      <c r="I58" s="27" t="s">
        <v>4</v>
      </c>
      <c r="J58" s="31" t="s">
        <v>5</v>
      </c>
      <c r="K58" s="27" t="s">
        <v>41</v>
      </c>
      <c r="L58" s="27" t="s">
        <v>45</v>
      </c>
      <c r="M58" s="32" t="str">
        <f>HYPERLINK("http://slimages.macys.com/is/image/MCY/3718522 ")</f>
        <v xml:space="preserve">http://slimages.macys.com/is/image/MCY/3718522 </v>
      </c>
    </row>
    <row r="59" spans="1:13" ht="15.2" customHeight="1" x14ac:dyDescent="0.2">
      <c r="A59" s="26" t="s">
        <v>7643</v>
      </c>
      <c r="B59" s="27" t="s">
        <v>7644</v>
      </c>
      <c r="C59" s="28">
        <v>1</v>
      </c>
      <c r="D59" s="29">
        <v>18.059999999999999</v>
      </c>
      <c r="E59" s="29">
        <v>18.059999999999999</v>
      </c>
      <c r="F59" s="30">
        <v>49.5</v>
      </c>
      <c r="G59" s="29">
        <v>49.5</v>
      </c>
      <c r="H59" s="28" t="s">
        <v>2099</v>
      </c>
      <c r="I59" s="27" t="s">
        <v>4</v>
      </c>
      <c r="J59" s="31" t="s">
        <v>52</v>
      </c>
      <c r="K59" s="27" t="s">
        <v>41</v>
      </c>
      <c r="L59" s="27" t="s">
        <v>90</v>
      </c>
      <c r="M59" s="32" t="str">
        <f>HYPERLINK("http://slimages.macys.com/is/image/MCY/3707200 ")</f>
        <v xml:space="preserve">http://slimages.macys.com/is/image/MCY/3707200 </v>
      </c>
    </row>
    <row r="60" spans="1:13" ht="15.2" customHeight="1" x14ac:dyDescent="0.2">
      <c r="A60" s="26" t="s">
        <v>11662</v>
      </c>
      <c r="B60" s="27" t="s">
        <v>11663</v>
      </c>
      <c r="C60" s="28">
        <v>1</v>
      </c>
      <c r="D60" s="29">
        <v>18</v>
      </c>
      <c r="E60" s="29">
        <v>18</v>
      </c>
      <c r="F60" s="30">
        <v>59</v>
      </c>
      <c r="G60" s="29">
        <v>59</v>
      </c>
      <c r="H60" s="28" t="s">
        <v>1151</v>
      </c>
      <c r="I60" s="27" t="s">
        <v>82</v>
      </c>
      <c r="J60" s="31" t="s">
        <v>230</v>
      </c>
      <c r="K60" s="27" t="s">
        <v>24</v>
      </c>
      <c r="L60" s="27" t="s">
        <v>1079</v>
      </c>
      <c r="M60" s="32" t="str">
        <f>HYPERLINK("http://slimages.macys.com/is/image/MCY/3705704 ")</f>
        <v xml:space="preserve">http://slimages.macys.com/is/image/MCY/3705704 </v>
      </c>
    </row>
    <row r="61" spans="1:13" ht="15.2" customHeight="1" x14ac:dyDescent="0.2">
      <c r="A61" s="26" t="s">
        <v>11664</v>
      </c>
      <c r="B61" s="27" t="s">
        <v>11665</v>
      </c>
      <c r="C61" s="28">
        <v>1</v>
      </c>
      <c r="D61" s="29">
        <v>18</v>
      </c>
      <c r="E61" s="29">
        <v>18</v>
      </c>
      <c r="F61" s="30">
        <v>59</v>
      </c>
      <c r="G61" s="29">
        <v>59</v>
      </c>
      <c r="H61" s="28" t="s">
        <v>11666</v>
      </c>
      <c r="I61" s="27"/>
      <c r="J61" s="31" t="s">
        <v>5</v>
      </c>
      <c r="K61" s="27" t="s">
        <v>42</v>
      </c>
      <c r="L61" s="27" t="s">
        <v>43</v>
      </c>
      <c r="M61" s="32" t="str">
        <f>HYPERLINK("http://slimages.macys.com/is/image/MCY/3533321 ")</f>
        <v xml:space="preserve">http://slimages.macys.com/is/image/MCY/3533321 </v>
      </c>
    </row>
    <row r="62" spans="1:13" ht="15.2" customHeight="1" x14ac:dyDescent="0.2">
      <c r="A62" s="26" t="s">
        <v>8597</v>
      </c>
      <c r="B62" s="27" t="s">
        <v>8598</v>
      </c>
      <c r="C62" s="28">
        <v>1</v>
      </c>
      <c r="D62" s="29">
        <v>17.88</v>
      </c>
      <c r="E62" s="29">
        <v>17.88</v>
      </c>
      <c r="F62" s="30">
        <v>49.5</v>
      </c>
      <c r="G62" s="29">
        <v>49.5</v>
      </c>
      <c r="H62" s="28" t="s">
        <v>8596</v>
      </c>
      <c r="I62" s="27" t="s">
        <v>244</v>
      </c>
      <c r="J62" s="31" t="s">
        <v>71</v>
      </c>
      <c r="K62" s="27" t="s">
        <v>53</v>
      </c>
      <c r="L62" s="27" t="s">
        <v>54</v>
      </c>
      <c r="M62" s="32" t="str">
        <f>HYPERLINK("http://slimages.macys.com/is/image/MCY/3578381 ")</f>
        <v xml:space="preserve">http://slimages.macys.com/is/image/MCY/3578381 </v>
      </c>
    </row>
    <row r="63" spans="1:13" ht="15.2" customHeight="1" x14ac:dyDescent="0.2">
      <c r="A63" s="26" t="s">
        <v>8973</v>
      </c>
      <c r="B63" s="27" t="s">
        <v>8974</v>
      </c>
      <c r="C63" s="28">
        <v>2</v>
      </c>
      <c r="D63" s="29">
        <v>17.88</v>
      </c>
      <c r="E63" s="29">
        <v>35.76</v>
      </c>
      <c r="F63" s="30">
        <v>49.5</v>
      </c>
      <c r="G63" s="29">
        <v>99</v>
      </c>
      <c r="H63" s="28" t="s">
        <v>8596</v>
      </c>
      <c r="I63" s="27" t="s">
        <v>244</v>
      </c>
      <c r="J63" s="31" t="s">
        <v>5</v>
      </c>
      <c r="K63" s="27" t="s">
        <v>53</v>
      </c>
      <c r="L63" s="27" t="s">
        <v>54</v>
      </c>
      <c r="M63" s="32" t="str">
        <f>HYPERLINK("http://slimages.macys.com/is/image/MCY/3578381 ")</f>
        <v xml:space="preserve">http://slimages.macys.com/is/image/MCY/3578381 </v>
      </c>
    </row>
    <row r="64" spans="1:13" ht="15.2" customHeight="1" x14ac:dyDescent="0.2">
      <c r="A64" s="26" t="s">
        <v>10278</v>
      </c>
      <c r="B64" s="27" t="s">
        <v>10279</v>
      </c>
      <c r="C64" s="28">
        <v>1</v>
      </c>
      <c r="D64" s="29">
        <v>17.760000000000002</v>
      </c>
      <c r="E64" s="29">
        <v>17.760000000000002</v>
      </c>
      <c r="F64" s="30">
        <v>49.5</v>
      </c>
      <c r="G64" s="29">
        <v>49.5</v>
      </c>
      <c r="H64" s="28" t="s">
        <v>10224</v>
      </c>
      <c r="I64" s="27" t="s">
        <v>33</v>
      </c>
      <c r="J64" s="31" t="s">
        <v>21</v>
      </c>
      <c r="K64" s="27" t="s">
        <v>41</v>
      </c>
      <c r="L64" s="27" t="s">
        <v>45</v>
      </c>
      <c r="M64" s="32" t="str">
        <f>HYPERLINK("http://slimages.macys.com/is/image/MCY/3623727 ")</f>
        <v xml:space="preserve">http://slimages.macys.com/is/image/MCY/3623727 </v>
      </c>
    </row>
    <row r="65" spans="1:13" ht="15.2" customHeight="1" x14ac:dyDescent="0.2">
      <c r="A65" s="26" t="s">
        <v>11667</v>
      </c>
      <c r="B65" s="27" t="s">
        <v>11668</v>
      </c>
      <c r="C65" s="28">
        <v>1</v>
      </c>
      <c r="D65" s="29">
        <v>17.71</v>
      </c>
      <c r="E65" s="29">
        <v>17.71</v>
      </c>
      <c r="F65" s="30">
        <v>49.5</v>
      </c>
      <c r="G65" s="29">
        <v>49.5</v>
      </c>
      <c r="H65" s="28" t="s">
        <v>8261</v>
      </c>
      <c r="I65" s="27" t="s">
        <v>144</v>
      </c>
      <c r="J65" s="31" t="s">
        <v>52</v>
      </c>
      <c r="K65" s="27" t="s">
        <v>41</v>
      </c>
      <c r="L65" s="27" t="s">
        <v>45</v>
      </c>
      <c r="M65" s="32" t="str">
        <f>HYPERLINK("http://slimages.macys.com/is/image/MCY/3501069 ")</f>
        <v xml:space="preserve">http://slimages.macys.com/is/image/MCY/3501069 </v>
      </c>
    </row>
    <row r="66" spans="1:13" ht="15.2" customHeight="1" x14ac:dyDescent="0.2">
      <c r="A66" s="26" t="s">
        <v>11669</v>
      </c>
      <c r="B66" s="27" t="s">
        <v>11670</v>
      </c>
      <c r="C66" s="28">
        <v>1</v>
      </c>
      <c r="D66" s="29">
        <v>17.25</v>
      </c>
      <c r="E66" s="29">
        <v>17.25</v>
      </c>
      <c r="F66" s="30">
        <v>49</v>
      </c>
      <c r="G66" s="29">
        <v>49</v>
      </c>
      <c r="H66" s="28" t="s">
        <v>119</v>
      </c>
      <c r="I66" s="27" t="s">
        <v>82</v>
      </c>
      <c r="J66" s="31" t="s">
        <v>71</v>
      </c>
      <c r="K66" s="27" t="s">
        <v>37</v>
      </c>
      <c r="L66" s="27" t="s">
        <v>38</v>
      </c>
      <c r="M66" s="32" t="str">
        <f>HYPERLINK("http://slimages.macys.com/is/image/MCY/3559922 ")</f>
        <v xml:space="preserve">http://slimages.macys.com/is/image/MCY/3559922 </v>
      </c>
    </row>
    <row r="67" spans="1:13" ht="15.2" customHeight="1" x14ac:dyDescent="0.2">
      <c r="A67" s="26" t="s">
        <v>9911</v>
      </c>
      <c r="B67" s="27" t="s">
        <v>9912</v>
      </c>
      <c r="C67" s="28">
        <v>1</v>
      </c>
      <c r="D67" s="29">
        <v>17</v>
      </c>
      <c r="E67" s="29">
        <v>17</v>
      </c>
      <c r="F67" s="30">
        <v>42.99</v>
      </c>
      <c r="G67" s="29">
        <v>42.99</v>
      </c>
      <c r="H67" s="28" t="s">
        <v>1157</v>
      </c>
      <c r="I67" s="27" t="s">
        <v>22</v>
      </c>
      <c r="J67" s="31" t="s">
        <v>40</v>
      </c>
      <c r="K67" s="27" t="s">
        <v>70</v>
      </c>
      <c r="L67" s="27" t="s">
        <v>25</v>
      </c>
      <c r="M67" s="32" t="str">
        <f>HYPERLINK("http://slimages.macys.com/is/image/MCY/3563258 ")</f>
        <v xml:space="preserve">http://slimages.macys.com/is/image/MCY/3563258 </v>
      </c>
    </row>
    <row r="68" spans="1:13" ht="15.2" customHeight="1" x14ac:dyDescent="0.2">
      <c r="A68" s="26" t="s">
        <v>1155</v>
      </c>
      <c r="B68" s="27" t="s">
        <v>1156</v>
      </c>
      <c r="C68" s="28">
        <v>1</v>
      </c>
      <c r="D68" s="29">
        <v>17</v>
      </c>
      <c r="E68" s="29">
        <v>17</v>
      </c>
      <c r="F68" s="30">
        <v>42.99</v>
      </c>
      <c r="G68" s="29">
        <v>42.99</v>
      </c>
      <c r="H68" s="28" t="s">
        <v>1157</v>
      </c>
      <c r="I68" s="27" t="s">
        <v>22</v>
      </c>
      <c r="J68" s="31" t="s">
        <v>21</v>
      </c>
      <c r="K68" s="27" t="s">
        <v>70</v>
      </c>
      <c r="L68" s="27" t="s">
        <v>25</v>
      </c>
      <c r="M68" s="32" t="str">
        <f>HYPERLINK("http://slimages.macys.com/is/image/MCY/3563258 ")</f>
        <v xml:space="preserve">http://slimages.macys.com/is/image/MCY/3563258 </v>
      </c>
    </row>
    <row r="69" spans="1:13" ht="15.2" customHeight="1" x14ac:dyDescent="0.2">
      <c r="A69" s="26" t="s">
        <v>8198</v>
      </c>
      <c r="B69" s="27" t="s">
        <v>8199</v>
      </c>
      <c r="C69" s="28">
        <v>1</v>
      </c>
      <c r="D69" s="29">
        <v>17</v>
      </c>
      <c r="E69" s="29">
        <v>17</v>
      </c>
      <c r="F69" s="30">
        <v>42.99</v>
      </c>
      <c r="G69" s="29">
        <v>42.99</v>
      </c>
      <c r="H69" s="28" t="s">
        <v>1157</v>
      </c>
      <c r="I69" s="27" t="s">
        <v>22</v>
      </c>
      <c r="J69" s="31" t="s">
        <v>5</v>
      </c>
      <c r="K69" s="27" t="s">
        <v>70</v>
      </c>
      <c r="L69" s="27" t="s">
        <v>25</v>
      </c>
      <c r="M69" s="32" t="str">
        <f>HYPERLINK("http://slimages.macys.com/is/image/MCY/3563258 ")</f>
        <v xml:space="preserve">http://slimages.macys.com/is/image/MCY/3563258 </v>
      </c>
    </row>
    <row r="70" spans="1:13" ht="15.2" customHeight="1" x14ac:dyDescent="0.2">
      <c r="A70" s="26" t="s">
        <v>11671</v>
      </c>
      <c r="B70" s="27" t="s">
        <v>11672</v>
      </c>
      <c r="C70" s="28">
        <v>1</v>
      </c>
      <c r="D70" s="29">
        <v>17</v>
      </c>
      <c r="E70" s="29">
        <v>17</v>
      </c>
      <c r="F70" s="30">
        <v>41.99</v>
      </c>
      <c r="G70" s="29">
        <v>41.99</v>
      </c>
      <c r="H70" s="28" t="s">
        <v>9893</v>
      </c>
      <c r="I70" s="27" t="s">
        <v>94</v>
      </c>
      <c r="J70" s="31" t="s">
        <v>21</v>
      </c>
      <c r="K70" s="27" t="s">
        <v>70</v>
      </c>
      <c r="L70" s="27" t="s">
        <v>650</v>
      </c>
      <c r="M70" s="32" t="str">
        <f>HYPERLINK("http://slimages.macys.com/is/image/MCY/3857889 ")</f>
        <v xml:space="preserve">http://slimages.macys.com/is/image/MCY/3857889 </v>
      </c>
    </row>
    <row r="71" spans="1:13" ht="15.2" customHeight="1" x14ac:dyDescent="0.2">
      <c r="A71" s="26" t="s">
        <v>11673</v>
      </c>
      <c r="B71" s="27" t="s">
        <v>11674</v>
      </c>
      <c r="C71" s="28">
        <v>2</v>
      </c>
      <c r="D71" s="29">
        <v>17</v>
      </c>
      <c r="E71" s="29">
        <v>34</v>
      </c>
      <c r="F71" s="30">
        <v>42.99</v>
      </c>
      <c r="G71" s="29">
        <v>85.98</v>
      </c>
      <c r="H71" s="28" t="s">
        <v>1157</v>
      </c>
      <c r="I71" s="27" t="s">
        <v>22</v>
      </c>
      <c r="J71" s="31" t="s">
        <v>52</v>
      </c>
      <c r="K71" s="27" t="s">
        <v>70</v>
      </c>
      <c r="L71" s="27" t="s">
        <v>25</v>
      </c>
      <c r="M71" s="32" t="str">
        <f>HYPERLINK("http://slimages.macys.com/is/image/MCY/3563258 ")</f>
        <v xml:space="preserve">http://slimages.macys.com/is/image/MCY/3563258 </v>
      </c>
    </row>
    <row r="72" spans="1:13" ht="15.2" customHeight="1" x14ac:dyDescent="0.2">
      <c r="A72" s="26" t="s">
        <v>11675</v>
      </c>
      <c r="B72" s="27" t="s">
        <v>11676</v>
      </c>
      <c r="C72" s="28">
        <v>1</v>
      </c>
      <c r="D72" s="29">
        <v>16.940000000000001</v>
      </c>
      <c r="E72" s="29">
        <v>16.940000000000001</v>
      </c>
      <c r="F72" s="30">
        <v>44.5</v>
      </c>
      <c r="G72" s="29">
        <v>44.5</v>
      </c>
      <c r="H72" s="28" t="s">
        <v>6012</v>
      </c>
      <c r="I72" s="27" t="s">
        <v>49</v>
      </c>
      <c r="J72" s="31" t="s">
        <v>40</v>
      </c>
      <c r="K72" s="27" t="s">
        <v>41</v>
      </c>
      <c r="L72" s="27" t="s">
        <v>80</v>
      </c>
      <c r="M72" s="32" t="str">
        <f>HYPERLINK("http://slimages.macys.com/is/image/MCY/3646132 ")</f>
        <v xml:space="preserve">http://slimages.macys.com/is/image/MCY/3646132 </v>
      </c>
    </row>
    <row r="73" spans="1:13" ht="15.2" customHeight="1" x14ac:dyDescent="0.2">
      <c r="A73" s="26" t="s">
        <v>11677</v>
      </c>
      <c r="B73" s="27" t="s">
        <v>11678</v>
      </c>
      <c r="C73" s="28">
        <v>1</v>
      </c>
      <c r="D73" s="29">
        <v>16.75</v>
      </c>
      <c r="E73" s="29">
        <v>16.75</v>
      </c>
      <c r="F73" s="30">
        <v>49</v>
      </c>
      <c r="G73" s="29">
        <v>49</v>
      </c>
      <c r="H73" s="28" t="s">
        <v>11679</v>
      </c>
      <c r="I73" s="27" t="s">
        <v>36</v>
      </c>
      <c r="J73" s="31" t="s">
        <v>71</v>
      </c>
      <c r="K73" s="27" t="s">
        <v>37</v>
      </c>
      <c r="L73" s="27" t="s">
        <v>38</v>
      </c>
      <c r="M73" s="32" t="str">
        <f>HYPERLINK("http://slimages.macys.com/is/image/MCY/3617953 ")</f>
        <v xml:space="preserve">http://slimages.macys.com/is/image/MCY/3617953 </v>
      </c>
    </row>
    <row r="74" spans="1:13" ht="15.2" customHeight="1" x14ac:dyDescent="0.2">
      <c r="A74" s="26" t="s">
        <v>6907</v>
      </c>
      <c r="B74" s="27" t="s">
        <v>6908</v>
      </c>
      <c r="C74" s="28">
        <v>1</v>
      </c>
      <c r="D74" s="29">
        <v>16.25</v>
      </c>
      <c r="E74" s="29">
        <v>16.25</v>
      </c>
      <c r="F74" s="30">
        <v>44.5</v>
      </c>
      <c r="G74" s="29">
        <v>44.5</v>
      </c>
      <c r="H74" s="28" t="s">
        <v>6909</v>
      </c>
      <c r="I74" s="27" t="s">
        <v>4</v>
      </c>
      <c r="J74" s="31" t="s">
        <v>52</v>
      </c>
      <c r="K74" s="27" t="s">
        <v>53</v>
      </c>
      <c r="L74" s="27" t="s">
        <v>54</v>
      </c>
      <c r="M74" s="32" t="str">
        <f>HYPERLINK("http://slimages.macys.com/is/image/MCY/3582142 ")</f>
        <v xml:space="preserve">http://slimages.macys.com/is/image/MCY/3582142 </v>
      </c>
    </row>
    <row r="75" spans="1:13" ht="15.2" customHeight="1" x14ac:dyDescent="0.2">
      <c r="A75" s="26" t="s">
        <v>4989</v>
      </c>
      <c r="B75" s="27" t="s">
        <v>4990</v>
      </c>
      <c r="C75" s="28">
        <v>1</v>
      </c>
      <c r="D75" s="29">
        <v>16.239999999999998</v>
      </c>
      <c r="E75" s="29">
        <v>16.239999999999998</v>
      </c>
      <c r="F75" s="30">
        <v>44.5</v>
      </c>
      <c r="G75" s="29">
        <v>44.5</v>
      </c>
      <c r="H75" s="28" t="s">
        <v>2105</v>
      </c>
      <c r="I75" s="27" t="s">
        <v>4</v>
      </c>
      <c r="J75" s="31" t="s">
        <v>21</v>
      </c>
      <c r="K75" s="27" t="s">
        <v>53</v>
      </c>
      <c r="L75" s="27" t="s">
        <v>54</v>
      </c>
      <c r="M75" s="32" t="str">
        <f>HYPERLINK("http://slimages.macys.com/is/image/MCY/3811529 ")</f>
        <v xml:space="preserve">http://slimages.macys.com/is/image/MCY/3811529 </v>
      </c>
    </row>
    <row r="76" spans="1:13" ht="15.2" customHeight="1" x14ac:dyDescent="0.2">
      <c r="A76" s="26" t="s">
        <v>7921</v>
      </c>
      <c r="B76" s="27" t="s">
        <v>7922</v>
      </c>
      <c r="C76" s="28">
        <v>1</v>
      </c>
      <c r="D76" s="29">
        <v>16.239999999999998</v>
      </c>
      <c r="E76" s="29">
        <v>16.239999999999998</v>
      </c>
      <c r="F76" s="30">
        <v>44.5</v>
      </c>
      <c r="G76" s="29">
        <v>44.5</v>
      </c>
      <c r="H76" s="28" t="s">
        <v>140</v>
      </c>
      <c r="I76" s="27" t="s">
        <v>10</v>
      </c>
      <c r="J76" s="31" t="s">
        <v>40</v>
      </c>
      <c r="K76" s="27" t="s">
        <v>41</v>
      </c>
      <c r="L76" s="27" t="s">
        <v>90</v>
      </c>
      <c r="M76" s="32" t="str">
        <f>HYPERLINK("http://slimages.macys.com/is/image/MCY/3774436 ")</f>
        <v xml:space="preserve">http://slimages.macys.com/is/image/MCY/3774436 </v>
      </c>
    </row>
    <row r="77" spans="1:13" ht="15.2" customHeight="1" x14ac:dyDescent="0.2">
      <c r="A77" s="26" t="s">
        <v>2103</v>
      </c>
      <c r="B77" s="27" t="s">
        <v>2104</v>
      </c>
      <c r="C77" s="28">
        <v>1</v>
      </c>
      <c r="D77" s="29">
        <v>16.239999999999998</v>
      </c>
      <c r="E77" s="29">
        <v>16.239999999999998</v>
      </c>
      <c r="F77" s="30">
        <v>44.5</v>
      </c>
      <c r="G77" s="29">
        <v>44.5</v>
      </c>
      <c r="H77" s="28" t="s">
        <v>2105</v>
      </c>
      <c r="I77" s="27" t="s">
        <v>4</v>
      </c>
      <c r="J77" s="31" t="s">
        <v>5</v>
      </c>
      <c r="K77" s="27" t="s">
        <v>53</v>
      </c>
      <c r="L77" s="27" t="s">
        <v>54</v>
      </c>
      <c r="M77" s="32" t="str">
        <f>HYPERLINK("http://slimages.macys.com/is/image/MCY/3811529 ")</f>
        <v xml:space="preserve">http://slimages.macys.com/is/image/MCY/3811529 </v>
      </c>
    </row>
    <row r="78" spans="1:13" ht="15.2" customHeight="1" x14ac:dyDescent="0.2">
      <c r="A78" s="26" t="s">
        <v>6150</v>
      </c>
      <c r="B78" s="27" t="s">
        <v>6151</v>
      </c>
      <c r="C78" s="28">
        <v>1</v>
      </c>
      <c r="D78" s="29">
        <v>16.239999999999998</v>
      </c>
      <c r="E78" s="29">
        <v>16.239999999999998</v>
      </c>
      <c r="F78" s="30">
        <v>44.5</v>
      </c>
      <c r="G78" s="29">
        <v>44.5</v>
      </c>
      <c r="H78" s="28" t="s">
        <v>706</v>
      </c>
      <c r="I78" s="27" t="s">
        <v>22</v>
      </c>
      <c r="J78" s="31" t="s">
        <v>40</v>
      </c>
      <c r="K78" s="27" t="s">
        <v>41</v>
      </c>
      <c r="L78" s="27" t="s">
        <v>90</v>
      </c>
      <c r="M78" s="32" t="str">
        <f>HYPERLINK("http://slimages.macys.com/is/image/MCY/3774436 ")</f>
        <v xml:space="preserve">http://slimages.macys.com/is/image/MCY/3774436 </v>
      </c>
    </row>
    <row r="79" spans="1:13" ht="15.2" customHeight="1" x14ac:dyDescent="0.2">
      <c r="A79" s="26" t="s">
        <v>11680</v>
      </c>
      <c r="B79" s="27" t="s">
        <v>11681</v>
      </c>
      <c r="C79" s="28">
        <v>1</v>
      </c>
      <c r="D79" s="29">
        <v>16.239999999999998</v>
      </c>
      <c r="E79" s="29">
        <v>16.239999999999998</v>
      </c>
      <c r="F79" s="30">
        <v>44.5</v>
      </c>
      <c r="G79" s="29">
        <v>44.5</v>
      </c>
      <c r="H79" s="28" t="s">
        <v>8603</v>
      </c>
      <c r="I79" s="27" t="s">
        <v>4</v>
      </c>
      <c r="J79" s="31" t="s">
        <v>71</v>
      </c>
      <c r="K79" s="27" t="s">
        <v>53</v>
      </c>
      <c r="L79" s="27" t="s">
        <v>54</v>
      </c>
      <c r="M79" s="32" t="str">
        <f>HYPERLINK("http://slimages.macys.com/is/image/MCY/3510157 ")</f>
        <v xml:space="preserve">http://slimages.macys.com/is/image/MCY/3510157 </v>
      </c>
    </row>
    <row r="80" spans="1:13" ht="15.2" customHeight="1" x14ac:dyDescent="0.2">
      <c r="A80" s="26" t="s">
        <v>6912</v>
      </c>
      <c r="B80" s="27" t="s">
        <v>6913</v>
      </c>
      <c r="C80" s="28">
        <v>2</v>
      </c>
      <c r="D80" s="29">
        <v>16.239999999999998</v>
      </c>
      <c r="E80" s="29">
        <v>32.479999999999997</v>
      </c>
      <c r="F80" s="30">
        <v>44.5</v>
      </c>
      <c r="G80" s="29">
        <v>89</v>
      </c>
      <c r="H80" s="28">
        <v>40329</v>
      </c>
      <c r="I80" s="27" t="s">
        <v>94</v>
      </c>
      <c r="J80" s="31" t="s">
        <v>21</v>
      </c>
      <c r="K80" s="27" t="s">
        <v>41</v>
      </c>
      <c r="L80" s="27" t="s">
        <v>90</v>
      </c>
      <c r="M80" s="32" t="str">
        <f>HYPERLINK("http://slimages.macys.com/is/image/MCY/3774436 ")</f>
        <v xml:space="preserve">http://slimages.macys.com/is/image/MCY/3774436 </v>
      </c>
    </row>
    <row r="81" spans="1:13" ht="15.2" customHeight="1" x14ac:dyDescent="0.2">
      <c r="A81" s="26" t="s">
        <v>1756</v>
      </c>
      <c r="B81" s="27" t="s">
        <v>1757</v>
      </c>
      <c r="C81" s="28">
        <v>1</v>
      </c>
      <c r="D81" s="29">
        <v>16.239999999999998</v>
      </c>
      <c r="E81" s="29">
        <v>16.239999999999998</v>
      </c>
      <c r="F81" s="30">
        <v>44.5</v>
      </c>
      <c r="G81" s="29">
        <v>44.5</v>
      </c>
      <c r="H81" s="28" t="s">
        <v>141</v>
      </c>
      <c r="I81" s="27" t="s">
        <v>22</v>
      </c>
      <c r="J81" s="31" t="s">
        <v>5</v>
      </c>
      <c r="K81" s="27" t="s">
        <v>41</v>
      </c>
      <c r="L81" s="27" t="s">
        <v>45</v>
      </c>
      <c r="M81" s="32" t="str">
        <f>HYPERLINK("http://slimages.macys.com/is/image/MCY/3802073 ")</f>
        <v xml:space="preserve">http://slimages.macys.com/is/image/MCY/3802073 </v>
      </c>
    </row>
    <row r="82" spans="1:13" ht="15.2" customHeight="1" x14ac:dyDescent="0.2">
      <c r="A82" s="26" t="s">
        <v>7502</v>
      </c>
      <c r="B82" s="27" t="s">
        <v>7503</v>
      </c>
      <c r="C82" s="28">
        <v>1</v>
      </c>
      <c r="D82" s="29">
        <v>16.239999999999998</v>
      </c>
      <c r="E82" s="29">
        <v>16.239999999999998</v>
      </c>
      <c r="F82" s="30">
        <v>44.5</v>
      </c>
      <c r="G82" s="29">
        <v>44.5</v>
      </c>
      <c r="H82" s="28" t="s">
        <v>711</v>
      </c>
      <c r="I82" s="27" t="s">
        <v>49</v>
      </c>
      <c r="J82" s="31" t="s">
        <v>5</v>
      </c>
      <c r="K82" s="27" t="s">
        <v>41</v>
      </c>
      <c r="L82" s="27" t="s">
        <v>90</v>
      </c>
      <c r="M82" s="32" t="str">
        <f>HYPERLINK("http://slimages.macys.com/is/image/MCY/3774436 ")</f>
        <v xml:space="preserve">http://slimages.macys.com/is/image/MCY/3774436 </v>
      </c>
    </row>
    <row r="83" spans="1:13" ht="15.2" customHeight="1" x14ac:dyDescent="0.2">
      <c r="A83" s="26" t="s">
        <v>8466</v>
      </c>
      <c r="B83" s="27" t="s">
        <v>8467</v>
      </c>
      <c r="C83" s="28">
        <v>1</v>
      </c>
      <c r="D83" s="29">
        <v>16.239999999999998</v>
      </c>
      <c r="E83" s="29">
        <v>16.239999999999998</v>
      </c>
      <c r="F83" s="30">
        <v>44.5</v>
      </c>
      <c r="G83" s="29">
        <v>44.5</v>
      </c>
      <c r="H83" s="28">
        <v>40329</v>
      </c>
      <c r="I83" s="27" t="s">
        <v>94</v>
      </c>
      <c r="J83" s="31" t="s">
        <v>71</v>
      </c>
      <c r="K83" s="27" t="s">
        <v>41</v>
      </c>
      <c r="L83" s="27" t="s">
        <v>90</v>
      </c>
      <c r="M83" s="32" t="str">
        <f>HYPERLINK("http://slimages.macys.com/is/image/MCY/3774436 ")</f>
        <v xml:space="preserve">http://slimages.macys.com/is/image/MCY/3774436 </v>
      </c>
    </row>
    <row r="84" spans="1:13" ht="15.2" customHeight="1" x14ac:dyDescent="0.2">
      <c r="A84" s="26" t="s">
        <v>1758</v>
      </c>
      <c r="B84" s="27" t="s">
        <v>1759</v>
      </c>
      <c r="C84" s="28">
        <v>2</v>
      </c>
      <c r="D84" s="29">
        <v>16.239999999999998</v>
      </c>
      <c r="E84" s="29">
        <v>32.479999999999997</v>
      </c>
      <c r="F84" s="30">
        <v>44.5</v>
      </c>
      <c r="G84" s="29">
        <v>89</v>
      </c>
      <c r="H84" s="28" t="s">
        <v>711</v>
      </c>
      <c r="I84" s="27" t="s">
        <v>49</v>
      </c>
      <c r="J84" s="31" t="s">
        <v>21</v>
      </c>
      <c r="K84" s="27" t="s">
        <v>41</v>
      </c>
      <c r="L84" s="27" t="s">
        <v>90</v>
      </c>
      <c r="M84" s="32" t="str">
        <f>HYPERLINK("http://slimages.macys.com/is/image/MCY/3774436 ")</f>
        <v xml:space="preserve">http://slimages.macys.com/is/image/MCY/3774436 </v>
      </c>
    </row>
    <row r="85" spans="1:13" ht="15.2" customHeight="1" x14ac:dyDescent="0.2">
      <c r="A85" s="26" t="s">
        <v>709</v>
      </c>
      <c r="B85" s="27" t="s">
        <v>710</v>
      </c>
      <c r="C85" s="28">
        <v>1</v>
      </c>
      <c r="D85" s="29">
        <v>16.239999999999998</v>
      </c>
      <c r="E85" s="29">
        <v>16.239999999999998</v>
      </c>
      <c r="F85" s="30">
        <v>44.5</v>
      </c>
      <c r="G85" s="29">
        <v>44.5</v>
      </c>
      <c r="H85" s="28" t="s">
        <v>711</v>
      </c>
      <c r="I85" s="27" t="s">
        <v>49</v>
      </c>
      <c r="J85" s="31" t="s">
        <v>52</v>
      </c>
      <c r="K85" s="27" t="s">
        <v>41</v>
      </c>
      <c r="L85" s="27" t="s">
        <v>90</v>
      </c>
      <c r="M85" s="32" t="str">
        <f>HYPERLINK("http://slimages.macys.com/is/image/MCY/3774436 ")</f>
        <v xml:space="preserve">http://slimages.macys.com/is/image/MCY/3774436 </v>
      </c>
    </row>
    <row r="86" spans="1:13" ht="15.2" customHeight="1" x14ac:dyDescent="0.2">
      <c r="A86" s="26" t="s">
        <v>11682</v>
      </c>
      <c r="B86" s="27" t="s">
        <v>11683</v>
      </c>
      <c r="C86" s="28">
        <v>1</v>
      </c>
      <c r="D86" s="29">
        <v>16.02</v>
      </c>
      <c r="E86" s="29">
        <v>16.02</v>
      </c>
      <c r="F86" s="30">
        <v>44.5</v>
      </c>
      <c r="G86" s="29">
        <v>44.5</v>
      </c>
      <c r="H86" s="28" t="s">
        <v>11684</v>
      </c>
      <c r="I86" s="27" t="s">
        <v>4</v>
      </c>
      <c r="J86" s="31" t="s">
        <v>5</v>
      </c>
      <c r="K86" s="27" t="s">
        <v>27</v>
      </c>
      <c r="L86" s="27" t="s">
        <v>28</v>
      </c>
      <c r="M86" s="32" t="str">
        <f>HYPERLINK("http://slimages.macys.com/is/image/MCY/3565687 ")</f>
        <v xml:space="preserve">http://slimages.macys.com/is/image/MCY/3565687 </v>
      </c>
    </row>
    <row r="87" spans="1:13" ht="15.2" customHeight="1" x14ac:dyDescent="0.2">
      <c r="A87" s="26" t="s">
        <v>11685</v>
      </c>
      <c r="B87" s="27" t="s">
        <v>11686</v>
      </c>
      <c r="C87" s="28">
        <v>1</v>
      </c>
      <c r="D87" s="29">
        <v>16</v>
      </c>
      <c r="E87" s="29">
        <v>16</v>
      </c>
      <c r="F87" s="30">
        <v>39.99</v>
      </c>
      <c r="G87" s="29">
        <v>39.99</v>
      </c>
      <c r="H87" s="28" t="s">
        <v>11687</v>
      </c>
      <c r="I87" s="27" t="s">
        <v>26</v>
      </c>
      <c r="J87" s="31" t="s">
        <v>52</v>
      </c>
      <c r="K87" s="27" t="s">
        <v>70</v>
      </c>
      <c r="L87" s="27" t="s">
        <v>650</v>
      </c>
      <c r="M87" s="32" t="str">
        <f>HYPERLINK("http://slimages.macys.com/is/image/MCY/3866656 ")</f>
        <v xml:space="preserve">http://slimages.macys.com/is/image/MCY/3866656 </v>
      </c>
    </row>
    <row r="88" spans="1:13" ht="15.2" customHeight="1" x14ac:dyDescent="0.2">
      <c r="A88" s="26" t="s">
        <v>11688</v>
      </c>
      <c r="B88" s="27" t="s">
        <v>11689</v>
      </c>
      <c r="C88" s="28">
        <v>1</v>
      </c>
      <c r="D88" s="29">
        <v>15.95</v>
      </c>
      <c r="E88" s="29">
        <v>15.95</v>
      </c>
      <c r="F88" s="30">
        <v>44.5</v>
      </c>
      <c r="G88" s="29">
        <v>44.5</v>
      </c>
      <c r="H88" s="28" t="s">
        <v>10280</v>
      </c>
      <c r="I88" s="27" t="s">
        <v>144</v>
      </c>
      <c r="J88" s="31" t="s">
        <v>71</v>
      </c>
      <c r="K88" s="27" t="s">
        <v>41</v>
      </c>
      <c r="L88" s="27" t="s">
        <v>45</v>
      </c>
      <c r="M88" s="32" t="str">
        <f>HYPERLINK("http://slimages.macys.com/is/image/MCY/3501071 ")</f>
        <v xml:space="preserve">http://slimages.macys.com/is/image/MCY/3501071 </v>
      </c>
    </row>
    <row r="89" spans="1:13" ht="15.2" customHeight="1" x14ac:dyDescent="0.2">
      <c r="A89" s="26" t="s">
        <v>11690</v>
      </c>
      <c r="B89" s="27" t="s">
        <v>11691</v>
      </c>
      <c r="C89" s="28">
        <v>1</v>
      </c>
      <c r="D89" s="29">
        <v>15.79</v>
      </c>
      <c r="E89" s="29">
        <v>15.79</v>
      </c>
      <c r="F89" s="30">
        <v>44.5</v>
      </c>
      <c r="G89" s="29">
        <v>44.5</v>
      </c>
      <c r="H89" s="28" t="s">
        <v>11692</v>
      </c>
      <c r="I89" s="27" t="s">
        <v>10</v>
      </c>
      <c r="J89" s="31" t="s">
        <v>52</v>
      </c>
      <c r="K89" s="27" t="s">
        <v>53</v>
      </c>
      <c r="L89" s="27" t="s">
        <v>54</v>
      </c>
      <c r="M89" s="32" t="str">
        <f>HYPERLINK("http://slimages.macys.com/is/image/MCY/3417720 ")</f>
        <v xml:space="preserve">http://slimages.macys.com/is/image/MCY/3417720 </v>
      </c>
    </row>
    <row r="90" spans="1:13" ht="15.2" customHeight="1" x14ac:dyDescent="0.2">
      <c r="A90" s="26" t="s">
        <v>10795</v>
      </c>
      <c r="B90" s="27" t="s">
        <v>10796</v>
      </c>
      <c r="C90" s="28">
        <v>1</v>
      </c>
      <c r="D90" s="29">
        <v>15.75</v>
      </c>
      <c r="E90" s="29">
        <v>15.75</v>
      </c>
      <c r="F90" s="30">
        <v>49</v>
      </c>
      <c r="G90" s="29">
        <v>49</v>
      </c>
      <c r="H90" s="28" t="s">
        <v>1166</v>
      </c>
      <c r="I90" s="27" t="s">
        <v>377</v>
      </c>
      <c r="J90" s="31" t="s">
        <v>5</v>
      </c>
      <c r="K90" s="27" t="s">
        <v>37</v>
      </c>
      <c r="L90" s="27" t="s">
        <v>38</v>
      </c>
      <c r="M90" s="32" t="str">
        <f>HYPERLINK("http://slimages.macys.com/is/image/MCY/3670401 ")</f>
        <v xml:space="preserve">http://slimages.macys.com/is/image/MCY/3670401 </v>
      </c>
    </row>
    <row r="91" spans="1:13" ht="15.2" customHeight="1" x14ac:dyDescent="0.2">
      <c r="A91" s="26" t="s">
        <v>11693</v>
      </c>
      <c r="B91" s="27" t="s">
        <v>11694</v>
      </c>
      <c r="C91" s="28">
        <v>1</v>
      </c>
      <c r="D91" s="29">
        <v>15.75</v>
      </c>
      <c r="E91" s="29">
        <v>15.75</v>
      </c>
      <c r="F91" s="30">
        <v>59</v>
      </c>
      <c r="G91" s="29">
        <v>59</v>
      </c>
      <c r="H91" s="28" t="s">
        <v>11695</v>
      </c>
      <c r="I91" s="27" t="s">
        <v>144</v>
      </c>
      <c r="J91" s="31" t="s">
        <v>5</v>
      </c>
      <c r="K91" s="27" t="s">
        <v>42</v>
      </c>
      <c r="L91" s="27" t="s">
        <v>43</v>
      </c>
      <c r="M91" s="32" t="str">
        <f>HYPERLINK("http://slimages.macys.com/is/image/MCY/3533825 ")</f>
        <v xml:space="preserve">http://slimages.macys.com/is/image/MCY/3533825 </v>
      </c>
    </row>
    <row r="92" spans="1:13" ht="15.2" customHeight="1" x14ac:dyDescent="0.2">
      <c r="A92" s="26" t="s">
        <v>9011</v>
      </c>
      <c r="B92" s="27" t="s">
        <v>9012</v>
      </c>
      <c r="C92" s="28">
        <v>1</v>
      </c>
      <c r="D92" s="29">
        <v>15.4</v>
      </c>
      <c r="E92" s="29">
        <v>15.4</v>
      </c>
      <c r="F92" s="30">
        <v>44</v>
      </c>
      <c r="G92" s="29">
        <v>44</v>
      </c>
      <c r="H92" s="28" t="s">
        <v>5417</v>
      </c>
      <c r="I92" s="27" t="s">
        <v>36</v>
      </c>
      <c r="J92" s="31" t="s">
        <v>71</v>
      </c>
      <c r="K92" s="27" t="s">
        <v>37</v>
      </c>
      <c r="L92" s="27" t="s">
        <v>38</v>
      </c>
      <c r="M92" s="32" t="str">
        <f>HYPERLINK("http://slimages.macys.com/is/image/MCY/3717671 ")</f>
        <v xml:space="preserve">http://slimages.macys.com/is/image/MCY/3717671 </v>
      </c>
    </row>
    <row r="93" spans="1:13" ht="15.2" customHeight="1" x14ac:dyDescent="0.2">
      <c r="A93" s="26" t="s">
        <v>11696</v>
      </c>
      <c r="B93" s="27" t="s">
        <v>11697</v>
      </c>
      <c r="C93" s="28">
        <v>1</v>
      </c>
      <c r="D93" s="29">
        <v>15</v>
      </c>
      <c r="E93" s="29">
        <v>15</v>
      </c>
      <c r="F93" s="30">
        <v>39.5</v>
      </c>
      <c r="G93" s="29">
        <v>39.5</v>
      </c>
      <c r="H93" s="28" t="s">
        <v>10227</v>
      </c>
      <c r="I93" s="27" t="s">
        <v>82</v>
      </c>
      <c r="J93" s="31" t="s">
        <v>40</v>
      </c>
      <c r="K93" s="27" t="s">
        <v>17</v>
      </c>
      <c r="L93" s="27" t="s">
        <v>18</v>
      </c>
      <c r="M93" s="32" t="str">
        <f>HYPERLINK("http://slimages.macys.com/is/image/MCY/3750209 ")</f>
        <v xml:space="preserve">http://slimages.macys.com/is/image/MCY/3750209 </v>
      </c>
    </row>
    <row r="94" spans="1:13" ht="15.2" customHeight="1" x14ac:dyDescent="0.2">
      <c r="A94" s="26" t="s">
        <v>11698</v>
      </c>
      <c r="B94" s="27" t="s">
        <v>11699</v>
      </c>
      <c r="C94" s="28">
        <v>1</v>
      </c>
      <c r="D94" s="29">
        <v>15</v>
      </c>
      <c r="E94" s="29">
        <v>15</v>
      </c>
      <c r="F94" s="30">
        <v>35.99</v>
      </c>
      <c r="G94" s="29">
        <v>35.99</v>
      </c>
      <c r="H94" s="28" t="s">
        <v>7732</v>
      </c>
      <c r="I94" s="27" t="s">
        <v>4</v>
      </c>
      <c r="J94" s="31" t="s">
        <v>230</v>
      </c>
      <c r="K94" s="27" t="s">
        <v>70</v>
      </c>
      <c r="L94" s="27" t="s">
        <v>1079</v>
      </c>
      <c r="M94" s="32" t="str">
        <f>HYPERLINK("http://slimages.macys.com/is/image/MCY/3666150 ")</f>
        <v xml:space="preserve">http://slimages.macys.com/is/image/MCY/3666150 </v>
      </c>
    </row>
    <row r="95" spans="1:13" ht="15.2" customHeight="1" x14ac:dyDescent="0.2">
      <c r="A95" s="26" t="s">
        <v>8774</v>
      </c>
      <c r="B95" s="27" t="s">
        <v>8775</v>
      </c>
      <c r="C95" s="28">
        <v>1</v>
      </c>
      <c r="D95" s="29">
        <v>14.59</v>
      </c>
      <c r="E95" s="29">
        <v>14.59</v>
      </c>
      <c r="F95" s="30">
        <v>36.99</v>
      </c>
      <c r="G95" s="29">
        <v>36.99</v>
      </c>
      <c r="H95" s="28" t="s">
        <v>6024</v>
      </c>
      <c r="I95" s="27" t="s">
        <v>10</v>
      </c>
      <c r="J95" s="31" t="s">
        <v>71</v>
      </c>
      <c r="K95" s="27" t="s">
        <v>70</v>
      </c>
      <c r="L95" s="27" t="s">
        <v>101</v>
      </c>
      <c r="M95" s="32" t="str">
        <f>HYPERLINK("http://slimages.macys.com/is/image/MCY/3823095 ")</f>
        <v xml:space="preserve">http://slimages.macys.com/is/image/MCY/3823095 </v>
      </c>
    </row>
    <row r="96" spans="1:13" ht="15.2" customHeight="1" x14ac:dyDescent="0.2">
      <c r="A96" s="26" t="s">
        <v>11700</v>
      </c>
      <c r="B96" s="27" t="s">
        <v>11701</v>
      </c>
      <c r="C96" s="28">
        <v>1</v>
      </c>
      <c r="D96" s="29">
        <v>14.5</v>
      </c>
      <c r="E96" s="29">
        <v>14.5</v>
      </c>
      <c r="F96" s="30">
        <v>39.5</v>
      </c>
      <c r="G96" s="29">
        <v>39.5</v>
      </c>
      <c r="H96" s="28" t="s">
        <v>11702</v>
      </c>
      <c r="I96" s="27" t="s">
        <v>26</v>
      </c>
      <c r="J96" s="31" t="s">
        <v>21</v>
      </c>
      <c r="K96" s="27" t="s">
        <v>53</v>
      </c>
      <c r="L96" s="27" t="s">
        <v>54</v>
      </c>
      <c r="M96" s="32" t="str">
        <f>HYPERLINK("http://slimages.macys.com/is/image/MCY/3578526 ")</f>
        <v xml:space="preserve">http://slimages.macys.com/is/image/MCY/3578526 </v>
      </c>
    </row>
    <row r="97" spans="1:13" ht="15.2" customHeight="1" x14ac:dyDescent="0.2">
      <c r="A97" s="26" t="s">
        <v>11586</v>
      </c>
      <c r="B97" s="27" t="s">
        <v>11587</v>
      </c>
      <c r="C97" s="28">
        <v>1</v>
      </c>
      <c r="D97" s="29">
        <v>14.5</v>
      </c>
      <c r="E97" s="29">
        <v>14.5</v>
      </c>
      <c r="F97" s="30">
        <v>35.99</v>
      </c>
      <c r="G97" s="29">
        <v>35.99</v>
      </c>
      <c r="H97" s="28" t="s">
        <v>10320</v>
      </c>
      <c r="I97" s="27" t="s">
        <v>4</v>
      </c>
      <c r="J97" s="31" t="s">
        <v>5</v>
      </c>
      <c r="K97" s="27" t="s">
        <v>70</v>
      </c>
      <c r="L97" s="27" t="s">
        <v>128</v>
      </c>
      <c r="M97" s="32" t="str">
        <f>HYPERLINK("http://slimages.macys.com/is/image/MCY/3625975 ")</f>
        <v xml:space="preserve">http://slimages.macys.com/is/image/MCY/3625975 </v>
      </c>
    </row>
    <row r="98" spans="1:13" ht="15.2" customHeight="1" x14ac:dyDescent="0.2">
      <c r="A98" s="26" t="s">
        <v>9566</v>
      </c>
      <c r="B98" s="27" t="s">
        <v>9567</v>
      </c>
      <c r="C98" s="28">
        <v>1</v>
      </c>
      <c r="D98" s="29">
        <v>14.49</v>
      </c>
      <c r="E98" s="29">
        <v>14.49</v>
      </c>
      <c r="F98" s="30">
        <v>39.5</v>
      </c>
      <c r="G98" s="29">
        <v>39.5</v>
      </c>
      <c r="H98" s="28" t="s">
        <v>8606</v>
      </c>
      <c r="I98" s="27" t="s">
        <v>94</v>
      </c>
      <c r="J98" s="31" t="s">
        <v>71</v>
      </c>
      <c r="K98" s="27" t="s">
        <v>53</v>
      </c>
      <c r="L98" s="27" t="s">
        <v>54</v>
      </c>
      <c r="M98" s="32" t="str">
        <f>HYPERLINK("http://slimages.macys.com/is/image/MCY/3547385 ")</f>
        <v xml:space="preserve">http://slimages.macys.com/is/image/MCY/3547385 </v>
      </c>
    </row>
    <row r="99" spans="1:13" ht="15.2" customHeight="1" x14ac:dyDescent="0.2">
      <c r="A99" s="26" t="s">
        <v>11703</v>
      </c>
      <c r="B99" s="27" t="s">
        <v>11704</v>
      </c>
      <c r="C99" s="28">
        <v>1</v>
      </c>
      <c r="D99" s="29">
        <v>14.42</v>
      </c>
      <c r="E99" s="29">
        <v>14.42</v>
      </c>
      <c r="F99" s="30">
        <v>39.5</v>
      </c>
      <c r="G99" s="29">
        <v>39.5</v>
      </c>
      <c r="H99" s="28" t="s">
        <v>11018</v>
      </c>
      <c r="I99" s="27" t="s">
        <v>4</v>
      </c>
      <c r="J99" s="31" t="s">
        <v>52</v>
      </c>
      <c r="K99" s="27" t="s">
        <v>53</v>
      </c>
      <c r="L99" s="27" t="s">
        <v>54</v>
      </c>
      <c r="M99" s="32" t="str">
        <f>HYPERLINK("http://slimages.macys.com/is/image/MCY/3735145 ")</f>
        <v xml:space="preserve">http://slimages.macys.com/is/image/MCY/3735145 </v>
      </c>
    </row>
    <row r="100" spans="1:13" ht="15.2" customHeight="1" x14ac:dyDescent="0.2">
      <c r="A100" s="26" t="s">
        <v>11705</v>
      </c>
      <c r="B100" s="27" t="s">
        <v>11706</v>
      </c>
      <c r="C100" s="28">
        <v>1</v>
      </c>
      <c r="D100" s="29">
        <v>14.42</v>
      </c>
      <c r="E100" s="29">
        <v>14.42</v>
      </c>
      <c r="F100" s="30">
        <v>39.5</v>
      </c>
      <c r="G100" s="29">
        <v>39.5</v>
      </c>
      <c r="H100" s="28" t="s">
        <v>11018</v>
      </c>
      <c r="I100" s="27" t="s">
        <v>4</v>
      </c>
      <c r="J100" s="31" t="s">
        <v>71</v>
      </c>
      <c r="K100" s="27" t="s">
        <v>53</v>
      </c>
      <c r="L100" s="27" t="s">
        <v>54</v>
      </c>
      <c r="M100" s="32" t="str">
        <f>HYPERLINK("http://slimages.macys.com/is/image/MCY/3735145 ")</f>
        <v xml:space="preserve">http://slimages.macys.com/is/image/MCY/3735145 </v>
      </c>
    </row>
    <row r="101" spans="1:13" ht="15.2" customHeight="1" x14ac:dyDescent="0.2">
      <c r="A101" s="26" t="s">
        <v>184</v>
      </c>
      <c r="B101" s="27" t="s">
        <v>185</v>
      </c>
      <c r="C101" s="28">
        <v>1</v>
      </c>
      <c r="D101" s="29">
        <v>14</v>
      </c>
      <c r="E101" s="29">
        <v>14</v>
      </c>
      <c r="F101" s="30">
        <v>44</v>
      </c>
      <c r="G101" s="29">
        <v>44</v>
      </c>
      <c r="H101" s="28" t="s">
        <v>186</v>
      </c>
      <c r="I101" s="27" t="s">
        <v>146</v>
      </c>
      <c r="J101" s="31" t="s">
        <v>71</v>
      </c>
      <c r="K101" s="27" t="s">
        <v>37</v>
      </c>
      <c r="L101" s="27" t="s">
        <v>38</v>
      </c>
      <c r="M101" s="32" t="str">
        <f>HYPERLINK("http://slimages.macys.com/is/image/MCY/3667831 ")</f>
        <v xml:space="preserve">http://slimages.macys.com/is/image/MCY/3667831 </v>
      </c>
    </row>
    <row r="102" spans="1:13" ht="15.2" customHeight="1" x14ac:dyDescent="0.2">
      <c r="A102" s="26" t="s">
        <v>9415</v>
      </c>
      <c r="B102" s="27" t="s">
        <v>9416</v>
      </c>
      <c r="C102" s="28">
        <v>1</v>
      </c>
      <c r="D102" s="29">
        <v>13.75</v>
      </c>
      <c r="E102" s="29">
        <v>13.75</v>
      </c>
      <c r="F102" s="30">
        <v>39.5</v>
      </c>
      <c r="G102" s="29">
        <v>39.5</v>
      </c>
      <c r="H102" s="28" t="s">
        <v>8607</v>
      </c>
      <c r="I102" s="27" t="s">
        <v>4</v>
      </c>
      <c r="J102" s="31" t="s">
        <v>65</v>
      </c>
      <c r="K102" s="27" t="s">
        <v>53</v>
      </c>
      <c r="L102" s="27" t="s">
        <v>54</v>
      </c>
      <c r="M102" s="32" t="str">
        <f>HYPERLINK("http://slimages.macys.com/is/image/MCY/3598893 ")</f>
        <v xml:space="preserve">http://slimages.macys.com/is/image/MCY/3598893 </v>
      </c>
    </row>
    <row r="103" spans="1:13" ht="15.2" customHeight="1" x14ac:dyDescent="0.2">
      <c r="A103" s="26" t="s">
        <v>7512</v>
      </c>
      <c r="B103" s="27" t="s">
        <v>7513</v>
      </c>
      <c r="C103" s="28">
        <v>1</v>
      </c>
      <c r="D103" s="29">
        <v>13.5</v>
      </c>
      <c r="E103" s="29">
        <v>13.5</v>
      </c>
      <c r="F103" s="30">
        <v>29.99</v>
      </c>
      <c r="G103" s="29">
        <v>29.99</v>
      </c>
      <c r="H103" s="28" t="s">
        <v>7514</v>
      </c>
      <c r="I103" s="27" t="s">
        <v>59</v>
      </c>
      <c r="J103" s="31" t="s">
        <v>69</v>
      </c>
      <c r="K103" s="27" t="s">
        <v>200</v>
      </c>
      <c r="L103" s="27" t="s">
        <v>741</v>
      </c>
      <c r="M103" s="32" t="str">
        <f>HYPERLINK("http://slimages.macys.com/is/image/MCY/3732749 ")</f>
        <v xml:space="preserve">http://slimages.macys.com/is/image/MCY/3732749 </v>
      </c>
    </row>
    <row r="104" spans="1:13" ht="15.2" customHeight="1" x14ac:dyDescent="0.2">
      <c r="A104" s="26" t="s">
        <v>9570</v>
      </c>
      <c r="B104" s="27" t="s">
        <v>9571</v>
      </c>
      <c r="C104" s="28">
        <v>1</v>
      </c>
      <c r="D104" s="29">
        <v>13.5</v>
      </c>
      <c r="E104" s="29">
        <v>13.5</v>
      </c>
      <c r="F104" s="30">
        <v>29.99</v>
      </c>
      <c r="G104" s="29">
        <v>29.99</v>
      </c>
      <c r="H104" s="28" t="s">
        <v>4823</v>
      </c>
      <c r="I104" s="27" t="s">
        <v>26</v>
      </c>
      <c r="J104" s="31" t="s">
        <v>214</v>
      </c>
      <c r="K104" s="27" t="s">
        <v>200</v>
      </c>
      <c r="L104" s="27" t="s">
        <v>287</v>
      </c>
      <c r="M104" s="32" t="str">
        <f>HYPERLINK("http://slimages.macys.com/is/image/MCY/3631723 ")</f>
        <v xml:space="preserve">http://slimages.macys.com/is/image/MCY/3631723 </v>
      </c>
    </row>
    <row r="105" spans="1:13" ht="15.2" customHeight="1" x14ac:dyDescent="0.2">
      <c r="A105" s="26" t="s">
        <v>1781</v>
      </c>
      <c r="B105" s="27" t="s">
        <v>1782</v>
      </c>
      <c r="C105" s="28">
        <v>1</v>
      </c>
      <c r="D105" s="29">
        <v>13.5</v>
      </c>
      <c r="E105" s="29">
        <v>13.5</v>
      </c>
      <c r="F105" s="30">
        <v>29.99</v>
      </c>
      <c r="G105" s="29">
        <v>29.99</v>
      </c>
      <c r="H105" s="28" t="s">
        <v>739</v>
      </c>
      <c r="I105" s="27" t="s">
        <v>189</v>
      </c>
      <c r="J105" s="31" t="s">
        <v>205</v>
      </c>
      <c r="K105" s="27" t="s">
        <v>200</v>
      </c>
      <c r="L105" s="27" t="s">
        <v>133</v>
      </c>
      <c r="M105" s="32" t="str">
        <f>HYPERLINK("http://slimages.macys.com/is/image/MCY/3866347 ")</f>
        <v xml:space="preserve">http://slimages.macys.com/is/image/MCY/3866347 </v>
      </c>
    </row>
    <row r="106" spans="1:13" ht="15.2" customHeight="1" x14ac:dyDescent="0.2">
      <c r="A106" s="26" t="s">
        <v>2861</v>
      </c>
      <c r="B106" s="27" t="s">
        <v>2862</v>
      </c>
      <c r="C106" s="28">
        <v>1</v>
      </c>
      <c r="D106" s="29">
        <v>13.5</v>
      </c>
      <c r="E106" s="29">
        <v>13.5</v>
      </c>
      <c r="F106" s="30">
        <v>29.99</v>
      </c>
      <c r="G106" s="29">
        <v>29.99</v>
      </c>
      <c r="H106" s="28" t="s">
        <v>739</v>
      </c>
      <c r="I106" s="27" t="s">
        <v>189</v>
      </c>
      <c r="J106" s="31" t="s">
        <v>234</v>
      </c>
      <c r="K106" s="27" t="s">
        <v>200</v>
      </c>
      <c r="L106" s="27" t="s">
        <v>133</v>
      </c>
      <c r="M106" s="32" t="str">
        <f>HYPERLINK("http://slimages.macys.com/is/image/MCY/3866347 ")</f>
        <v xml:space="preserve">http://slimages.macys.com/is/image/MCY/3866347 </v>
      </c>
    </row>
    <row r="107" spans="1:13" ht="15.2" customHeight="1" x14ac:dyDescent="0.2">
      <c r="A107" s="26" t="s">
        <v>2863</v>
      </c>
      <c r="B107" s="27" t="s">
        <v>2864</v>
      </c>
      <c r="C107" s="28">
        <v>1</v>
      </c>
      <c r="D107" s="29">
        <v>13.5</v>
      </c>
      <c r="E107" s="29">
        <v>13.5</v>
      </c>
      <c r="F107" s="30">
        <v>29.99</v>
      </c>
      <c r="G107" s="29">
        <v>29.99</v>
      </c>
      <c r="H107" s="28" t="s">
        <v>2865</v>
      </c>
      <c r="I107" s="27" t="s">
        <v>15</v>
      </c>
      <c r="J107" s="31" t="s">
        <v>21</v>
      </c>
      <c r="K107" s="27" t="s">
        <v>70</v>
      </c>
      <c r="L107" s="27" t="s">
        <v>101</v>
      </c>
      <c r="M107" s="32" t="str">
        <f>HYPERLINK("http://slimages.macys.com/is/image/MCY/3676859 ")</f>
        <v xml:space="preserve">http://slimages.macys.com/is/image/MCY/3676859 </v>
      </c>
    </row>
    <row r="108" spans="1:13" ht="15.2" customHeight="1" x14ac:dyDescent="0.2">
      <c r="A108" s="26" t="s">
        <v>737</v>
      </c>
      <c r="B108" s="27" t="s">
        <v>738</v>
      </c>
      <c r="C108" s="28">
        <v>1</v>
      </c>
      <c r="D108" s="29">
        <v>13.5</v>
      </c>
      <c r="E108" s="29">
        <v>13.5</v>
      </c>
      <c r="F108" s="30">
        <v>29.99</v>
      </c>
      <c r="G108" s="29">
        <v>29.99</v>
      </c>
      <c r="H108" s="28" t="s">
        <v>739</v>
      </c>
      <c r="I108" s="27" t="s">
        <v>189</v>
      </c>
      <c r="J108" s="31" t="s">
        <v>23</v>
      </c>
      <c r="K108" s="27" t="s">
        <v>200</v>
      </c>
      <c r="L108" s="27" t="s">
        <v>133</v>
      </c>
      <c r="M108" s="32" t="str">
        <f>HYPERLINK("http://slimages.macys.com/is/image/MCY/3866347 ")</f>
        <v xml:space="preserve">http://slimages.macys.com/is/image/MCY/3866347 </v>
      </c>
    </row>
    <row r="109" spans="1:13" ht="15.2" customHeight="1" x14ac:dyDescent="0.2">
      <c r="A109" s="26" t="s">
        <v>7738</v>
      </c>
      <c r="B109" s="27" t="s">
        <v>7739</v>
      </c>
      <c r="C109" s="28">
        <v>1</v>
      </c>
      <c r="D109" s="29">
        <v>13.5</v>
      </c>
      <c r="E109" s="29">
        <v>13.5</v>
      </c>
      <c r="F109" s="30">
        <v>33.99</v>
      </c>
      <c r="G109" s="29">
        <v>33.99</v>
      </c>
      <c r="H109" s="28" t="s">
        <v>1778</v>
      </c>
      <c r="I109" s="27" t="s">
        <v>4</v>
      </c>
      <c r="J109" s="31" t="s">
        <v>65</v>
      </c>
      <c r="K109" s="27" t="s">
        <v>70</v>
      </c>
      <c r="L109" s="27" t="s">
        <v>101</v>
      </c>
      <c r="M109" s="32" t="str">
        <f>HYPERLINK("http://slimages.macys.com/is/image/MCY/3832798 ")</f>
        <v xml:space="preserve">http://slimages.macys.com/is/image/MCY/3832798 </v>
      </c>
    </row>
    <row r="110" spans="1:13" ht="15.2" customHeight="1" x14ac:dyDescent="0.2">
      <c r="A110" s="26" t="s">
        <v>11411</v>
      </c>
      <c r="B110" s="27" t="s">
        <v>11412</v>
      </c>
      <c r="C110" s="28">
        <v>1</v>
      </c>
      <c r="D110" s="29">
        <v>13.5</v>
      </c>
      <c r="E110" s="29">
        <v>13.5</v>
      </c>
      <c r="F110" s="30">
        <v>29.99</v>
      </c>
      <c r="G110" s="29">
        <v>29.99</v>
      </c>
      <c r="H110" s="28" t="s">
        <v>4823</v>
      </c>
      <c r="I110" s="27" t="s">
        <v>26</v>
      </c>
      <c r="J110" s="31" t="s">
        <v>69</v>
      </c>
      <c r="K110" s="27" t="s">
        <v>200</v>
      </c>
      <c r="L110" s="27" t="s">
        <v>287</v>
      </c>
      <c r="M110" s="32" t="str">
        <f>HYPERLINK("http://slimages.macys.com/is/image/MCY/3631723 ")</f>
        <v xml:space="preserve">http://slimages.macys.com/is/image/MCY/3631723 </v>
      </c>
    </row>
    <row r="111" spans="1:13" ht="15.2" customHeight="1" x14ac:dyDescent="0.2">
      <c r="A111" s="26" t="s">
        <v>11130</v>
      </c>
      <c r="B111" s="27" t="s">
        <v>11131</v>
      </c>
      <c r="C111" s="28">
        <v>1</v>
      </c>
      <c r="D111" s="29">
        <v>13.5</v>
      </c>
      <c r="E111" s="29">
        <v>13.5</v>
      </c>
      <c r="F111" s="30">
        <v>29.99</v>
      </c>
      <c r="G111" s="29">
        <v>29.99</v>
      </c>
      <c r="H111" s="28" t="s">
        <v>2860</v>
      </c>
      <c r="I111" s="27" t="s">
        <v>4</v>
      </c>
      <c r="J111" s="31" t="s">
        <v>69</v>
      </c>
      <c r="K111" s="27" t="s">
        <v>200</v>
      </c>
      <c r="L111" s="27" t="s">
        <v>741</v>
      </c>
      <c r="M111" s="32" t="str">
        <f>HYPERLINK("http://slimages.macys.com/is/image/MCY/3732749 ")</f>
        <v xml:space="preserve">http://slimages.macys.com/is/image/MCY/3732749 </v>
      </c>
    </row>
    <row r="112" spans="1:13" ht="15.2" customHeight="1" x14ac:dyDescent="0.2">
      <c r="A112" s="26" t="s">
        <v>11707</v>
      </c>
      <c r="B112" s="27" t="s">
        <v>11708</v>
      </c>
      <c r="C112" s="28">
        <v>1</v>
      </c>
      <c r="D112" s="29">
        <v>13.5</v>
      </c>
      <c r="E112" s="29">
        <v>13.5</v>
      </c>
      <c r="F112" s="30">
        <v>29.99</v>
      </c>
      <c r="G112" s="29">
        <v>29.99</v>
      </c>
      <c r="H112" s="28" t="s">
        <v>2860</v>
      </c>
      <c r="I112" s="27" t="s">
        <v>4</v>
      </c>
      <c r="J112" s="31" t="s">
        <v>230</v>
      </c>
      <c r="K112" s="27" t="s">
        <v>200</v>
      </c>
      <c r="L112" s="27" t="s">
        <v>741</v>
      </c>
      <c r="M112" s="32" t="str">
        <f>HYPERLINK("http://slimages.macys.com/is/image/MCY/3732749 ")</f>
        <v xml:space="preserve">http://slimages.macys.com/is/image/MCY/3732749 </v>
      </c>
    </row>
    <row r="113" spans="1:13" ht="15.2" customHeight="1" x14ac:dyDescent="0.2">
      <c r="A113" s="26" t="s">
        <v>1779</v>
      </c>
      <c r="B113" s="27" t="s">
        <v>1780</v>
      </c>
      <c r="C113" s="28">
        <v>1</v>
      </c>
      <c r="D113" s="29">
        <v>13.5</v>
      </c>
      <c r="E113" s="29">
        <v>13.5</v>
      </c>
      <c r="F113" s="30">
        <v>29.99</v>
      </c>
      <c r="G113" s="29">
        <v>29.99</v>
      </c>
      <c r="H113" s="28" t="s">
        <v>739</v>
      </c>
      <c r="I113" s="27" t="s">
        <v>189</v>
      </c>
      <c r="J113" s="31" t="s">
        <v>216</v>
      </c>
      <c r="K113" s="27" t="s">
        <v>200</v>
      </c>
      <c r="L113" s="27" t="s">
        <v>133</v>
      </c>
      <c r="M113" s="32" t="str">
        <f>HYPERLINK("http://slimages.macys.com/is/image/MCY/3866347 ")</f>
        <v xml:space="preserve">http://slimages.macys.com/is/image/MCY/3866347 </v>
      </c>
    </row>
    <row r="114" spans="1:13" ht="15.2" customHeight="1" x14ac:dyDescent="0.2">
      <c r="A114" s="26" t="s">
        <v>1776</v>
      </c>
      <c r="B114" s="27" t="s">
        <v>1777</v>
      </c>
      <c r="C114" s="28">
        <v>3</v>
      </c>
      <c r="D114" s="29">
        <v>13.5</v>
      </c>
      <c r="E114" s="29">
        <v>40.5</v>
      </c>
      <c r="F114" s="30">
        <v>33.99</v>
      </c>
      <c r="G114" s="29">
        <v>101.97</v>
      </c>
      <c r="H114" s="28" t="s">
        <v>1778</v>
      </c>
      <c r="I114" s="27" t="s">
        <v>4</v>
      </c>
      <c r="J114" s="31" t="s">
        <v>5</v>
      </c>
      <c r="K114" s="27" t="s">
        <v>70</v>
      </c>
      <c r="L114" s="27" t="s">
        <v>101</v>
      </c>
      <c r="M114" s="32" t="str">
        <f>HYPERLINK("http://slimages.macys.com/is/image/MCY/3832798 ")</f>
        <v xml:space="preserve">http://slimages.macys.com/is/image/MCY/3832798 </v>
      </c>
    </row>
    <row r="115" spans="1:13" ht="15.2" customHeight="1" x14ac:dyDescent="0.2">
      <c r="A115" s="26" t="s">
        <v>11709</v>
      </c>
      <c r="B115" s="27" t="s">
        <v>11710</v>
      </c>
      <c r="C115" s="28">
        <v>1</v>
      </c>
      <c r="D115" s="29">
        <v>13</v>
      </c>
      <c r="E115" s="29">
        <v>13</v>
      </c>
      <c r="F115" s="30">
        <v>29.99</v>
      </c>
      <c r="G115" s="29">
        <v>29.99</v>
      </c>
      <c r="H115" s="28" t="s">
        <v>11711</v>
      </c>
      <c r="I115" s="27" t="s">
        <v>39</v>
      </c>
      <c r="J115" s="31" t="s">
        <v>214</v>
      </c>
      <c r="K115" s="27" t="s">
        <v>200</v>
      </c>
      <c r="L115" s="27" t="s">
        <v>1201</v>
      </c>
      <c r="M115" s="32" t="str">
        <f>HYPERLINK("http://slimages.macys.com/is/image/MCY/3683256 ")</f>
        <v xml:space="preserve">http://slimages.macys.com/is/image/MCY/3683256 </v>
      </c>
    </row>
    <row r="116" spans="1:13" ht="15.2" customHeight="1" x14ac:dyDescent="0.2">
      <c r="A116" s="26" t="s">
        <v>11712</v>
      </c>
      <c r="B116" s="27" t="s">
        <v>11713</v>
      </c>
      <c r="C116" s="28">
        <v>1</v>
      </c>
      <c r="D116" s="29">
        <v>13</v>
      </c>
      <c r="E116" s="29">
        <v>13</v>
      </c>
      <c r="F116" s="30">
        <v>29.99</v>
      </c>
      <c r="G116" s="29">
        <v>29.99</v>
      </c>
      <c r="H116" s="28" t="s">
        <v>11711</v>
      </c>
      <c r="I116" s="27" t="s">
        <v>39</v>
      </c>
      <c r="J116" s="31" t="s">
        <v>216</v>
      </c>
      <c r="K116" s="27" t="s">
        <v>200</v>
      </c>
      <c r="L116" s="27" t="s">
        <v>1201</v>
      </c>
      <c r="M116" s="32" t="str">
        <f>HYPERLINK("http://slimages.macys.com/is/image/MCY/3683256 ")</f>
        <v xml:space="preserve">http://slimages.macys.com/is/image/MCY/3683256 </v>
      </c>
    </row>
    <row r="117" spans="1:13" ht="15.2" customHeight="1" x14ac:dyDescent="0.2">
      <c r="A117" s="26" t="s">
        <v>11714</v>
      </c>
      <c r="B117" s="27" t="s">
        <v>11715</v>
      </c>
      <c r="C117" s="28">
        <v>1</v>
      </c>
      <c r="D117" s="29">
        <v>13</v>
      </c>
      <c r="E117" s="29">
        <v>13</v>
      </c>
      <c r="F117" s="30">
        <v>29.99</v>
      </c>
      <c r="G117" s="29">
        <v>29.99</v>
      </c>
      <c r="H117" s="28" t="s">
        <v>8270</v>
      </c>
      <c r="I117" s="27" t="s">
        <v>746</v>
      </c>
      <c r="J117" s="31" t="s">
        <v>230</v>
      </c>
      <c r="K117" s="27" t="s">
        <v>200</v>
      </c>
      <c r="L117" s="27" t="s">
        <v>133</v>
      </c>
      <c r="M117" s="32" t="str">
        <f>HYPERLINK("http://slimages.macys.com/is/image/MCY/3922228 ")</f>
        <v xml:space="preserve">http://slimages.macys.com/is/image/MCY/3922228 </v>
      </c>
    </row>
    <row r="118" spans="1:13" ht="15.2" customHeight="1" x14ac:dyDescent="0.2">
      <c r="A118" s="26" t="s">
        <v>6963</v>
      </c>
      <c r="B118" s="27" t="s">
        <v>6964</v>
      </c>
      <c r="C118" s="28">
        <v>2</v>
      </c>
      <c r="D118" s="29">
        <v>13</v>
      </c>
      <c r="E118" s="29">
        <v>26</v>
      </c>
      <c r="F118" s="30">
        <v>31.99</v>
      </c>
      <c r="G118" s="29">
        <v>63.98</v>
      </c>
      <c r="H118" s="28" t="s">
        <v>753</v>
      </c>
      <c r="I118" s="27" t="s">
        <v>377</v>
      </c>
      <c r="J118" s="31" t="s">
        <v>21</v>
      </c>
      <c r="K118" s="27" t="s">
        <v>70</v>
      </c>
      <c r="L118" s="27" t="s">
        <v>128</v>
      </c>
      <c r="M118" s="32" t="str">
        <f>HYPERLINK("http://slimages.macys.com/is/image/MCY/3723559 ")</f>
        <v xml:space="preserve">http://slimages.macys.com/is/image/MCY/3723559 </v>
      </c>
    </row>
    <row r="119" spans="1:13" ht="15.2" customHeight="1" x14ac:dyDescent="0.2">
      <c r="A119" s="26" t="s">
        <v>11716</v>
      </c>
      <c r="B119" s="27" t="s">
        <v>11717</v>
      </c>
      <c r="C119" s="28">
        <v>1</v>
      </c>
      <c r="D119" s="29">
        <v>13</v>
      </c>
      <c r="E119" s="29">
        <v>13</v>
      </c>
      <c r="F119" s="30">
        <v>29.99</v>
      </c>
      <c r="G119" s="29">
        <v>29.99</v>
      </c>
      <c r="H119" s="28" t="s">
        <v>1207</v>
      </c>
      <c r="I119" s="27" t="s">
        <v>4</v>
      </c>
      <c r="J119" s="31" t="s">
        <v>234</v>
      </c>
      <c r="K119" s="27" t="s">
        <v>200</v>
      </c>
      <c r="L119" s="27" t="s">
        <v>133</v>
      </c>
      <c r="M119" s="32" t="str">
        <f>HYPERLINK("http://slimages.macys.com/is/image/MCY/3874062 ")</f>
        <v xml:space="preserve">http://slimages.macys.com/is/image/MCY/3874062 </v>
      </c>
    </row>
    <row r="120" spans="1:13" ht="15.2" customHeight="1" x14ac:dyDescent="0.2">
      <c r="A120" s="26" t="s">
        <v>751</v>
      </c>
      <c r="B120" s="27" t="s">
        <v>752</v>
      </c>
      <c r="C120" s="28">
        <v>2</v>
      </c>
      <c r="D120" s="29">
        <v>13</v>
      </c>
      <c r="E120" s="29">
        <v>26</v>
      </c>
      <c r="F120" s="30">
        <v>31.99</v>
      </c>
      <c r="G120" s="29">
        <v>63.98</v>
      </c>
      <c r="H120" s="28" t="s">
        <v>753</v>
      </c>
      <c r="I120" s="27" t="s">
        <v>377</v>
      </c>
      <c r="J120" s="31" t="s">
        <v>5</v>
      </c>
      <c r="K120" s="27" t="s">
        <v>70</v>
      </c>
      <c r="L120" s="27" t="s">
        <v>128</v>
      </c>
      <c r="M120" s="32" t="str">
        <f>HYPERLINK("http://slimages.macys.com/is/image/MCY/3723559 ")</f>
        <v xml:space="preserve">http://slimages.macys.com/is/image/MCY/3723559 </v>
      </c>
    </row>
    <row r="121" spans="1:13" ht="15.2" customHeight="1" x14ac:dyDescent="0.2">
      <c r="A121" s="26" t="s">
        <v>11718</v>
      </c>
      <c r="B121" s="27" t="s">
        <v>11719</v>
      </c>
      <c r="C121" s="28">
        <v>1</v>
      </c>
      <c r="D121" s="29">
        <v>12.95</v>
      </c>
      <c r="E121" s="29">
        <v>12.95</v>
      </c>
      <c r="F121" s="30">
        <v>25.99</v>
      </c>
      <c r="G121" s="29">
        <v>25.99</v>
      </c>
      <c r="H121" s="28" t="s">
        <v>11720</v>
      </c>
      <c r="I121" s="27" t="s">
        <v>1</v>
      </c>
      <c r="J121" s="31" t="s">
        <v>40</v>
      </c>
      <c r="K121" s="27" t="s">
        <v>200</v>
      </c>
      <c r="L121" s="27" t="s">
        <v>201</v>
      </c>
      <c r="M121" s="32" t="str">
        <f>HYPERLINK("http://slimages.macys.com/is/image/MCY/3212706 ")</f>
        <v xml:space="preserve">http://slimages.macys.com/is/image/MCY/3212706 </v>
      </c>
    </row>
    <row r="122" spans="1:13" ht="15.2" customHeight="1" x14ac:dyDescent="0.2">
      <c r="A122" s="26" t="s">
        <v>11721</v>
      </c>
      <c r="B122" s="27" t="s">
        <v>11722</v>
      </c>
      <c r="C122" s="28">
        <v>1</v>
      </c>
      <c r="D122" s="29">
        <v>12.9</v>
      </c>
      <c r="E122" s="29">
        <v>12.9</v>
      </c>
      <c r="F122" s="30">
        <v>27.99</v>
      </c>
      <c r="G122" s="29">
        <v>27.99</v>
      </c>
      <c r="H122" s="28" t="s">
        <v>11588</v>
      </c>
      <c r="I122" s="27" t="s">
        <v>291</v>
      </c>
      <c r="J122" s="31" t="s">
        <v>52</v>
      </c>
      <c r="K122" s="27" t="s">
        <v>208</v>
      </c>
      <c r="L122" s="27" t="s">
        <v>197</v>
      </c>
      <c r="M122" s="32" t="str">
        <f>HYPERLINK("http://slimages.macys.com/is/image/MCY/3940763 ")</f>
        <v xml:space="preserve">http://slimages.macys.com/is/image/MCY/3940763 </v>
      </c>
    </row>
    <row r="123" spans="1:13" ht="15.2" customHeight="1" x14ac:dyDescent="0.2">
      <c r="A123" s="26" t="s">
        <v>8780</v>
      </c>
      <c r="B123" s="27" t="s">
        <v>8781</v>
      </c>
      <c r="C123" s="28">
        <v>1</v>
      </c>
      <c r="D123" s="29">
        <v>12.85</v>
      </c>
      <c r="E123" s="29">
        <v>12.85</v>
      </c>
      <c r="F123" s="30">
        <v>27.99</v>
      </c>
      <c r="G123" s="29">
        <v>27.99</v>
      </c>
      <c r="H123" s="28" t="s">
        <v>2875</v>
      </c>
      <c r="I123" s="27" t="s">
        <v>189</v>
      </c>
      <c r="J123" s="31" t="s">
        <v>71</v>
      </c>
      <c r="K123" s="27" t="s">
        <v>224</v>
      </c>
      <c r="L123" s="27" t="s">
        <v>256</v>
      </c>
      <c r="M123" s="32" t="str">
        <f>HYPERLINK("http://slimages.macys.com/is/image/MCY/3875983 ")</f>
        <v xml:space="preserve">http://slimages.macys.com/is/image/MCY/3875983 </v>
      </c>
    </row>
    <row r="124" spans="1:13" ht="15.2" customHeight="1" x14ac:dyDescent="0.2">
      <c r="A124" s="26" t="s">
        <v>2876</v>
      </c>
      <c r="B124" s="27" t="s">
        <v>2877</v>
      </c>
      <c r="C124" s="28">
        <v>1</v>
      </c>
      <c r="D124" s="29">
        <v>12.85</v>
      </c>
      <c r="E124" s="29">
        <v>12.85</v>
      </c>
      <c r="F124" s="30">
        <v>27.99</v>
      </c>
      <c r="G124" s="29">
        <v>27.99</v>
      </c>
      <c r="H124" s="28" t="s">
        <v>1209</v>
      </c>
      <c r="I124" s="27" t="s">
        <v>189</v>
      </c>
      <c r="J124" s="31" t="s">
        <v>21</v>
      </c>
      <c r="K124" s="27" t="s">
        <v>224</v>
      </c>
      <c r="L124" s="27" t="s">
        <v>256</v>
      </c>
      <c r="M124" s="32" t="str">
        <f>HYPERLINK("http://slimages.macys.com/is/image/MCY/3890940 ")</f>
        <v xml:space="preserve">http://slimages.macys.com/is/image/MCY/3890940 </v>
      </c>
    </row>
    <row r="125" spans="1:13" ht="15.2" customHeight="1" x14ac:dyDescent="0.2">
      <c r="A125" s="26" t="s">
        <v>1787</v>
      </c>
      <c r="B125" s="27" t="s">
        <v>1788</v>
      </c>
      <c r="C125" s="28">
        <v>2</v>
      </c>
      <c r="D125" s="29">
        <v>12.75</v>
      </c>
      <c r="E125" s="29">
        <v>25.5</v>
      </c>
      <c r="F125" s="30">
        <v>29.99</v>
      </c>
      <c r="G125" s="29">
        <v>59.98</v>
      </c>
      <c r="H125" s="28" t="s">
        <v>759</v>
      </c>
      <c r="I125" s="27" t="s">
        <v>4</v>
      </c>
      <c r="J125" s="31" t="s">
        <v>21</v>
      </c>
      <c r="K125" s="27" t="s">
        <v>200</v>
      </c>
      <c r="L125" s="27" t="s">
        <v>201</v>
      </c>
      <c r="M125" s="32" t="str">
        <f>HYPERLINK("http://slimages.macys.com/is/image/MCY/3798023 ")</f>
        <v xml:space="preserve">http://slimages.macys.com/is/image/MCY/3798023 </v>
      </c>
    </row>
    <row r="126" spans="1:13" ht="15.2" customHeight="1" x14ac:dyDescent="0.2">
      <c r="A126" s="26" t="s">
        <v>11723</v>
      </c>
      <c r="B126" s="27" t="s">
        <v>11724</v>
      </c>
      <c r="C126" s="28">
        <v>1</v>
      </c>
      <c r="D126" s="29">
        <v>12.65</v>
      </c>
      <c r="E126" s="29">
        <v>12.65</v>
      </c>
      <c r="F126" s="30">
        <v>29.99</v>
      </c>
      <c r="G126" s="29">
        <v>29.99</v>
      </c>
      <c r="H126" s="28" t="s">
        <v>9801</v>
      </c>
      <c r="I126" s="27" t="s">
        <v>1</v>
      </c>
      <c r="J126" s="31" t="s">
        <v>234</v>
      </c>
      <c r="K126" s="27" t="s">
        <v>200</v>
      </c>
      <c r="L126" s="27" t="s">
        <v>765</v>
      </c>
      <c r="M126" s="32" t="str">
        <f>HYPERLINK("http://slimages.macys.com/is/image/MCY/3691695 ")</f>
        <v xml:space="preserve">http://slimages.macys.com/is/image/MCY/3691695 </v>
      </c>
    </row>
    <row r="127" spans="1:13" ht="15.2" customHeight="1" x14ac:dyDescent="0.2">
      <c r="A127" s="26" t="s">
        <v>11725</v>
      </c>
      <c r="B127" s="27" t="s">
        <v>11726</v>
      </c>
      <c r="C127" s="28">
        <v>1</v>
      </c>
      <c r="D127" s="29">
        <v>12.65</v>
      </c>
      <c r="E127" s="29">
        <v>12.65</v>
      </c>
      <c r="F127" s="30">
        <v>29.99</v>
      </c>
      <c r="G127" s="29">
        <v>29.99</v>
      </c>
      <c r="H127" s="28" t="s">
        <v>9583</v>
      </c>
      <c r="I127" s="27" t="s">
        <v>1</v>
      </c>
      <c r="J127" s="31" t="s">
        <v>230</v>
      </c>
      <c r="K127" s="27" t="s">
        <v>200</v>
      </c>
      <c r="L127" s="27" t="s">
        <v>765</v>
      </c>
      <c r="M127" s="32" t="str">
        <f>HYPERLINK("http://slimages.macys.com/is/image/MCY/3364230 ")</f>
        <v xml:space="preserve">http://slimages.macys.com/is/image/MCY/3364230 </v>
      </c>
    </row>
    <row r="128" spans="1:13" ht="15.2" customHeight="1" x14ac:dyDescent="0.2">
      <c r="A128" s="26" t="s">
        <v>11727</v>
      </c>
      <c r="B128" s="27" t="s">
        <v>11728</v>
      </c>
      <c r="C128" s="28">
        <v>2</v>
      </c>
      <c r="D128" s="29">
        <v>12.5</v>
      </c>
      <c r="E128" s="29">
        <v>25</v>
      </c>
      <c r="F128" s="30">
        <v>29.99</v>
      </c>
      <c r="G128" s="29">
        <v>59.98</v>
      </c>
      <c r="H128" s="28" t="s">
        <v>9802</v>
      </c>
      <c r="I128" s="27"/>
      <c r="J128" s="31" t="s">
        <v>216</v>
      </c>
      <c r="K128" s="27" t="s">
        <v>200</v>
      </c>
      <c r="L128" s="27" t="s">
        <v>201</v>
      </c>
      <c r="M128" s="32" t="str">
        <f>HYPERLINK("http://slimages.macys.com/is/image/MCY/3606434 ")</f>
        <v xml:space="preserve">http://slimages.macys.com/is/image/MCY/3606434 </v>
      </c>
    </row>
    <row r="129" spans="1:13" ht="15.2" customHeight="1" x14ac:dyDescent="0.2">
      <c r="A129" s="26" t="s">
        <v>8271</v>
      </c>
      <c r="B129" s="27" t="s">
        <v>8272</v>
      </c>
      <c r="C129" s="28">
        <v>1</v>
      </c>
      <c r="D129" s="29">
        <v>12.5</v>
      </c>
      <c r="E129" s="29">
        <v>12.5</v>
      </c>
      <c r="F129" s="30">
        <v>45</v>
      </c>
      <c r="G129" s="29">
        <v>45</v>
      </c>
      <c r="H129" s="28" t="s">
        <v>6031</v>
      </c>
      <c r="I129" s="27"/>
      <c r="J129" s="31" t="s">
        <v>71</v>
      </c>
      <c r="K129" s="27" t="s">
        <v>154</v>
      </c>
      <c r="L129" s="27" t="s">
        <v>155</v>
      </c>
      <c r="M129" s="32" t="str">
        <f>HYPERLINK("http://slimages.macys.com/is/image/MCY/3718868 ")</f>
        <v xml:space="preserve">http://slimages.macys.com/is/image/MCY/3718868 </v>
      </c>
    </row>
    <row r="130" spans="1:13" ht="15.2" customHeight="1" x14ac:dyDescent="0.2">
      <c r="A130" s="26" t="s">
        <v>11729</v>
      </c>
      <c r="B130" s="27" t="s">
        <v>11730</v>
      </c>
      <c r="C130" s="28">
        <v>1</v>
      </c>
      <c r="D130" s="29">
        <v>12.4</v>
      </c>
      <c r="E130" s="29">
        <v>12.4</v>
      </c>
      <c r="F130" s="30">
        <v>29.99</v>
      </c>
      <c r="G130" s="29">
        <v>29.99</v>
      </c>
      <c r="H130" s="28" t="s">
        <v>11731</v>
      </c>
      <c r="I130" s="27" t="s">
        <v>10</v>
      </c>
      <c r="J130" s="31" t="s">
        <v>214</v>
      </c>
      <c r="K130" s="27" t="s">
        <v>200</v>
      </c>
      <c r="L130" s="27" t="s">
        <v>11732</v>
      </c>
      <c r="M130" s="32" t="str">
        <f>HYPERLINK("http://slimages.macys.com/is/image/MCY/3693158 ")</f>
        <v xml:space="preserve">http://slimages.macys.com/is/image/MCY/3693158 </v>
      </c>
    </row>
    <row r="131" spans="1:13" ht="15.2" customHeight="1" x14ac:dyDescent="0.2">
      <c r="A131" s="26" t="s">
        <v>11733</v>
      </c>
      <c r="B131" s="27" t="s">
        <v>11734</v>
      </c>
      <c r="C131" s="28">
        <v>1</v>
      </c>
      <c r="D131" s="29">
        <v>12.25</v>
      </c>
      <c r="E131" s="29">
        <v>12.25</v>
      </c>
      <c r="F131" s="30">
        <v>29.99</v>
      </c>
      <c r="G131" s="29">
        <v>29.99</v>
      </c>
      <c r="H131" s="28" t="s">
        <v>10285</v>
      </c>
      <c r="I131" s="27" t="s">
        <v>746</v>
      </c>
      <c r="J131" s="31" t="s">
        <v>52</v>
      </c>
      <c r="K131" s="27" t="s">
        <v>70</v>
      </c>
      <c r="L131" s="27" t="s">
        <v>25</v>
      </c>
      <c r="M131" s="32" t="str">
        <f>HYPERLINK("http://slimages.macys.com/is/image/MCY/3615243 ")</f>
        <v xml:space="preserve">http://slimages.macys.com/is/image/MCY/3615243 </v>
      </c>
    </row>
    <row r="132" spans="1:13" ht="15.2" customHeight="1" x14ac:dyDescent="0.2">
      <c r="A132" s="26" t="s">
        <v>9589</v>
      </c>
      <c r="B132" s="27" t="s">
        <v>9590</v>
      </c>
      <c r="C132" s="28">
        <v>1</v>
      </c>
      <c r="D132" s="29">
        <v>12.25</v>
      </c>
      <c r="E132" s="29">
        <v>12.25</v>
      </c>
      <c r="F132" s="30">
        <v>29.99</v>
      </c>
      <c r="G132" s="29">
        <v>29.99</v>
      </c>
      <c r="H132" s="28" t="s">
        <v>1224</v>
      </c>
      <c r="I132" s="27" t="s">
        <v>144</v>
      </c>
      <c r="J132" s="31" t="s">
        <v>205</v>
      </c>
      <c r="K132" s="27" t="s">
        <v>200</v>
      </c>
      <c r="L132" s="27" t="s">
        <v>552</v>
      </c>
      <c r="M132" s="32" t="str">
        <f>HYPERLINK("http://slimages.macys.com/is/image/MCY/3394406 ")</f>
        <v xml:space="preserve">http://slimages.macys.com/is/image/MCY/3394406 </v>
      </c>
    </row>
    <row r="133" spans="1:13" ht="15.2" customHeight="1" x14ac:dyDescent="0.2">
      <c r="A133" s="26" t="s">
        <v>11735</v>
      </c>
      <c r="B133" s="27" t="s">
        <v>11736</v>
      </c>
      <c r="C133" s="28">
        <v>1</v>
      </c>
      <c r="D133" s="29">
        <v>12</v>
      </c>
      <c r="E133" s="29">
        <v>12</v>
      </c>
      <c r="F133" s="30">
        <v>44</v>
      </c>
      <c r="G133" s="29">
        <v>44</v>
      </c>
      <c r="H133" s="28" t="s">
        <v>9597</v>
      </c>
      <c r="I133" s="27" t="s">
        <v>94</v>
      </c>
      <c r="J133" s="31" t="s">
        <v>21</v>
      </c>
      <c r="K133" s="27" t="s">
        <v>37</v>
      </c>
      <c r="L133" s="27" t="s">
        <v>38</v>
      </c>
      <c r="M133" s="32" t="str">
        <f>HYPERLINK("http://slimages.macys.com/is/image/MCY/3582284 ")</f>
        <v xml:space="preserve">http://slimages.macys.com/is/image/MCY/3582284 </v>
      </c>
    </row>
    <row r="134" spans="1:13" ht="15.2" customHeight="1" x14ac:dyDescent="0.2">
      <c r="A134" s="26" t="s">
        <v>11737</v>
      </c>
      <c r="B134" s="27" t="s">
        <v>11738</v>
      </c>
      <c r="C134" s="28">
        <v>1</v>
      </c>
      <c r="D134" s="29">
        <v>12</v>
      </c>
      <c r="E134" s="29">
        <v>12</v>
      </c>
      <c r="F134" s="30">
        <v>29.99</v>
      </c>
      <c r="G134" s="29">
        <v>29.99</v>
      </c>
      <c r="H134" s="28" t="s">
        <v>7532</v>
      </c>
      <c r="I134" s="27" t="s">
        <v>189</v>
      </c>
      <c r="J134" s="31" t="s">
        <v>21</v>
      </c>
      <c r="K134" s="27" t="s">
        <v>70</v>
      </c>
      <c r="L134" s="27" t="s">
        <v>128</v>
      </c>
      <c r="M134" s="32" t="str">
        <f>HYPERLINK("http://slimages.macys.com/is/image/MCY/3676837 ")</f>
        <v xml:space="preserve">http://slimages.macys.com/is/image/MCY/3676837 </v>
      </c>
    </row>
    <row r="135" spans="1:13" ht="15.2" customHeight="1" x14ac:dyDescent="0.2">
      <c r="A135" s="26" t="s">
        <v>11021</v>
      </c>
      <c r="B135" s="27" t="s">
        <v>11022</v>
      </c>
      <c r="C135" s="28">
        <v>1</v>
      </c>
      <c r="D135" s="29">
        <v>12</v>
      </c>
      <c r="E135" s="29">
        <v>12</v>
      </c>
      <c r="F135" s="30">
        <v>25.99</v>
      </c>
      <c r="G135" s="29">
        <v>25.99</v>
      </c>
      <c r="H135" s="28" t="s">
        <v>1798</v>
      </c>
      <c r="I135" s="27" t="s">
        <v>1472</v>
      </c>
      <c r="J135" s="31" t="s">
        <v>69</v>
      </c>
      <c r="K135" s="27" t="s">
        <v>200</v>
      </c>
      <c r="L135" s="27" t="s">
        <v>243</v>
      </c>
      <c r="M135" s="32" t="str">
        <f>HYPERLINK("http://slimages.macys.com/is/image/MCY/3832869 ")</f>
        <v xml:space="preserve">http://slimages.macys.com/is/image/MCY/3832869 </v>
      </c>
    </row>
    <row r="136" spans="1:13" ht="15.2" customHeight="1" x14ac:dyDescent="0.2">
      <c r="A136" s="26" t="s">
        <v>11739</v>
      </c>
      <c r="B136" s="27" t="s">
        <v>11740</v>
      </c>
      <c r="C136" s="28">
        <v>1</v>
      </c>
      <c r="D136" s="29">
        <v>12</v>
      </c>
      <c r="E136" s="29">
        <v>12</v>
      </c>
      <c r="F136" s="30">
        <v>29.99</v>
      </c>
      <c r="G136" s="29">
        <v>29.99</v>
      </c>
      <c r="H136" s="28" t="s">
        <v>2887</v>
      </c>
      <c r="I136" s="27" t="s">
        <v>10</v>
      </c>
      <c r="J136" s="31" t="s">
        <v>71</v>
      </c>
      <c r="K136" s="27" t="s">
        <v>70</v>
      </c>
      <c r="L136" s="27" t="s">
        <v>128</v>
      </c>
      <c r="M136" s="32" t="str">
        <f>HYPERLINK("http://slimages.macys.com/is/image/MCY/3676843 ")</f>
        <v xml:space="preserve">http://slimages.macys.com/is/image/MCY/3676843 </v>
      </c>
    </row>
    <row r="137" spans="1:13" ht="15.2" customHeight="1" x14ac:dyDescent="0.2">
      <c r="A137" s="26" t="s">
        <v>10240</v>
      </c>
      <c r="B137" s="27" t="s">
        <v>10241</v>
      </c>
      <c r="C137" s="28">
        <v>1</v>
      </c>
      <c r="D137" s="29">
        <v>12</v>
      </c>
      <c r="E137" s="29">
        <v>12</v>
      </c>
      <c r="F137" s="30">
        <v>25.99</v>
      </c>
      <c r="G137" s="29">
        <v>25.99</v>
      </c>
      <c r="H137" s="28" t="s">
        <v>1798</v>
      </c>
      <c r="I137" s="27" t="s">
        <v>59</v>
      </c>
      <c r="J137" s="31" t="s">
        <v>69</v>
      </c>
      <c r="K137" s="27" t="s">
        <v>200</v>
      </c>
      <c r="L137" s="27" t="s">
        <v>243</v>
      </c>
      <c r="M137" s="32" t="str">
        <f>HYPERLINK("http://slimages.macys.com/is/image/MCY/3832882 ")</f>
        <v xml:space="preserve">http://slimages.macys.com/is/image/MCY/3832882 </v>
      </c>
    </row>
    <row r="138" spans="1:13" ht="15.2" customHeight="1" x14ac:dyDescent="0.2">
      <c r="A138" s="26" t="s">
        <v>11741</v>
      </c>
      <c r="B138" s="27" t="s">
        <v>11742</v>
      </c>
      <c r="C138" s="28">
        <v>1</v>
      </c>
      <c r="D138" s="29">
        <v>12</v>
      </c>
      <c r="E138" s="29">
        <v>12</v>
      </c>
      <c r="F138" s="30">
        <v>25.99</v>
      </c>
      <c r="G138" s="29">
        <v>25.99</v>
      </c>
      <c r="H138" s="28" t="s">
        <v>1798</v>
      </c>
      <c r="I138" s="27" t="s">
        <v>1472</v>
      </c>
      <c r="J138" s="31" t="s">
        <v>216</v>
      </c>
      <c r="K138" s="27" t="s">
        <v>200</v>
      </c>
      <c r="L138" s="27" t="s">
        <v>243</v>
      </c>
      <c r="M138" s="32" t="str">
        <f>HYPERLINK("http://slimages.macys.com/is/image/MCY/3832864 ")</f>
        <v xml:space="preserve">http://slimages.macys.com/is/image/MCY/3832864 </v>
      </c>
    </row>
    <row r="139" spans="1:13" ht="15.2" customHeight="1" x14ac:dyDescent="0.2">
      <c r="A139" s="26" t="s">
        <v>8379</v>
      </c>
      <c r="B139" s="27" t="s">
        <v>8380</v>
      </c>
      <c r="C139" s="28">
        <v>1</v>
      </c>
      <c r="D139" s="29">
        <v>12</v>
      </c>
      <c r="E139" s="29">
        <v>12</v>
      </c>
      <c r="F139" s="30">
        <v>25.99</v>
      </c>
      <c r="G139" s="29">
        <v>25.99</v>
      </c>
      <c r="H139" s="28" t="s">
        <v>1798</v>
      </c>
      <c r="I139" s="27" t="s">
        <v>59</v>
      </c>
      <c r="J139" s="31" t="s">
        <v>205</v>
      </c>
      <c r="K139" s="27" t="s">
        <v>200</v>
      </c>
      <c r="L139" s="27" t="s">
        <v>243</v>
      </c>
      <c r="M139" s="32" t="str">
        <f>HYPERLINK("http://slimages.macys.com/is/image/MCY/3832882 ")</f>
        <v xml:space="preserve">http://slimages.macys.com/is/image/MCY/3832882 </v>
      </c>
    </row>
    <row r="140" spans="1:13" ht="15.2" customHeight="1" x14ac:dyDescent="0.2">
      <c r="A140" s="26" t="s">
        <v>9422</v>
      </c>
      <c r="B140" s="27" t="s">
        <v>9423</v>
      </c>
      <c r="C140" s="28">
        <v>1</v>
      </c>
      <c r="D140" s="29">
        <v>12</v>
      </c>
      <c r="E140" s="29">
        <v>12</v>
      </c>
      <c r="F140" s="30">
        <v>25.99</v>
      </c>
      <c r="G140" s="29">
        <v>25.99</v>
      </c>
      <c r="H140" s="28" t="s">
        <v>1798</v>
      </c>
      <c r="I140" s="27" t="s">
        <v>59</v>
      </c>
      <c r="J140" s="31" t="s">
        <v>113</v>
      </c>
      <c r="K140" s="27" t="s">
        <v>200</v>
      </c>
      <c r="L140" s="27" t="s">
        <v>243</v>
      </c>
      <c r="M140" s="32" t="str">
        <f>HYPERLINK("http://slimages.macys.com/is/image/MCY/3832882 ")</f>
        <v xml:space="preserve">http://slimages.macys.com/is/image/MCY/3832882 </v>
      </c>
    </row>
    <row r="141" spans="1:13" ht="15.2" customHeight="1" x14ac:dyDescent="0.2">
      <c r="A141" s="26" t="s">
        <v>11743</v>
      </c>
      <c r="B141" s="27" t="s">
        <v>11744</v>
      </c>
      <c r="C141" s="28">
        <v>1</v>
      </c>
      <c r="D141" s="29">
        <v>12</v>
      </c>
      <c r="E141" s="29">
        <v>12</v>
      </c>
      <c r="F141" s="30">
        <v>29.99</v>
      </c>
      <c r="G141" s="29">
        <v>29.99</v>
      </c>
      <c r="H141" s="28" t="s">
        <v>2887</v>
      </c>
      <c r="I141" s="27" t="s">
        <v>10</v>
      </c>
      <c r="J141" s="31" t="s">
        <v>40</v>
      </c>
      <c r="K141" s="27" t="s">
        <v>70</v>
      </c>
      <c r="L141" s="27" t="s">
        <v>128</v>
      </c>
      <c r="M141" s="32" t="str">
        <f>HYPERLINK("http://slimages.macys.com/is/image/MCY/3676843 ")</f>
        <v xml:space="preserve">http://slimages.macys.com/is/image/MCY/3676843 </v>
      </c>
    </row>
    <row r="142" spans="1:13" ht="15.2" customHeight="1" x14ac:dyDescent="0.2">
      <c r="A142" s="26" t="s">
        <v>11745</v>
      </c>
      <c r="B142" s="27" t="s">
        <v>11746</v>
      </c>
      <c r="C142" s="28">
        <v>1</v>
      </c>
      <c r="D142" s="29">
        <v>11.9</v>
      </c>
      <c r="E142" s="29">
        <v>11.9</v>
      </c>
      <c r="F142" s="30">
        <v>34</v>
      </c>
      <c r="G142" s="29">
        <v>34</v>
      </c>
      <c r="H142" s="28" t="s">
        <v>11747</v>
      </c>
      <c r="I142" s="27"/>
      <c r="J142" s="31" t="s">
        <v>52</v>
      </c>
      <c r="K142" s="27" t="s">
        <v>795</v>
      </c>
      <c r="L142" s="27" t="s">
        <v>796</v>
      </c>
      <c r="M142" s="32" t="str">
        <f>HYPERLINK("http://slimages.macys.com/is/image/MCY/3399806 ")</f>
        <v xml:space="preserve">http://slimages.macys.com/is/image/MCY/3399806 </v>
      </c>
    </row>
    <row r="143" spans="1:13" ht="15.2" customHeight="1" x14ac:dyDescent="0.2">
      <c r="A143" s="26" t="s">
        <v>9803</v>
      </c>
      <c r="B143" s="27" t="s">
        <v>9804</v>
      </c>
      <c r="C143" s="28">
        <v>1</v>
      </c>
      <c r="D143" s="29">
        <v>11.75</v>
      </c>
      <c r="E143" s="29">
        <v>11.75</v>
      </c>
      <c r="F143" s="30">
        <v>59</v>
      </c>
      <c r="G143" s="29">
        <v>59</v>
      </c>
      <c r="H143" s="28" t="s">
        <v>1253</v>
      </c>
      <c r="I143" s="27" t="s">
        <v>152</v>
      </c>
      <c r="J143" s="31" t="s">
        <v>234</v>
      </c>
      <c r="K143" s="27" t="s">
        <v>24</v>
      </c>
      <c r="L143" s="27" t="s">
        <v>999</v>
      </c>
      <c r="M143" s="32" t="str">
        <f>HYPERLINK("http://slimages.macys.com/is/image/MCY/2745963 ")</f>
        <v xml:space="preserve">http://slimages.macys.com/is/image/MCY/2745963 </v>
      </c>
    </row>
    <row r="144" spans="1:13" ht="15.2" customHeight="1" x14ac:dyDescent="0.2">
      <c r="A144" s="26" t="s">
        <v>11748</v>
      </c>
      <c r="B144" s="27" t="s">
        <v>11749</v>
      </c>
      <c r="C144" s="28">
        <v>1</v>
      </c>
      <c r="D144" s="29">
        <v>11.65</v>
      </c>
      <c r="E144" s="29">
        <v>11.65</v>
      </c>
      <c r="F144" s="30">
        <v>29.99</v>
      </c>
      <c r="G144" s="29">
        <v>29.99</v>
      </c>
      <c r="H144" s="28" t="s">
        <v>2185</v>
      </c>
      <c r="I144" s="27" t="s">
        <v>107</v>
      </c>
      <c r="J144" s="31" t="s">
        <v>214</v>
      </c>
      <c r="K144" s="27" t="s">
        <v>200</v>
      </c>
      <c r="L144" s="27" t="s">
        <v>552</v>
      </c>
      <c r="M144" s="32" t="str">
        <f>HYPERLINK("http://slimages.macys.com/is/image/MCY/3683142 ")</f>
        <v xml:space="preserve">http://slimages.macys.com/is/image/MCY/3683142 </v>
      </c>
    </row>
    <row r="145" spans="1:13" ht="15.2" customHeight="1" x14ac:dyDescent="0.2">
      <c r="A145" s="26" t="s">
        <v>4826</v>
      </c>
      <c r="B145" s="27" t="s">
        <v>4827</v>
      </c>
      <c r="C145" s="28">
        <v>1</v>
      </c>
      <c r="D145" s="29">
        <v>11.5</v>
      </c>
      <c r="E145" s="29">
        <v>11.5</v>
      </c>
      <c r="F145" s="30">
        <v>25.99</v>
      </c>
      <c r="G145" s="29">
        <v>25.99</v>
      </c>
      <c r="H145" s="28" t="s">
        <v>4825</v>
      </c>
      <c r="I145" s="27" t="s">
        <v>4</v>
      </c>
      <c r="J145" s="31" t="s">
        <v>234</v>
      </c>
      <c r="K145" s="27" t="s">
        <v>200</v>
      </c>
      <c r="L145" s="27" t="s">
        <v>133</v>
      </c>
      <c r="M145" s="32" t="str">
        <f>HYPERLINK("http://slimages.macys.com/is/image/MCY/1246397 ")</f>
        <v xml:space="preserve">http://slimages.macys.com/is/image/MCY/1246397 </v>
      </c>
    </row>
    <row r="146" spans="1:13" ht="15.2" customHeight="1" x14ac:dyDescent="0.2">
      <c r="A146" s="26" t="s">
        <v>2191</v>
      </c>
      <c r="B146" s="27" t="s">
        <v>2192</v>
      </c>
      <c r="C146" s="28">
        <v>1</v>
      </c>
      <c r="D146" s="29">
        <v>11.5</v>
      </c>
      <c r="E146" s="29">
        <v>11.5</v>
      </c>
      <c r="F146" s="30">
        <v>29.99</v>
      </c>
      <c r="G146" s="29">
        <v>29.99</v>
      </c>
      <c r="H146" s="28" t="s">
        <v>2193</v>
      </c>
      <c r="I146" s="27" t="s">
        <v>207</v>
      </c>
      <c r="J146" s="31" t="s">
        <v>40</v>
      </c>
      <c r="K146" s="27" t="s">
        <v>200</v>
      </c>
      <c r="L146" s="27" t="s">
        <v>133</v>
      </c>
      <c r="M146" s="32" t="str">
        <f>HYPERLINK("http://slimages.macys.com/is/image/MCY/3773829 ")</f>
        <v xml:space="preserve">http://slimages.macys.com/is/image/MCY/3773829 </v>
      </c>
    </row>
    <row r="147" spans="1:13" ht="15.2" customHeight="1" x14ac:dyDescent="0.2">
      <c r="A147" s="26" t="s">
        <v>11750</v>
      </c>
      <c r="B147" s="27" t="s">
        <v>11751</v>
      </c>
      <c r="C147" s="28">
        <v>1</v>
      </c>
      <c r="D147" s="29">
        <v>11.5</v>
      </c>
      <c r="E147" s="29">
        <v>11.5</v>
      </c>
      <c r="F147" s="30">
        <v>29.99</v>
      </c>
      <c r="G147" s="29">
        <v>29.99</v>
      </c>
      <c r="H147" s="28" t="s">
        <v>8620</v>
      </c>
      <c r="I147" s="27" t="s">
        <v>29</v>
      </c>
      <c r="J147" s="31" t="s">
        <v>71</v>
      </c>
      <c r="K147" s="27" t="s">
        <v>200</v>
      </c>
      <c r="L147" s="27" t="s">
        <v>133</v>
      </c>
      <c r="M147" s="32" t="str">
        <f>HYPERLINK("http://slimages.macys.com/is/image/MCY/3773829 ")</f>
        <v xml:space="preserve">http://slimages.macys.com/is/image/MCY/3773829 </v>
      </c>
    </row>
    <row r="148" spans="1:13" ht="15.2" customHeight="1" x14ac:dyDescent="0.2">
      <c r="A148" s="26" t="s">
        <v>779</v>
      </c>
      <c r="B148" s="27" t="s">
        <v>780</v>
      </c>
      <c r="C148" s="28">
        <v>1</v>
      </c>
      <c r="D148" s="29">
        <v>11.5</v>
      </c>
      <c r="E148" s="29">
        <v>11.5</v>
      </c>
      <c r="F148" s="30">
        <v>29.99</v>
      </c>
      <c r="G148" s="29">
        <v>29.99</v>
      </c>
      <c r="H148" s="28" t="s">
        <v>233</v>
      </c>
      <c r="I148" s="27" t="s">
        <v>4</v>
      </c>
      <c r="J148" s="31" t="s">
        <v>69</v>
      </c>
      <c r="K148" s="27" t="s">
        <v>200</v>
      </c>
      <c r="L148" s="27" t="s">
        <v>201</v>
      </c>
      <c r="M148" s="32" t="str">
        <f>HYPERLINK("http://slimages.macys.com/is/image/MCY/3899544 ")</f>
        <v xml:space="preserve">http://slimages.macys.com/is/image/MCY/3899544 </v>
      </c>
    </row>
    <row r="149" spans="1:13" ht="15.2" customHeight="1" x14ac:dyDescent="0.2">
      <c r="A149" s="26" t="s">
        <v>2895</v>
      </c>
      <c r="B149" s="27" t="s">
        <v>2896</v>
      </c>
      <c r="C149" s="28">
        <v>1</v>
      </c>
      <c r="D149" s="29">
        <v>11.5</v>
      </c>
      <c r="E149" s="29">
        <v>11.5</v>
      </c>
      <c r="F149" s="30">
        <v>27.99</v>
      </c>
      <c r="G149" s="29">
        <v>27.99</v>
      </c>
      <c r="H149" s="28" t="s">
        <v>223</v>
      </c>
      <c r="I149" s="27" t="s">
        <v>36</v>
      </c>
      <c r="J149" s="31" t="s">
        <v>21</v>
      </c>
      <c r="K149" s="27" t="s">
        <v>224</v>
      </c>
      <c r="L149" s="27" t="s">
        <v>225</v>
      </c>
      <c r="M149" s="32" t="str">
        <f>HYPERLINK("http://slimages.macys.com/is/image/MCY/3777812 ")</f>
        <v xml:space="preserve">http://slimages.macys.com/is/image/MCY/3777812 </v>
      </c>
    </row>
    <row r="150" spans="1:13" ht="15.2" customHeight="1" x14ac:dyDescent="0.2">
      <c r="A150" s="26" t="s">
        <v>9606</v>
      </c>
      <c r="B150" s="27" t="s">
        <v>9607</v>
      </c>
      <c r="C150" s="28">
        <v>1</v>
      </c>
      <c r="D150" s="29">
        <v>11.5</v>
      </c>
      <c r="E150" s="29">
        <v>11.5</v>
      </c>
      <c r="F150" s="30">
        <v>29.99</v>
      </c>
      <c r="G150" s="29">
        <v>29.99</v>
      </c>
      <c r="H150" s="28" t="s">
        <v>2193</v>
      </c>
      <c r="I150" s="27" t="s">
        <v>207</v>
      </c>
      <c r="J150" s="31" t="s">
        <v>21</v>
      </c>
      <c r="K150" s="27" t="s">
        <v>200</v>
      </c>
      <c r="L150" s="27" t="s">
        <v>133</v>
      </c>
      <c r="M150" s="32" t="str">
        <f>HYPERLINK("http://slimages.macys.com/is/image/MCY/3773829 ")</f>
        <v xml:space="preserve">http://slimages.macys.com/is/image/MCY/3773829 </v>
      </c>
    </row>
    <row r="151" spans="1:13" ht="15.2" customHeight="1" x14ac:dyDescent="0.2">
      <c r="A151" s="26" t="s">
        <v>2198</v>
      </c>
      <c r="B151" s="27" t="s">
        <v>2199</v>
      </c>
      <c r="C151" s="28">
        <v>1</v>
      </c>
      <c r="D151" s="29">
        <v>11.5</v>
      </c>
      <c r="E151" s="29">
        <v>11.5</v>
      </c>
      <c r="F151" s="30">
        <v>29.99</v>
      </c>
      <c r="G151" s="29">
        <v>29.99</v>
      </c>
      <c r="H151" s="28" t="s">
        <v>233</v>
      </c>
      <c r="I151" s="27" t="s">
        <v>4</v>
      </c>
      <c r="J151" s="31" t="s">
        <v>230</v>
      </c>
      <c r="K151" s="27" t="s">
        <v>200</v>
      </c>
      <c r="L151" s="27" t="s">
        <v>201</v>
      </c>
      <c r="M151" s="32" t="str">
        <f>HYPERLINK("http://slimages.macys.com/is/image/MCY/3899544 ")</f>
        <v xml:space="preserve">http://slimages.macys.com/is/image/MCY/3899544 </v>
      </c>
    </row>
    <row r="152" spans="1:13" ht="15.2" customHeight="1" x14ac:dyDescent="0.2">
      <c r="A152" s="26" t="s">
        <v>8212</v>
      </c>
      <c r="B152" s="27" t="s">
        <v>8213</v>
      </c>
      <c r="C152" s="28">
        <v>1</v>
      </c>
      <c r="D152" s="29">
        <v>11.25</v>
      </c>
      <c r="E152" s="29">
        <v>11.25</v>
      </c>
      <c r="F152" s="30">
        <v>25.99</v>
      </c>
      <c r="G152" s="29">
        <v>25.99</v>
      </c>
      <c r="H152" s="28" t="s">
        <v>7541</v>
      </c>
      <c r="I152" s="27" t="s">
        <v>10</v>
      </c>
      <c r="J152" s="31" t="s">
        <v>210</v>
      </c>
      <c r="K152" s="27" t="s">
        <v>200</v>
      </c>
      <c r="L152" s="27" t="s">
        <v>552</v>
      </c>
      <c r="M152" s="32" t="str">
        <f>HYPERLINK("http://slimages.macys.com/is/image/MCY/3755250 ")</f>
        <v xml:space="preserve">http://slimages.macys.com/is/image/MCY/3755250 </v>
      </c>
    </row>
    <row r="153" spans="1:13" ht="15.2" customHeight="1" x14ac:dyDescent="0.2">
      <c r="A153" s="26" t="s">
        <v>11752</v>
      </c>
      <c r="B153" s="27" t="s">
        <v>11753</v>
      </c>
      <c r="C153" s="28">
        <v>1</v>
      </c>
      <c r="D153" s="29">
        <v>11.25</v>
      </c>
      <c r="E153" s="29">
        <v>11.25</v>
      </c>
      <c r="F153" s="30">
        <v>24.99</v>
      </c>
      <c r="G153" s="29">
        <v>24.99</v>
      </c>
      <c r="H153" s="28" t="s">
        <v>4460</v>
      </c>
      <c r="I153" s="27" t="s">
        <v>8</v>
      </c>
      <c r="J153" s="31" t="s">
        <v>71</v>
      </c>
      <c r="K153" s="27" t="s">
        <v>196</v>
      </c>
      <c r="L153" s="27" t="s">
        <v>197</v>
      </c>
      <c r="M153" s="32" t="str">
        <f>HYPERLINK("http://slimages.macys.com/is/image/MCY/3624664 ")</f>
        <v xml:space="preserve">http://slimages.macys.com/is/image/MCY/3624664 </v>
      </c>
    </row>
    <row r="154" spans="1:13" ht="15.2" customHeight="1" x14ac:dyDescent="0.2">
      <c r="A154" s="26" t="s">
        <v>7539</v>
      </c>
      <c r="B154" s="27" t="s">
        <v>7540</v>
      </c>
      <c r="C154" s="28">
        <v>1</v>
      </c>
      <c r="D154" s="29">
        <v>11.25</v>
      </c>
      <c r="E154" s="29">
        <v>11.25</v>
      </c>
      <c r="F154" s="30">
        <v>25.99</v>
      </c>
      <c r="G154" s="29">
        <v>25.99</v>
      </c>
      <c r="H154" s="28" t="s">
        <v>7541</v>
      </c>
      <c r="I154" s="27" t="s">
        <v>10</v>
      </c>
      <c r="J154" s="31" t="s">
        <v>214</v>
      </c>
      <c r="K154" s="27" t="s">
        <v>200</v>
      </c>
      <c r="L154" s="27" t="s">
        <v>552</v>
      </c>
      <c r="M154" s="32" t="str">
        <f>HYPERLINK("http://slimages.macys.com/is/image/MCY/3755250 ")</f>
        <v xml:space="preserve">http://slimages.macys.com/is/image/MCY/3755250 </v>
      </c>
    </row>
    <row r="155" spans="1:13" ht="15.2" customHeight="1" x14ac:dyDescent="0.2">
      <c r="A155" s="26" t="s">
        <v>8447</v>
      </c>
      <c r="B155" s="27" t="s">
        <v>8448</v>
      </c>
      <c r="C155" s="28">
        <v>1</v>
      </c>
      <c r="D155" s="29">
        <v>11.25</v>
      </c>
      <c r="E155" s="29">
        <v>11.25</v>
      </c>
      <c r="F155" s="30">
        <v>27.99</v>
      </c>
      <c r="G155" s="29">
        <v>27.99</v>
      </c>
      <c r="H155" s="28" t="s">
        <v>7952</v>
      </c>
      <c r="I155" s="27" t="s">
        <v>274</v>
      </c>
      <c r="J155" s="31" t="s">
        <v>5</v>
      </c>
      <c r="K155" s="27" t="s">
        <v>224</v>
      </c>
      <c r="L155" s="27" t="s">
        <v>260</v>
      </c>
      <c r="M155" s="32" t="str">
        <f>HYPERLINK("http://slimages.macys.com/is/image/MCY/3843816 ")</f>
        <v xml:space="preserve">http://slimages.macys.com/is/image/MCY/3843816 </v>
      </c>
    </row>
    <row r="156" spans="1:13" ht="15.2" customHeight="1" x14ac:dyDescent="0.2">
      <c r="A156" s="26" t="s">
        <v>8281</v>
      </c>
      <c r="B156" s="27" t="s">
        <v>8282</v>
      </c>
      <c r="C156" s="28">
        <v>1</v>
      </c>
      <c r="D156" s="29">
        <v>11.25</v>
      </c>
      <c r="E156" s="29">
        <v>11.25</v>
      </c>
      <c r="F156" s="30">
        <v>29.99</v>
      </c>
      <c r="G156" s="29">
        <v>29.99</v>
      </c>
      <c r="H156" s="28" t="s">
        <v>4617</v>
      </c>
      <c r="I156" s="27" t="s">
        <v>146</v>
      </c>
      <c r="J156" s="31" t="s">
        <v>234</v>
      </c>
      <c r="K156" s="27" t="s">
        <v>200</v>
      </c>
      <c r="L156" s="27" t="s">
        <v>201</v>
      </c>
      <c r="M156" s="32" t="str">
        <f>HYPERLINK("http://slimages.macys.com/is/image/MCY/3825803 ")</f>
        <v xml:space="preserve">http://slimages.macys.com/is/image/MCY/3825803 </v>
      </c>
    </row>
    <row r="157" spans="1:13" ht="15.2" customHeight="1" x14ac:dyDescent="0.2">
      <c r="A157" s="26" t="s">
        <v>11754</v>
      </c>
      <c r="B157" s="27" t="s">
        <v>11755</v>
      </c>
      <c r="C157" s="28">
        <v>1</v>
      </c>
      <c r="D157" s="29">
        <v>11</v>
      </c>
      <c r="E157" s="29">
        <v>11</v>
      </c>
      <c r="F157" s="30">
        <v>26.99</v>
      </c>
      <c r="G157" s="29">
        <v>26.99</v>
      </c>
      <c r="H157" s="28" t="s">
        <v>7546</v>
      </c>
      <c r="I157" s="27" t="s">
        <v>22</v>
      </c>
      <c r="J157" s="31" t="s">
        <v>5</v>
      </c>
      <c r="K157" s="27" t="s">
        <v>70</v>
      </c>
      <c r="L157" s="27" t="s">
        <v>239</v>
      </c>
      <c r="M157" s="32" t="str">
        <f>HYPERLINK("http://slimages.macys.com/is/image/MCY/3723518 ")</f>
        <v xml:space="preserve">http://slimages.macys.com/is/image/MCY/3723518 </v>
      </c>
    </row>
    <row r="158" spans="1:13" ht="15.2" customHeight="1" x14ac:dyDescent="0.2">
      <c r="A158" s="26" t="s">
        <v>11756</v>
      </c>
      <c r="B158" s="27" t="s">
        <v>11757</v>
      </c>
      <c r="C158" s="28">
        <v>1</v>
      </c>
      <c r="D158" s="29">
        <v>11</v>
      </c>
      <c r="E158" s="29">
        <v>11</v>
      </c>
      <c r="F158" s="30">
        <v>26.99</v>
      </c>
      <c r="G158" s="29">
        <v>26.99</v>
      </c>
      <c r="H158" s="28" t="s">
        <v>7546</v>
      </c>
      <c r="I158" s="27" t="s">
        <v>22</v>
      </c>
      <c r="J158" s="31" t="s">
        <v>21</v>
      </c>
      <c r="K158" s="27" t="s">
        <v>70</v>
      </c>
      <c r="L158" s="27" t="s">
        <v>239</v>
      </c>
      <c r="M158" s="32" t="str">
        <f>HYPERLINK("http://slimages.macys.com/is/image/MCY/3723518 ")</f>
        <v xml:space="preserve">http://slimages.macys.com/is/image/MCY/3723518 </v>
      </c>
    </row>
    <row r="159" spans="1:13" ht="15.2" customHeight="1" x14ac:dyDescent="0.2">
      <c r="A159" s="26" t="s">
        <v>7661</v>
      </c>
      <c r="B159" s="27" t="s">
        <v>7662</v>
      </c>
      <c r="C159" s="28">
        <v>1</v>
      </c>
      <c r="D159" s="29">
        <v>11</v>
      </c>
      <c r="E159" s="29">
        <v>11</v>
      </c>
      <c r="F159" s="30">
        <v>22.99</v>
      </c>
      <c r="G159" s="29">
        <v>22.99</v>
      </c>
      <c r="H159" s="28" t="s">
        <v>7663</v>
      </c>
      <c r="I159" s="27" t="s">
        <v>1103</v>
      </c>
      <c r="J159" s="31" t="s">
        <v>21</v>
      </c>
      <c r="K159" s="27" t="s">
        <v>200</v>
      </c>
      <c r="L159" s="27" t="s">
        <v>243</v>
      </c>
      <c r="M159" s="32" t="str">
        <f>HYPERLINK("http://slimages.macys.com/is/image/MCY/3794603 ")</f>
        <v xml:space="preserve">http://slimages.macys.com/is/image/MCY/3794603 </v>
      </c>
    </row>
    <row r="160" spans="1:13" ht="15.2" customHeight="1" x14ac:dyDescent="0.2">
      <c r="A160" s="26" t="s">
        <v>11758</v>
      </c>
      <c r="B160" s="27" t="s">
        <v>11759</v>
      </c>
      <c r="C160" s="28">
        <v>1</v>
      </c>
      <c r="D160" s="29">
        <v>11</v>
      </c>
      <c r="E160" s="29">
        <v>11</v>
      </c>
      <c r="F160" s="30">
        <v>27.99</v>
      </c>
      <c r="G160" s="29">
        <v>27.99</v>
      </c>
      <c r="H160" s="28" t="s">
        <v>11760</v>
      </c>
      <c r="I160" s="27" t="s">
        <v>94</v>
      </c>
      <c r="J160" s="31" t="s">
        <v>5</v>
      </c>
      <c r="K160" s="27" t="s">
        <v>70</v>
      </c>
      <c r="L160" s="27" t="s">
        <v>128</v>
      </c>
      <c r="M160" s="32" t="str">
        <f>HYPERLINK("http://slimages.macys.com/is/image/MCY/3597535 ")</f>
        <v xml:space="preserve">http://slimages.macys.com/is/image/MCY/3597535 </v>
      </c>
    </row>
    <row r="161" spans="1:13" ht="15.2" customHeight="1" x14ac:dyDescent="0.2">
      <c r="A161" s="26" t="s">
        <v>8294</v>
      </c>
      <c r="B161" s="27" t="s">
        <v>8295</v>
      </c>
      <c r="C161" s="28">
        <v>1</v>
      </c>
      <c r="D161" s="29">
        <v>10.65</v>
      </c>
      <c r="E161" s="29">
        <v>10.65</v>
      </c>
      <c r="F161" s="30">
        <v>27.99</v>
      </c>
      <c r="G161" s="29">
        <v>27.99</v>
      </c>
      <c r="H161" s="28" t="s">
        <v>1290</v>
      </c>
      <c r="I161" s="27" t="s">
        <v>49</v>
      </c>
      <c r="J161" s="31" t="s">
        <v>40</v>
      </c>
      <c r="K161" s="27" t="s">
        <v>224</v>
      </c>
      <c r="L161" s="27" t="s">
        <v>237</v>
      </c>
      <c r="M161" s="32" t="str">
        <f>HYPERLINK("http://slimages.macys.com/is/image/MCY/3787610 ")</f>
        <v xml:space="preserve">http://slimages.macys.com/is/image/MCY/3787610 </v>
      </c>
    </row>
    <row r="162" spans="1:13" ht="15.2" customHeight="1" x14ac:dyDescent="0.2">
      <c r="A162" s="26" t="s">
        <v>11761</v>
      </c>
      <c r="B162" s="27" t="s">
        <v>11762</v>
      </c>
      <c r="C162" s="28">
        <v>1</v>
      </c>
      <c r="D162" s="29">
        <v>10.6</v>
      </c>
      <c r="E162" s="29">
        <v>10.6</v>
      </c>
      <c r="F162" s="30">
        <v>24.99</v>
      </c>
      <c r="G162" s="29">
        <v>24.99</v>
      </c>
      <c r="H162" s="28" t="s">
        <v>247</v>
      </c>
      <c r="I162" s="27" t="s">
        <v>10</v>
      </c>
      <c r="J162" s="31" t="s">
        <v>52</v>
      </c>
      <c r="K162" s="27" t="s">
        <v>208</v>
      </c>
      <c r="L162" s="27" t="s">
        <v>197</v>
      </c>
      <c r="M162" s="32" t="str">
        <f>HYPERLINK("http://slimages.macys.com/is/image/MCY/3899669 ")</f>
        <v xml:space="preserve">http://slimages.macys.com/is/image/MCY/3899669 </v>
      </c>
    </row>
    <row r="163" spans="1:13" ht="15.2" customHeight="1" x14ac:dyDescent="0.2">
      <c r="A163" s="26" t="s">
        <v>11763</v>
      </c>
      <c r="B163" s="27" t="s">
        <v>11764</v>
      </c>
      <c r="C163" s="28">
        <v>1</v>
      </c>
      <c r="D163" s="29">
        <v>10.6</v>
      </c>
      <c r="E163" s="29">
        <v>10.6</v>
      </c>
      <c r="F163" s="30">
        <v>24.99</v>
      </c>
      <c r="G163" s="29">
        <v>24.99</v>
      </c>
      <c r="H163" s="28" t="s">
        <v>247</v>
      </c>
      <c r="I163" s="27" t="s">
        <v>10</v>
      </c>
      <c r="J163" s="31" t="s">
        <v>71</v>
      </c>
      <c r="K163" s="27" t="s">
        <v>208</v>
      </c>
      <c r="L163" s="27" t="s">
        <v>197</v>
      </c>
      <c r="M163" s="32" t="str">
        <f>HYPERLINK("http://slimages.macys.com/is/image/MCY/3899669 ")</f>
        <v xml:space="preserve">http://slimages.macys.com/is/image/MCY/3899669 </v>
      </c>
    </row>
    <row r="164" spans="1:13" ht="15.2" customHeight="1" x14ac:dyDescent="0.2">
      <c r="A164" s="26" t="s">
        <v>9923</v>
      </c>
      <c r="B164" s="27" t="s">
        <v>9924</v>
      </c>
      <c r="C164" s="28">
        <v>1</v>
      </c>
      <c r="D164" s="29">
        <v>10.5</v>
      </c>
      <c r="E164" s="29">
        <v>10.5</v>
      </c>
      <c r="F164" s="30">
        <v>27.99</v>
      </c>
      <c r="G164" s="29">
        <v>27.99</v>
      </c>
      <c r="H164" s="28" t="s">
        <v>253</v>
      </c>
      <c r="I164" s="27" t="s">
        <v>4</v>
      </c>
      <c r="J164" s="31" t="s">
        <v>71</v>
      </c>
      <c r="K164" s="27" t="s">
        <v>224</v>
      </c>
      <c r="L164" s="27" t="s">
        <v>254</v>
      </c>
      <c r="M164" s="32" t="str">
        <f>HYPERLINK("http://slimages.macys.com/is/image/MCY/3798053 ")</f>
        <v xml:space="preserve">http://slimages.macys.com/is/image/MCY/3798053 </v>
      </c>
    </row>
    <row r="165" spans="1:13" ht="15.2" customHeight="1" x14ac:dyDescent="0.2">
      <c r="A165" s="26" t="s">
        <v>10080</v>
      </c>
      <c r="B165" s="27" t="s">
        <v>10081</v>
      </c>
      <c r="C165" s="28">
        <v>1</v>
      </c>
      <c r="D165" s="29">
        <v>10.5</v>
      </c>
      <c r="E165" s="29">
        <v>10.5</v>
      </c>
      <c r="F165" s="30">
        <v>25.99</v>
      </c>
      <c r="G165" s="29">
        <v>25.99</v>
      </c>
      <c r="H165" s="28" t="s">
        <v>1305</v>
      </c>
      <c r="I165" s="27" t="s">
        <v>207</v>
      </c>
      <c r="J165" s="31" t="s">
        <v>210</v>
      </c>
      <c r="K165" s="27" t="s">
        <v>200</v>
      </c>
      <c r="L165" s="27" t="s">
        <v>133</v>
      </c>
      <c r="M165" s="32" t="str">
        <f>HYPERLINK("http://slimages.macys.com/is/image/MCY/3773860 ")</f>
        <v xml:space="preserve">http://slimages.macys.com/is/image/MCY/3773860 </v>
      </c>
    </row>
    <row r="166" spans="1:13" ht="15.2" customHeight="1" x14ac:dyDescent="0.2">
      <c r="A166" s="26" t="s">
        <v>2904</v>
      </c>
      <c r="B166" s="27" t="s">
        <v>2905</v>
      </c>
      <c r="C166" s="28">
        <v>1</v>
      </c>
      <c r="D166" s="29">
        <v>10.5</v>
      </c>
      <c r="E166" s="29">
        <v>10.5</v>
      </c>
      <c r="F166" s="30">
        <v>25.99</v>
      </c>
      <c r="G166" s="29">
        <v>25.99</v>
      </c>
      <c r="H166" s="28" t="s">
        <v>1305</v>
      </c>
      <c r="I166" s="27" t="s">
        <v>207</v>
      </c>
      <c r="J166" s="31" t="s">
        <v>69</v>
      </c>
      <c r="K166" s="27" t="s">
        <v>200</v>
      </c>
      <c r="L166" s="27" t="s">
        <v>133</v>
      </c>
      <c r="M166" s="32" t="str">
        <f>HYPERLINK("http://slimages.macys.com/is/image/MCY/3773860 ")</f>
        <v xml:space="preserve">http://slimages.macys.com/is/image/MCY/3773860 </v>
      </c>
    </row>
    <row r="167" spans="1:13" ht="15.2" customHeight="1" x14ac:dyDescent="0.2">
      <c r="A167" s="26" t="s">
        <v>10242</v>
      </c>
      <c r="B167" s="27" t="s">
        <v>10243</v>
      </c>
      <c r="C167" s="28">
        <v>1</v>
      </c>
      <c r="D167" s="29">
        <v>10.5</v>
      </c>
      <c r="E167" s="29">
        <v>10.5</v>
      </c>
      <c r="F167" s="30">
        <v>25.99</v>
      </c>
      <c r="G167" s="29">
        <v>25.99</v>
      </c>
      <c r="H167" s="28" t="s">
        <v>1305</v>
      </c>
      <c r="I167" s="27" t="s">
        <v>207</v>
      </c>
      <c r="J167" s="31" t="s">
        <v>8363</v>
      </c>
      <c r="K167" s="27" t="s">
        <v>200</v>
      </c>
      <c r="L167" s="27" t="s">
        <v>133</v>
      </c>
      <c r="M167" s="32" t="str">
        <f>HYPERLINK("http://slimages.macys.com/is/image/MCY/3773860 ")</f>
        <v xml:space="preserve">http://slimages.macys.com/is/image/MCY/3773860 </v>
      </c>
    </row>
    <row r="168" spans="1:13" ht="15.2" customHeight="1" x14ac:dyDescent="0.2">
      <c r="A168" s="26" t="s">
        <v>6036</v>
      </c>
      <c r="B168" s="27" t="s">
        <v>6037</v>
      </c>
      <c r="C168" s="28">
        <v>1</v>
      </c>
      <c r="D168" s="29">
        <v>10.5</v>
      </c>
      <c r="E168" s="29">
        <v>10.5</v>
      </c>
      <c r="F168" s="30">
        <v>24.99</v>
      </c>
      <c r="G168" s="29">
        <v>24.99</v>
      </c>
      <c r="H168" s="28" t="s">
        <v>259</v>
      </c>
      <c r="I168" s="27" t="s">
        <v>26</v>
      </c>
      <c r="J168" s="31" t="s">
        <v>5</v>
      </c>
      <c r="K168" s="27" t="s">
        <v>224</v>
      </c>
      <c r="L168" s="27" t="s">
        <v>260</v>
      </c>
      <c r="M168" s="32" t="str">
        <f>HYPERLINK("http://slimages.macys.com/is/image/MCY/3832935 ")</f>
        <v xml:space="preserve">http://slimages.macys.com/is/image/MCY/3832935 </v>
      </c>
    </row>
    <row r="169" spans="1:13" ht="15.2" customHeight="1" x14ac:dyDescent="0.2">
      <c r="A169" s="26" t="s">
        <v>9862</v>
      </c>
      <c r="B169" s="27" t="s">
        <v>9863</v>
      </c>
      <c r="C169" s="28">
        <v>1</v>
      </c>
      <c r="D169" s="29">
        <v>10.5</v>
      </c>
      <c r="E169" s="29">
        <v>10.5</v>
      </c>
      <c r="F169" s="30">
        <v>24.99</v>
      </c>
      <c r="G169" s="29">
        <v>24.99</v>
      </c>
      <c r="H169" s="28" t="s">
        <v>1809</v>
      </c>
      <c r="I169" s="27" t="s">
        <v>59</v>
      </c>
      <c r="J169" s="31" t="s">
        <v>5</v>
      </c>
      <c r="K169" s="27" t="s">
        <v>70</v>
      </c>
      <c r="L169" s="27" t="s">
        <v>239</v>
      </c>
      <c r="M169" s="32" t="str">
        <f>HYPERLINK("http://slimages.macys.com/is/image/MCY/3723502 ")</f>
        <v xml:space="preserve">http://slimages.macys.com/is/image/MCY/3723502 </v>
      </c>
    </row>
    <row r="170" spans="1:13" ht="15.2" customHeight="1" x14ac:dyDescent="0.2">
      <c r="A170" s="26" t="s">
        <v>9102</v>
      </c>
      <c r="B170" s="27" t="s">
        <v>9103</v>
      </c>
      <c r="C170" s="28">
        <v>1</v>
      </c>
      <c r="D170" s="29">
        <v>10.5</v>
      </c>
      <c r="E170" s="29">
        <v>10.5</v>
      </c>
      <c r="F170" s="30">
        <v>27.99</v>
      </c>
      <c r="G170" s="29">
        <v>27.99</v>
      </c>
      <c r="H170" s="28" t="s">
        <v>253</v>
      </c>
      <c r="I170" s="27" t="s">
        <v>274</v>
      </c>
      <c r="J170" s="31" t="s">
        <v>5</v>
      </c>
      <c r="K170" s="27" t="s">
        <v>224</v>
      </c>
      <c r="L170" s="27" t="s">
        <v>254</v>
      </c>
      <c r="M170" s="32" t="str">
        <f>HYPERLINK("http://slimages.macys.com/is/image/MCY/3798053 ")</f>
        <v xml:space="preserve">http://slimages.macys.com/is/image/MCY/3798053 </v>
      </c>
    </row>
    <row r="171" spans="1:13" ht="15.2" customHeight="1" x14ac:dyDescent="0.2">
      <c r="A171" s="26" t="s">
        <v>11765</v>
      </c>
      <c r="B171" s="27" t="s">
        <v>11766</v>
      </c>
      <c r="C171" s="28">
        <v>1</v>
      </c>
      <c r="D171" s="29">
        <v>10.45</v>
      </c>
      <c r="E171" s="29">
        <v>10.45</v>
      </c>
      <c r="F171" s="30">
        <v>24.99</v>
      </c>
      <c r="G171" s="29">
        <v>24.99</v>
      </c>
      <c r="H171" s="28" t="s">
        <v>8394</v>
      </c>
      <c r="I171" s="27" t="s">
        <v>291</v>
      </c>
      <c r="J171" s="31" t="s">
        <v>21</v>
      </c>
      <c r="K171" s="27" t="s">
        <v>159</v>
      </c>
      <c r="L171" s="27" t="s">
        <v>160</v>
      </c>
      <c r="M171" s="32" t="str">
        <f>HYPERLINK("http://slimages.macys.com/is/image/MCY/3794616 ")</f>
        <v xml:space="preserve">http://slimages.macys.com/is/image/MCY/3794616 </v>
      </c>
    </row>
    <row r="172" spans="1:13" ht="15.2" customHeight="1" x14ac:dyDescent="0.2">
      <c r="A172" s="26" t="s">
        <v>11767</v>
      </c>
      <c r="B172" s="27" t="s">
        <v>11768</v>
      </c>
      <c r="C172" s="28">
        <v>1</v>
      </c>
      <c r="D172" s="29">
        <v>10.45</v>
      </c>
      <c r="E172" s="29">
        <v>10.45</v>
      </c>
      <c r="F172" s="30">
        <v>24.99</v>
      </c>
      <c r="G172" s="29">
        <v>24.99</v>
      </c>
      <c r="H172" s="28" t="s">
        <v>8394</v>
      </c>
      <c r="I172" s="27" t="s">
        <v>291</v>
      </c>
      <c r="J172" s="31" t="s">
        <v>71</v>
      </c>
      <c r="K172" s="27" t="s">
        <v>159</v>
      </c>
      <c r="L172" s="27" t="s">
        <v>160</v>
      </c>
      <c r="M172" s="32" t="str">
        <f>HYPERLINK("http://slimages.macys.com/is/image/MCY/3794616 ")</f>
        <v xml:space="preserve">http://slimages.macys.com/is/image/MCY/3794616 </v>
      </c>
    </row>
    <row r="173" spans="1:13" ht="15.2" customHeight="1" x14ac:dyDescent="0.2">
      <c r="A173" s="26" t="s">
        <v>11185</v>
      </c>
      <c r="B173" s="27" t="s">
        <v>11186</v>
      </c>
      <c r="C173" s="28">
        <v>1</v>
      </c>
      <c r="D173" s="29">
        <v>10</v>
      </c>
      <c r="E173" s="29">
        <v>10</v>
      </c>
      <c r="F173" s="30">
        <v>22.99</v>
      </c>
      <c r="G173" s="29">
        <v>22.99</v>
      </c>
      <c r="H173" s="28" t="s">
        <v>8805</v>
      </c>
      <c r="I173" s="27" t="s">
        <v>59</v>
      </c>
      <c r="J173" s="31" t="s">
        <v>40</v>
      </c>
      <c r="K173" s="27" t="s">
        <v>196</v>
      </c>
      <c r="L173" s="27" t="s">
        <v>256</v>
      </c>
      <c r="M173" s="32" t="str">
        <f>HYPERLINK("http://slimages.macys.com/is/image/MCY/3755144 ")</f>
        <v xml:space="preserve">http://slimages.macys.com/is/image/MCY/3755144 </v>
      </c>
    </row>
    <row r="174" spans="1:13" ht="15.2" customHeight="1" x14ac:dyDescent="0.2">
      <c r="A174" s="26" t="s">
        <v>9805</v>
      </c>
      <c r="B174" s="27" t="s">
        <v>9806</v>
      </c>
      <c r="C174" s="28">
        <v>1</v>
      </c>
      <c r="D174" s="29">
        <v>10</v>
      </c>
      <c r="E174" s="29">
        <v>10</v>
      </c>
      <c r="F174" s="30">
        <v>22.99</v>
      </c>
      <c r="G174" s="29">
        <v>22.99</v>
      </c>
      <c r="H174" s="28" t="s">
        <v>8216</v>
      </c>
      <c r="I174" s="27" t="s">
        <v>94</v>
      </c>
      <c r="J174" s="31" t="s">
        <v>5</v>
      </c>
      <c r="K174" s="27" t="s">
        <v>200</v>
      </c>
      <c r="L174" s="27" t="s">
        <v>243</v>
      </c>
      <c r="M174" s="32" t="str">
        <f>HYPERLINK("http://slimages.macys.com/is/image/MCY/3658826 ")</f>
        <v xml:space="preserve">http://slimages.macys.com/is/image/MCY/3658826 </v>
      </c>
    </row>
    <row r="175" spans="1:13" ht="15.2" customHeight="1" x14ac:dyDescent="0.2">
      <c r="A175" s="26" t="s">
        <v>11769</v>
      </c>
      <c r="B175" s="27" t="s">
        <v>11770</v>
      </c>
      <c r="C175" s="28">
        <v>1</v>
      </c>
      <c r="D175" s="29">
        <v>10</v>
      </c>
      <c r="E175" s="29">
        <v>10</v>
      </c>
      <c r="F175" s="30">
        <v>24.99</v>
      </c>
      <c r="G175" s="29">
        <v>24.99</v>
      </c>
      <c r="H175" s="28" t="s">
        <v>7388</v>
      </c>
      <c r="I175" s="27" t="s">
        <v>39</v>
      </c>
      <c r="J175" s="31" t="s">
        <v>71</v>
      </c>
      <c r="K175" s="27" t="s">
        <v>70</v>
      </c>
      <c r="L175" s="27" t="s">
        <v>25</v>
      </c>
      <c r="M175" s="32" t="str">
        <f>HYPERLINK("http://slimages.macys.com/is/image/MCY/3666156 ")</f>
        <v xml:space="preserve">http://slimages.macys.com/is/image/MCY/3666156 </v>
      </c>
    </row>
    <row r="176" spans="1:13" ht="15.2" customHeight="1" x14ac:dyDescent="0.2">
      <c r="A176" s="26" t="s">
        <v>8803</v>
      </c>
      <c r="B176" s="27" t="s">
        <v>8804</v>
      </c>
      <c r="C176" s="28">
        <v>1</v>
      </c>
      <c r="D176" s="29">
        <v>10</v>
      </c>
      <c r="E176" s="29">
        <v>10</v>
      </c>
      <c r="F176" s="30">
        <v>22.99</v>
      </c>
      <c r="G176" s="29">
        <v>22.99</v>
      </c>
      <c r="H176" s="28" t="s">
        <v>8805</v>
      </c>
      <c r="I176" s="27" t="s">
        <v>59</v>
      </c>
      <c r="J176" s="31" t="s">
        <v>21</v>
      </c>
      <c r="K176" s="27" t="s">
        <v>196</v>
      </c>
      <c r="L176" s="27" t="s">
        <v>256</v>
      </c>
      <c r="M176" s="32" t="str">
        <f>HYPERLINK("http://slimages.macys.com/is/image/MCY/3755144 ")</f>
        <v xml:space="preserve">http://slimages.macys.com/is/image/MCY/3755144 </v>
      </c>
    </row>
    <row r="177" spans="1:13" ht="15.2" customHeight="1" x14ac:dyDescent="0.2">
      <c r="A177" s="26" t="s">
        <v>2912</v>
      </c>
      <c r="B177" s="27" t="s">
        <v>2913</v>
      </c>
      <c r="C177" s="28">
        <v>1</v>
      </c>
      <c r="D177" s="29">
        <v>10</v>
      </c>
      <c r="E177" s="29">
        <v>10</v>
      </c>
      <c r="F177" s="30">
        <v>27.99</v>
      </c>
      <c r="G177" s="29">
        <v>27.99</v>
      </c>
      <c r="H177" s="28" t="s">
        <v>279</v>
      </c>
      <c r="I177" s="27" t="s">
        <v>127</v>
      </c>
      <c r="J177" s="31" t="s">
        <v>21</v>
      </c>
      <c r="K177" s="27" t="s">
        <v>224</v>
      </c>
      <c r="L177" s="27" t="s">
        <v>237</v>
      </c>
      <c r="M177" s="32" t="str">
        <f>HYPERLINK("http://slimages.macys.com/is/image/MCY/3820964 ")</f>
        <v xml:space="preserve">http://slimages.macys.com/is/image/MCY/3820964 </v>
      </c>
    </row>
    <row r="178" spans="1:13" ht="15.2" customHeight="1" x14ac:dyDescent="0.2">
      <c r="A178" s="26" t="s">
        <v>2218</v>
      </c>
      <c r="B178" s="27" t="s">
        <v>2219</v>
      </c>
      <c r="C178" s="28">
        <v>1</v>
      </c>
      <c r="D178" s="29">
        <v>10</v>
      </c>
      <c r="E178" s="29">
        <v>10</v>
      </c>
      <c r="F178" s="30">
        <v>24.99</v>
      </c>
      <c r="G178" s="29">
        <v>24.99</v>
      </c>
      <c r="H178" s="28">
        <v>59817</v>
      </c>
      <c r="I178" s="27"/>
      <c r="J178" s="31" t="s">
        <v>40</v>
      </c>
      <c r="K178" s="27" t="s">
        <v>224</v>
      </c>
      <c r="L178" s="27" t="s">
        <v>254</v>
      </c>
      <c r="M178" s="32" t="str">
        <f>HYPERLINK("http://slimages.macys.com/is/image/MCY/3827474 ")</f>
        <v xml:space="preserve">http://slimages.macys.com/is/image/MCY/3827474 </v>
      </c>
    </row>
    <row r="179" spans="1:13" ht="15.2" customHeight="1" x14ac:dyDescent="0.2">
      <c r="A179" s="26" t="s">
        <v>8400</v>
      </c>
      <c r="B179" s="27" t="s">
        <v>8401</v>
      </c>
      <c r="C179" s="28">
        <v>1</v>
      </c>
      <c r="D179" s="29">
        <v>9.8000000000000007</v>
      </c>
      <c r="E179" s="29">
        <v>9.8000000000000007</v>
      </c>
      <c r="F179" s="30">
        <v>29</v>
      </c>
      <c r="G179" s="29">
        <v>29</v>
      </c>
      <c r="H179" s="28" t="s">
        <v>7019</v>
      </c>
      <c r="I179" s="27" t="s">
        <v>1</v>
      </c>
      <c r="J179" s="31" t="s">
        <v>52</v>
      </c>
      <c r="K179" s="27" t="s">
        <v>42</v>
      </c>
      <c r="L179" s="27" t="s">
        <v>43</v>
      </c>
      <c r="M179" s="32" t="str">
        <f>HYPERLINK("http://slimages.macys.com/is/image/MCY/3611466 ")</f>
        <v xml:space="preserve">http://slimages.macys.com/is/image/MCY/3611466 </v>
      </c>
    </row>
    <row r="180" spans="1:13" ht="15.2" customHeight="1" x14ac:dyDescent="0.2">
      <c r="A180" s="26" t="s">
        <v>8404</v>
      </c>
      <c r="B180" s="27" t="s">
        <v>8405</v>
      </c>
      <c r="C180" s="28">
        <v>2</v>
      </c>
      <c r="D180" s="29">
        <v>9.75</v>
      </c>
      <c r="E180" s="29">
        <v>19.5</v>
      </c>
      <c r="F180" s="30">
        <v>19.989999999999998</v>
      </c>
      <c r="G180" s="29">
        <v>39.979999999999997</v>
      </c>
      <c r="H180" s="28" t="s">
        <v>2632</v>
      </c>
      <c r="I180" s="27" t="s">
        <v>59</v>
      </c>
      <c r="J180" s="31" t="s">
        <v>40</v>
      </c>
      <c r="K180" s="27" t="s">
        <v>196</v>
      </c>
      <c r="L180" s="27" t="s">
        <v>256</v>
      </c>
      <c r="M180" s="32" t="str">
        <f>HYPERLINK("http://slimages.macys.com/is/image/MCY/3755166 ")</f>
        <v xml:space="preserve">http://slimages.macys.com/is/image/MCY/3755166 </v>
      </c>
    </row>
    <row r="181" spans="1:13" ht="15.2" customHeight="1" x14ac:dyDescent="0.2">
      <c r="A181" s="26" t="s">
        <v>9864</v>
      </c>
      <c r="B181" s="27" t="s">
        <v>9865</v>
      </c>
      <c r="C181" s="28">
        <v>1</v>
      </c>
      <c r="D181" s="29">
        <v>9.75</v>
      </c>
      <c r="E181" s="29">
        <v>9.75</v>
      </c>
      <c r="F181" s="30">
        <v>19.989999999999998</v>
      </c>
      <c r="G181" s="29">
        <v>19.989999999999998</v>
      </c>
      <c r="H181" s="28" t="s">
        <v>2632</v>
      </c>
      <c r="I181" s="27" t="s">
        <v>10</v>
      </c>
      <c r="J181" s="31" t="s">
        <v>40</v>
      </c>
      <c r="K181" s="27" t="s">
        <v>196</v>
      </c>
      <c r="L181" s="27" t="s">
        <v>256</v>
      </c>
      <c r="M181" s="32" t="str">
        <f>HYPERLINK("http://slimages.macys.com/is/image/MCY/3755166 ")</f>
        <v xml:space="preserve">http://slimages.macys.com/is/image/MCY/3755166 </v>
      </c>
    </row>
    <row r="182" spans="1:13" ht="15.2" customHeight="1" x14ac:dyDescent="0.2">
      <c r="A182" s="26" t="s">
        <v>8648</v>
      </c>
      <c r="B182" s="27" t="s">
        <v>8649</v>
      </c>
      <c r="C182" s="28">
        <v>2</v>
      </c>
      <c r="D182" s="29">
        <v>9.75</v>
      </c>
      <c r="E182" s="29">
        <v>19.5</v>
      </c>
      <c r="F182" s="30">
        <v>27.99</v>
      </c>
      <c r="G182" s="29">
        <v>55.98</v>
      </c>
      <c r="H182" s="28" t="s">
        <v>8303</v>
      </c>
      <c r="I182" s="27" t="s">
        <v>94</v>
      </c>
      <c r="J182" s="31" t="s">
        <v>5</v>
      </c>
      <c r="K182" s="27" t="s">
        <v>224</v>
      </c>
      <c r="L182" s="27" t="s">
        <v>563</v>
      </c>
      <c r="M182" s="32" t="str">
        <f>HYPERLINK("http://slimages.macys.com/is/image/MCY/3954242 ")</f>
        <v xml:space="preserve">http://slimages.macys.com/is/image/MCY/3954242 </v>
      </c>
    </row>
    <row r="183" spans="1:13" ht="15.2" customHeight="1" x14ac:dyDescent="0.2">
      <c r="A183" s="26" t="s">
        <v>8402</v>
      </c>
      <c r="B183" s="27" t="s">
        <v>8403</v>
      </c>
      <c r="C183" s="28">
        <v>1</v>
      </c>
      <c r="D183" s="29">
        <v>9.75</v>
      </c>
      <c r="E183" s="29">
        <v>9.75</v>
      </c>
      <c r="F183" s="30">
        <v>22.99</v>
      </c>
      <c r="G183" s="29">
        <v>22.99</v>
      </c>
      <c r="H183" s="28">
        <v>60444973</v>
      </c>
      <c r="I183" s="27" t="s">
        <v>4</v>
      </c>
      <c r="J183" s="31" t="s">
        <v>40</v>
      </c>
      <c r="K183" s="27" t="s">
        <v>208</v>
      </c>
      <c r="L183" s="27" t="s">
        <v>255</v>
      </c>
      <c r="M183" s="32" t="str">
        <f>HYPERLINK("http://slimages.macys.com/is/image/MCY/3850039 ")</f>
        <v xml:space="preserve">http://slimages.macys.com/is/image/MCY/3850039 </v>
      </c>
    </row>
    <row r="184" spans="1:13" ht="15.2" customHeight="1" x14ac:dyDescent="0.2">
      <c r="A184" s="26" t="s">
        <v>11771</v>
      </c>
      <c r="B184" s="27" t="s">
        <v>11772</v>
      </c>
      <c r="C184" s="28">
        <v>1</v>
      </c>
      <c r="D184" s="29">
        <v>9.5</v>
      </c>
      <c r="E184" s="29">
        <v>9.5</v>
      </c>
      <c r="F184" s="30">
        <v>22.99</v>
      </c>
      <c r="G184" s="29">
        <v>22.99</v>
      </c>
      <c r="H184" s="28" t="s">
        <v>5065</v>
      </c>
      <c r="I184" s="27" t="s">
        <v>144</v>
      </c>
      <c r="J184" s="31" t="s">
        <v>5</v>
      </c>
      <c r="K184" s="27" t="s">
        <v>208</v>
      </c>
      <c r="L184" s="27" t="s">
        <v>197</v>
      </c>
      <c r="M184" s="32" t="str">
        <f>HYPERLINK("http://slimages.macys.com/is/image/MCY/3738472 ")</f>
        <v xml:space="preserve">http://slimages.macys.com/is/image/MCY/3738472 </v>
      </c>
    </row>
    <row r="185" spans="1:13" ht="15.2" customHeight="1" x14ac:dyDescent="0.2">
      <c r="A185" s="26" t="s">
        <v>11773</v>
      </c>
      <c r="B185" s="27" t="s">
        <v>11774</v>
      </c>
      <c r="C185" s="28">
        <v>1</v>
      </c>
      <c r="D185" s="29">
        <v>9.5</v>
      </c>
      <c r="E185" s="29">
        <v>9.5</v>
      </c>
      <c r="F185" s="30">
        <v>14.99</v>
      </c>
      <c r="G185" s="29">
        <v>14.99</v>
      </c>
      <c r="H185" s="28">
        <v>60433943</v>
      </c>
      <c r="I185" s="27" t="s">
        <v>4</v>
      </c>
      <c r="J185" s="31" t="s">
        <v>71</v>
      </c>
      <c r="K185" s="27" t="s">
        <v>208</v>
      </c>
      <c r="L185" s="27" t="s">
        <v>255</v>
      </c>
      <c r="M185" s="32" t="str">
        <f>HYPERLINK("http://slimages.macys.com/is/image/MCY/3621857 ")</f>
        <v xml:space="preserve">http://slimages.macys.com/is/image/MCY/3621857 </v>
      </c>
    </row>
    <row r="186" spans="1:13" ht="15.2" customHeight="1" x14ac:dyDescent="0.2">
      <c r="A186" s="26" t="s">
        <v>9809</v>
      </c>
      <c r="B186" s="27" t="s">
        <v>9810</v>
      </c>
      <c r="C186" s="28">
        <v>1</v>
      </c>
      <c r="D186" s="29">
        <v>9.5</v>
      </c>
      <c r="E186" s="29">
        <v>9.5</v>
      </c>
      <c r="F186" s="30">
        <v>22.99</v>
      </c>
      <c r="G186" s="29">
        <v>22.99</v>
      </c>
      <c r="H186" s="28" t="s">
        <v>1328</v>
      </c>
      <c r="I186" s="27" t="s">
        <v>144</v>
      </c>
      <c r="J186" s="31" t="s">
        <v>21</v>
      </c>
      <c r="K186" s="27" t="s">
        <v>196</v>
      </c>
      <c r="L186" s="27" t="s">
        <v>1329</v>
      </c>
      <c r="M186" s="32" t="str">
        <f>HYPERLINK("http://slimages.macys.com/is/image/MCY/3732859 ")</f>
        <v xml:space="preserve">http://slimages.macys.com/is/image/MCY/3732859 </v>
      </c>
    </row>
    <row r="187" spans="1:13" ht="15.2" customHeight="1" x14ac:dyDescent="0.2">
      <c r="A187" s="26" t="s">
        <v>2928</v>
      </c>
      <c r="B187" s="27" t="s">
        <v>2929</v>
      </c>
      <c r="C187" s="28">
        <v>1</v>
      </c>
      <c r="D187" s="29">
        <v>9.5</v>
      </c>
      <c r="E187" s="29">
        <v>9.5</v>
      </c>
      <c r="F187" s="30">
        <v>24.99</v>
      </c>
      <c r="G187" s="29">
        <v>24.99</v>
      </c>
      <c r="H187" s="28" t="s">
        <v>288</v>
      </c>
      <c r="I187" s="27" t="s">
        <v>285</v>
      </c>
      <c r="J187" s="31" t="s">
        <v>40</v>
      </c>
      <c r="K187" s="27" t="s">
        <v>224</v>
      </c>
      <c r="L187" s="27" t="s">
        <v>239</v>
      </c>
      <c r="M187" s="32" t="str">
        <f>HYPERLINK("http://slimages.macys.com/is/image/MCY/3719840 ")</f>
        <v xml:space="preserve">http://slimages.macys.com/is/image/MCY/3719840 </v>
      </c>
    </row>
    <row r="188" spans="1:13" ht="15.2" customHeight="1" x14ac:dyDescent="0.2">
      <c r="A188" s="26" t="s">
        <v>7754</v>
      </c>
      <c r="B188" s="27" t="s">
        <v>7755</v>
      </c>
      <c r="C188" s="28">
        <v>2</v>
      </c>
      <c r="D188" s="29">
        <v>9.25</v>
      </c>
      <c r="E188" s="29">
        <v>18.5</v>
      </c>
      <c r="F188" s="30">
        <v>19.989999999999998</v>
      </c>
      <c r="G188" s="29">
        <v>39.979999999999997</v>
      </c>
      <c r="H188" s="28" t="s">
        <v>7555</v>
      </c>
      <c r="I188" s="27" t="s">
        <v>215</v>
      </c>
      <c r="J188" s="31" t="s">
        <v>21</v>
      </c>
      <c r="K188" s="27" t="s">
        <v>282</v>
      </c>
      <c r="L188" s="27" t="s">
        <v>283</v>
      </c>
      <c r="M188" s="32" t="str">
        <f>HYPERLINK("http://slimages.macys.com/is/image/MCY/3832893 ")</f>
        <v xml:space="preserve">http://slimages.macys.com/is/image/MCY/3832893 </v>
      </c>
    </row>
    <row r="189" spans="1:13" ht="15.2" customHeight="1" x14ac:dyDescent="0.2">
      <c r="A189" s="26" t="s">
        <v>8307</v>
      </c>
      <c r="B189" s="27" t="s">
        <v>8308</v>
      </c>
      <c r="C189" s="28">
        <v>1</v>
      </c>
      <c r="D189" s="29">
        <v>9.25</v>
      </c>
      <c r="E189" s="29">
        <v>9.25</v>
      </c>
      <c r="F189" s="30">
        <v>19.989999999999998</v>
      </c>
      <c r="G189" s="29">
        <v>19.989999999999998</v>
      </c>
      <c r="H189" s="28" t="s">
        <v>808</v>
      </c>
      <c r="I189" s="27" t="s">
        <v>4</v>
      </c>
      <c r="J189" s="31" t="s">
        <v>40</v>
      </c>
      <c r="K189" s="27" t="s">
        <v>282</v>
      </c>
      <c r="L189" s="27" t="s">
        <v>283</v>
      </c>
      <c r="M189" s="32" t="str">
        <f>HYPERLINK("http://slimages.macys.com/is/image/MCY/3835617 ")</f>
        <v xml:space="preserve">http://slimages.macys.com/is/image/MCY/3835617 </v>
      </c>
    </row>
    <row r="190" spans="1:13" ht="15.2" customHeight="1" x14ac:dyDescent="0.2">
      <c r="A190" s="26" t="s">
        <v>8819</v>
      </c>
      <c r="B190" s="27" t="s">
        <v>8820</v>
      </c>
      <c r="C190" s="28">
        <v>1</v>
      </c>
      <c r="D190" s="29">
        <v>9.25</v>
      </c>
      <c r="E190" s="29">
        <v>9.25</v>
      </c>
      <c r="F190" s="30">
        <v>19.989999999999998</v>
      </c>
      <c r="G190" s="29">
        <v>19.989999999999998</v>
      </c>
      <c r="H190" s="28" t="s">
        <v>808</v>
      </c>
      <c r="I190" s="27" t="s">
        <v>4</v>
      </c>
      <c r="J190" s="31" t="s">
        <v>71</v>
      </c>
      <c r="K190" s="27" t="s">
        <v>282</v>
      </c>
      <c r="L190" s="27" t="s">
        <v>283</v>
      </c>
      <c r="M190" s="32" t="str">
        <f>HYPERLINK("http://slimages.macys.com/is/image/MCY/3835617 ")</f>
        <v xml:space="preserve">http://slimages.macys.com/is/image/MCY/3835617 </v>
      </c>
    </row>
    <row r="191" spans="1:13" ht="15.2" customHeight="1" x14ac:dyDescent="0.2">
      <c r="A191" s="26" t="s">
        <v>4632</v>
      </c>
      <c r="B191" s="27" t="s">
        <v>4633</v>
      </c>
      <c r="C191" s="28">
        <v>1</v>
      </c>
      <c r="D191" s="29">
        <v>9.25</v>
      </c>
      <c r="E191" s="29">
        <v>9.25</v>
      </c>
      <c r="F191" s="30">
        <v>19.989999999999998</v>
      </c>
      <c r="G191" s="29">
        <v>19.989999999999998</v>
      </c>
      <c r="H191" s="28" t="s">
        <v>2231</v>
      </c>
      <c r="I191" s="27" t="s">
        <v>271</v>
      </c>
      <c r="J191" s="31" t="s">
        <v>40</v>
      </c>
      <c r="K191" s="27" t="s">
        <v>282</v>
      </c>
      <c r="L191" s="27" t="s">
        <v>283</v>
      </c>
      <c r="M191" s="32" t="str">
        <f>HYPERLINK("http://slimages.macys.com/is/image/MCY/3832193 ")</f>
        <v xml:space="preserve">http://slimages.macys.com/is/image/MCY/3832193 </v>
      </c>
    </row>
    <row r="192" spans="1:13" ht="15.2" customHeight="1" x14ac:dyDescent="0.2">
      <c r="A192" s="26" t="s">
        <v>806</v>
      </c>
      <c r="B192" s="27" t="s">
        <v>807</v>
      </c>
      <c r="C192" s="28">
        <v>1</v>
      </c>
      <c r="D192" s="29">
        <v>9.25</v>
      </c>
      <c r="E192" s="29">
        <v>9.25</v>
      </c>
      <c r="F192" s="30">
        <v>19.989999999999998</v>
      </c>
      <c r="G192" s="29">
        <v>19.989999999999998</v>
      </c>
      <c r="H192" s="28" t="s">
        <v>808</v>
      </c>
      <c r="I192" s="27" t="s">
        <v>4</v>
      </c>
      <c r="J192" s="31" t="s">
        <v>5</v>
      </c>
      <c r="K192" s="27" t="s">
        <v>282</v>
      </c>
      <c r="L192" s="27" t="s">
        <v>283</v>
      </c>
      <c r="M192" s="32" t="str">
        <f>HYPERLINK("http://slimages.macys.com/is/image/MCY/3835617 ")</f>
        <v xml:space="preserve">http://slimages.macys.com/is/image/MCY/3835617 </v>
      </c>
    </row>
    <row r="193" spans="1:13" ht="15.2" customHeight="1" x14ac:dyDescent="0.2">
      <c r="A193" s="26" t="s">
        <v>9142</v>
      </c>
      <c r="B193" s="27" t="s">
        <v>9143</v>
      </c>
      <c r="C193" s="28">
        <v>1</v>
      </c>
      <c r="D193" s="29">
        <v>9.25</v>
      </c>
      <c r="E193" s="29">
        <v>9.25</v>
      </c>
      <c r="F193" s="30">
        <v>19.989999999999998</v>
      </c>
      <c r="G193" s="29">
        <v>19.989999999999998</v>
      </c>
      <c r="H193" s="28" t="s">
        <v>7555</v>
      </c>
      <c r="I193" s="27" t="s">
        <v>215</v>
      </c>
      <c r="J193" s="31" t="s">
        <v>52</v>
      </c>
      <c r="K193" s="27" t="s">
        <v>282</v>
      </c>
      <c r="L193" s="27" t="s">
        <v>283</v>
      </c>
      <c r="M193" s="32" t="str">
        <f>HYPERLINK("http://slimages.macys.com/is/image/MCY/3832893 ")</f>
        <v xml:space="preserve">http://slimages.macys.com/is/image/MCY/3832893 </v>
      </c>
    </row>
    <row r="194" spans="1:13" ht="15.2" customHeight="1" x14ac:dyDescent="0.2">
      <c r="A194" s="26" t="s">
        <v>8650</v>
      </c>
      <c r="B194" s="27" t="s">
        <v>8651</v>
      </c>
      <c r="C194" s="28">
        <v>1</v>
      </c>
      <c r="D194" s="29">
        <v>9.25</v>
      </c>
      <c r="E194" s="29">
        <v>9.25</v>
      </c>
      <c r="F194" s="30">
        <v>19.989999999999998</v>
      </c>
      <c r="G194" s="29">
        <v>19.989999999999998</v>
      </c>
      <c r="H194" s="28" t="s">
        <v>7555</v>
      </c>
      <c r="I194" s="27" t="s">
        <v>215</v>
      </c>
      <c r="J194" s="31" t="s">
        <v>71</v>
      </c>
      <c r="K194" s="27" t="s">
        <v>282</v>
      </c>
      <c r="L194" s="27" t="s">
        <v>283</v>
      </c>
      <c r="M194" s="32" t="str">
        <f>HYPERLINK("http://slimages.macys.com/is/image/MCY/3832893 ")</f>
        <v xml:space="preserve">http://slimages.macys.com/is/image/MCY/3832893 </v>
      </c>
    </row>
    <row r="195" spans="1:13" ht="15.2" customHeight="1" x14ac:dyDescent="0.2">
      <c r="A195" s="26" t="s">
        <v>8816</v>
      </c>
      <c r="B195" s="27" t="s">
        <v>8817</v>
      </c>
      <c r="C195" s="28">
        <v>2</v>
      </c>
      <c r="D195" s="29">
        <v>9.25</v>
      </c>
      <c r="E195" s="29">
        <v>18.5</v>
      </c>
      <c r="F195" s="30">
        <v>19.989999999999998</v>
      </c>
      <c r="G195" s="29">
        <v>39.979999999999997</v>
      </c>
      <c r="H195" s="28" t="s">
        <v>808</v>
      </c>
      <c r="I195" s="27" t="s">
        <v>4</v>
      </c>
      <c r="J195" s="31" t="s">
        <v>21</v>
      </c>
      <c r="K195" s="27" t="s">
        <v>282</v>
      </c>
      <c r="L195" s="27" t="s">
        <v>283</v>
      </c>
      <c r="M195" s="32" t="str">
        <f>HYPERLINK("http://slimages.macys.com/is/image/MCY/3835617 ")</f>
        <v xml:space="preserve">http://slimages.macys.com/is/image/MCY/3835617 </v>
      </c>
    </row>
    <row r="196" spans="1:13" ht="15.2" customHeight="1" x14ac:dyDescent="0.2">
      <c r="A196" s="26" t="s">
        <v>7553</v>
      </c>
      <c r="B196" s="27" t="s">
        <v>7554</v>
      </c>
      <c r="C196" s="28">
        <v>1</v>
      </c>
      <c r="D196" s="29">
        <v>9.25</v>
      </c>
      <c r="E196" s="29">
        <v>9.25</v>
      </c>
      <c r="F196" s="30">
        <v>19.989999999999998</v>
      </c>
      <c r="G196" s="29">
        <v>19.989999999999998</v>
      </c>
      <c r="H196" s="28" t="s">
        <v>7555</v>
      </c>
      <c r="I196" s="27" t="s">
        <v>215</v>
      </c>
      <c r="J196" s="31" t="s">
        <v>5</v>
      </c>
      <c r="K196" s="27" t="s">
        <v>282</v>
      </c>
      <c r="L196" s="27" t="s">
        <v>283</v>
      </c>
      <c r="M196" s="32" t="str">
        <f>HYPERLINK("http://slimages.macys.com/is/image/MCY/3832893 ")</f>
        <v xml:space="preserve">http://slimages.macys.com/is/image/MCY/3832893 </v>
      </c>
    </row>
    <row r="197" spans="1:13" ht="15.2" customHeight="1" x14ac:dyDescent="0.2">
      <c r="A197" s="26" t="s">
        <v>2942</v>
      </c>
      <c r="B197" s="27" t="s">
        <v>2943</v>
      </c>
      <c r="C197" s="28">
        <v>1</v>
      </c>
      <c r="D197" s="29">
        <v>9.24</v>
      </c>
      <c r="E197" s="29">
        <v>9.24</v>
      </c>
      <c r="F197" s="30">
        <v>21.99</v>
      </c>
      <c r="G197" s="29">
        <v>21.99</v>
      </c>
      <c r="H197" s="28" t="s">
        <v>1339</v>
      </c>
      <c r="I197" s="27" t="s">
        <v>36</v>
      </c>
      <c r="J197" s="31" t="s">
        <v>52</v>
      </c>
      <c r="K197" s="27" t="s">
        <v>159</v>
      </c>
      <c r="L197" s="27" t="s">
        <v>160</v>
      </c>
      <c r="M197" s="32" t="str">
        <f>HYPERLINK("http://slimages.macys.com/is/image/MCY/3456866 ")</f>
        <v xml:space="preserve">http://slimages.macys.com/is/image/MCY/3456866 </v>
      </c>
    </row>
    <row r="198" spans="1:13" ht="15.2" customHeight="1" x14ac:dyDescent="0.2">
      <c r="A198" s="26" t="s">
        <v>11775</v>
      </c>
      <c r="B198" s="27" t="s">
        <v>11776</v>
      </c>
      <c r="C198" s="28">
        <v>1</v>
      </c>
      <c r="D198" s="29">
        <v>9.24</v>
      </c>
      <c r="E198" s="29">
        <v>9.24</v>
      </c>
      <c r="F198" s="30">
        <v>21.99</v>
      </c>
      <c r="G198" s="29">
        <v>21.99</v>
      </c>
      <c r="H198" s="28" t="s">
        <v>11777</v>
      </c>
      <c r="I198" s="27" t="s">
        <v>82</v>
      </c>
      <c r="J198" s="31" t="s">
        <v>71</v>
      </c>
      <c r="K198" s="27" t="s">
        <v>159</v>
      </c>
      <c r="L198" s="27" t="s">
        <v>160</v>
      </c>
      <c r="M198" s="32" t="str">
        <f>HYPERLINK("http://slimages.macys.com/is/image/MCY/3600247 ")</f>
        <v xml:space="preserve">http://slimages.macys.com/is/image/MCY/3600247 </v>
      </c>
    </row>
    <row r="199" spans="1:13" ht="15.2" customHeight="1" x14ac:dyDescent="0.2">
      <c r="A199" s="26" t="s">
        <v>7030</v>
      </c>
      <c r="B199" s="27" t="s">
        <v>7031</v>
      </c>
      <c r="C199" s="28">
        <v>1</v>
      </c>
      <c r="D199" s="29">
        <v>9.2200000000000006</v>
      </c>
      <c r="E199" s="29">
        <v>9.2200000000000006</v>
      </c>
      <c r="F199" s="30">
        <v>21.99</v>
      </c>
      <c r="G199" s="29">
        <v>21.99</v>
      </c>
      <c r="H199" s="28" t="s">
        <v>812</v>
      </c>
      <c r="I199" s="27" t="s">
        <v>36</v>
      </c>
      <c r="J199" s="31" t="s">
        <v>21</v>
      </c>
      <c r="K199" s="27" t="s">
        <v>159</v>
      </c>
      <c r="L199" s="27" t="s">
        <v>160</v>
      </c>
      <c r="M199" s="32" t="str">
        <f>HYPERLINK("http://slimages.macys.com/is/image/MCY/3857711 ")</f>
        <v xml:space="preserve">http://slimages.macys.com/is/image/MCY/3857711 </v>
      </c>
    </row>
    <row r="200" spans="1:13" ht="15.2" customHeight="1" x14ac:dyDescent="0.2">
      <c r="A200" s="26" t="s">
        <v>2951</v>
      </c>
      <c r="B200" s="27" t="s">
        <v>2952</v>
      </c>
      <c r="C200" s="28">
        <v>1</v>
      </c>
      <c r="D200" s="29">
        <v>9.1999999999999993</v>
      </c>
      <c r="E200" s="29">
        <v>9.1999999999999993</v>
      </c>
      <c r="F200" s="30">
        <v>21.99</v>
      </c>
      <c r="G200" s="29">
        <v>21.99</v>
      </c>
      <c r="H200" s="28" t="s">
        <v>2950</v>
      </c>
      <c r="I200" s="27" t="s">
        <v>4</v>
      </c>
      <c r="J200" s="31" t="s">
        <v>65</v>
      </c>
      <c r="K200" s="27" t="s">
        <v>159</v>
      </c>
      <c r="L200" s="27" t="s">
        <v>160</v>
      </c>
      <c r="M200" s="32" t="str">
        <f>HYPERLINK("http://slimages.macys.com/is/image/MCY/3664653 ")</f>
        <v xml:space="preserve">http://slimages.macys.com/is/image/MCY/3664653 </v>
      </c>
    </row>
    <row r="201" spans="1:13" ht="15.2" customHeight="1" x14ac:dyDescent="0.2">
      <c r="A201" s="26" t="s">
        <v>2948</v>
      </c>
      <c r="B201" s="27" t="s">
        <v>2949</v>
      </c>
      <c r="C201" s="28">
        <v>1</v>
      </c>
      <c r="D201" s="29">
        <v>9.1999999999999993</v>
      </c>
      <c r="E201" s="29">
        <v>9.1999999999999993</v>
      </c>
      <c r="F201" s="30">
        <v>21.99</v>
      </c>
      <c r="G201" s="29">
        <v>21.99</v>
      </c>
      <c r="H201" s="28" t="s">
        <v>2950</v>
      </c>
      <c r="I201" s="27" t="s">
        <v>4</v>
      </c>
      <c r="J201" s="31" t="s">
        <v>52</v>
      </c>
      <c r="K201" s="27" t="s">
        <v>159</v>
      </c>
      <c r="L201" s="27" t="s">
        <v>160</v>
      </c>
      <c r="M201" s="32" t="str">
        <f>HYPERLINK("http://slimages.macys.com/is/image/MCY/3664653 ")</f>
        <v xml:space="preserve">http://slimages.macys.com/is/image/MCY/3664653 </v>
      </c>
    </row>
    <row r="202" spans="1:13" ht="15.2" customHeight="1" x14ac:dyDescent="0.2">
      <c r="A202" s="26" t="s">
        <v>303</v>
      </c>
      <c r="B202" s="27" t="s">
        <v>304</v>
      </c>
      <c r="C202" s="28">
        <v>1</v>
      </c>
      <c r="D202" s="29">
        <v>9.1</v>
      </c>
      <c r="E202" s="29">
        <v>9.1</v>
      </c>
      <c r="F202" s="30">
        <v>19.989999999999998</v>
      </c>
      <c r="G202" s="29">
        <v>19.989999999999998</v>
      </c>
      <c r="H202" s="28" t="s">
        <v>305</v>
      </c>
      <c r="I202" s="27" t="s">
        <v>306</v>
      </c>
      <c r="J202" s="31" t="s">
        <v>52</v>
      </c>
      <c r="K202" s="27" t="s">
        <v>224</v>
      </c>
      <c r="L202" s="27" t="s">
        <v>276</v>
      </c>
      <c r="M202" s="32" t="str">
        <f>HYPERLINK("http://slimages.macys.com/is/image/MCY/3821780 ")</f>
        <v xml:space="preserve">http://slimages.macys.com/is/image/MCY/3821780 </v>
      </c>
    </row>
    <row r="203" spans="1:13" ht="15.2" customHeight="1" x14ac:dyDescent="0.2">
      <c r="A203" s="26" t="s">
        <v>11778</v>
      </c>
      <c r="B203" s="27" t="s">
        <v>11779</v>
      </c>
      <c r="C203" s="28">
        <v>2</v>
      </c>
      <c r="D203" s="29">
        <v>9.1</v>
      </c>
      <c r="E203" s="29">
        <v>18.2</v>
      </c>
      <c r="F203" s="30">
        <v>19.989999999999998</v>
      </c>
      <c r="G203" s="29">
        <v>39.979999999999997</v>
      </c>
      <c r="H203" s="28" t="s">
        <v>1838</v>
      </c>
      <c r="I203" s="27" t="s">
        <v>285</v>
      </c>
      <c r="J203" s="31" t="s">
        <v>40</v>
      </c>
      <c r="K203" s="27" t="s">
        <v>224</v>
      </c>
      <c r="L203" s="27" t="s">
        <v>276</v>
      </c>
      <c r="M203" s="32" t="str">
        <f>HYPERLINK("http://slimages.macys.com/is/image/MCY/3853655 ")</f>
        <v xml:space="preserve">http://slimages.macys.com/is/image/MCY/3853655 </v>
      </c>
    </row>
    <row r="204" spans="1:13" ht="15.2" customHeight="1" x14ac:dyDescent="0.2">
      <c r="A204" s="26" t="s">
        <v>11780</v>
      </c>
      <c r="B204" s="27" t="s">
        <v>11781</v>
      </c>
      <c r="C204" s="28">
        <v>1</v>
      </c>
      <c r="D204" s="29">
        <v>9.1</v>
      </c>
      <c r="E204" s="29">
        <v>9.1</v>
      </c>
      <c r="F204" s="30">
        <v>19.989999999999998</v>
      </c>
      <c r="G204" s="29">
        <v>19.989999999999998</v>
      </c>
      <c r="H204" s="28" t="s">
        <v>1838</v>
      </c>
      <c r="I204" s="27" t="s">
        <v>285</v>
      </c>
      <c r="J204" s="31" t="s">
        <v>71</v>
      </c>
      <c r="K204" s="27" t="s">
        <v>224</v>
      </c>
      <c r="L204" s="27" t="s">
        <v>276</v>
      </c>
      <c r="M204" s="32" t="str">
        <f>HYPERLINK("http://slimages.macys.com/is/image/MCY/3853655 ")</f>
        <v xml:space="preserve">http://slimages.macys.com/is/image/MCY/3853655 </v>
      </c>
    </row>
    <row r="205" spans="1:13" ht="15.2" customHeight="1" x14ac:dyDescent="0.2">
      <c r="A205" s="26" t="s">
        <v>2237</v>
      </c>
      <c r="B205" s="27" t="s">
        <v>2238</v>
      </c>
      <c r="C205" s="28">
        <v>2</v>
      </c>
      <c r="D205" s="29">
        <v>9.1</v>
      </c>
      <c r="E205" s="29">
        <v>18.2</v>
      </c>
      <c r="F205" s="30">
        <v>19.989999999999998</v>
      </c>
      <c r="G205" s="29">
        <v>39.979999999999997</v>
      </c>
      <c r="H205" s="28" t="s">
        <v>1353</v>
      </c>
      <c r="I205" s="27" t="s">
        <v>1311</v>
      </c>
      <c r="J205" s="31" t="s">
        <v>40</v>
      </c>
      <c r="K205" s="27" t="s">
        <v>224</v>
      </c>
      <c r="L205" s="27" t="s">
        <v>276</v>
      </c>
      <c r="M205" s="32" t="str">
        <f>HYPERLINK("http://slimages.macys.com/is/image/MCY/3820944 ")</f>
        <v xml:space="preserve">http://slimages.macys.com/is/image/MCY/3820944 </v>
      </c>
    </row>
    <row r="206" spans="1:13" ht="15.2" customHeight="1" x14ac:dyDescent="0.2">
      <c r="A206" s="26" t="s">
        <v>8825</v>
      </c>
      <c r="B206" s="27" t="s">
        <v>8826</v>
      </c>
      <c r="C206" s="28">
        <v>1</v>
      </c>
      <c r="D206" s="29">
        <v>9</v>
      </c>
      <c r="E206" s="29">
        <v>9</v>
      </c>
      <c r="F206" s="30">
        <v>39</v>
      </c>
      <c r="G206" s="29">
        <v>39</v>
      </c>
      <c r="H206" s="28" t="s">
        <v>1354</v>
      </c>
      <c r="I206" s="27" t="s">
        <v>1467</v>
      </c>
      <c r="J206" s="31" t="s">
        <v>71</v>
      </c>
      <c r="K206" s="27" t="s">
        <v>154</v>
      </c>
      <c r="L206" s="27" t="s">
        <v>155</v>
      </c>
      <c r="M206" s="32" t="str">
        <f>HYPERLINK("http://slimages.macys.com/is/image/MCY/3563038 ")</f>
        <v xml:space="preserve">http://slimages.macys.com/is/image/MCY/3563038 </v>
      </c>
    </row>
    <row r="207" spans="1:13" ht="15.2" customHeight="1" x14ac:dyDescent="0.2">
      <c r="A207" s="26" t="s">
        <v>2250</v>
      </c>
      <c r="B207" s="27" t="s">
        <v>2251</v>
      </c>
      <c r="C207" s="28">
        <v>1</v>
      </c>
      <c r="D207" s="29">
        <v>8.9</v>
      </c>
      <c r="E207" s="29">
        <v>8.9</v>
      </c>
      <c r="F207" s="30">
        <v>19.989999999999998</v>
      </c>
      <c r="G207" s="29">
        <v>19.989999999999998</v>
      </c>
      <c r="H207" s="28" t="s">
        <v>1362</v>
      </c>
      <c r="I207" s="27" t="s">
        <v>4</v>
      </c>
      <c r="J207" s="31" t="s">
        <v>52</v>
      </c>
      <c r="K207" s="27" t="s">
        <v>224</v>
      </c>
      <c r="L207" s="27" t="s">
        <v>276</v>
      </c>
      <c r="M207" s="32" t="str">
        <f>HYPERLINK("http://slimages.macys.com/is/image/MCY/3814584 ")</f>
        <v xml:space="preserve">http://slimages.macys.com/is/image/MCY/3814584 </v>
      </c>
    </row>
    <row r="208" spans="1:13" ht="15.2" customHeight="1" x14ac:dyDescent="0.2">
      <c r="A208" s="26" t="s">
        <v>1360</v>
      </c>
      <c r="B208" s="27" t="s">
        <v>1361</v>
      </c>
      <c r="C208" s="28">
        <v>1</v>
      </c>
      <c r="D208" s="29">
        <v>8.9</v>
      </c>
      <c r="E208" s="29">
        <v>8.9</v>
      </c>
      <c r="F208" s="30">
        <v>19.989999999999998</v>
      </c>
      <c r="G208" s="29">
        <v>19.989999999999998</v>
      </c>
      <c r="H208" s="28" t="s">
        <v>1362</v>
      </c>
      <c r="I208" s="27" t="s">
        <v>4</v>
      </c>
      <c r="J208" s="31" t="s">
        <v>5</v>
      </c>
      <c r="K208" s="27" t="s">
        <v>224</v>
      </c>
      <c r="L208" s="27" t="s">
        <v>276</v>
      </c>
      <c r="M208" s="32" t="str">
        <f>HYPERLINK("http://slimages.macys.com/is/image/MCY/3814584 ")</f>
        <v xml:space="preserve">http://slimages.macys.com/is/image/MCY/3814584 </v>
      </c>
    </row>
    <row r="209" spans="1:13" ht="15.2" customHeight="1" x14ac:dyDescent="0.2">
      <c r="A209" s="26" t="s">
        <v>2966</v>
      </c>
      <c r="B209" s="27" t="s">
        <v>2967</v>
      </c>
      <c r="C209" s="28">
        <v>2</v>
      </c>
      <c r="D209" s="29">
        <v>8.9</v>
      </c>
      <c r="E209" s="29">
        <v>17.8</v>
      </c>
      <c r="F209" s="30">
        <v>19.989999999999998</v>
      </c>
      <c r="G209" s="29">
        <v>39.979999999999997</v>
      </c>
      <c r="H209" s="28" t="s">
        <v>1362</v>
      </c>
      <c r="I209" s="27" t="s">
        <v>4</v>
      </c>
      <c r="J209" s="31" t="s">
        <v>40</v>
      </c>
      <c r="K209" s="27" t="s">
        <v>224</v>
      </c>
      <c r="L209" s="27" t="s">
        <v>276</v>
      </c>
      <c r="M209" s="32" t="str">
        <f>HYPERLINK("http://slimages.macys.com/is/image/MCY/3814584 ")</f>
        <v xml:space="preserve">http://slimages.macys.com/is/image/MCY/3814584 </v>
      </c>
    </row>
    <row r="210" spans="1:13" ht="15.2" customHeight="1" x14ac:dyDescent="0.2">
      <c r="A210" s="26" t="s">
        <v>2253</v>
      </c>
      <c r="B210" s="27" t="s">
        <v>2254</v>
      </c>
      <c r="C210" s="28">
        <v>1</v>
      </c>
      <c r="D210" s="29">
        <v>8.75</v>
      </c>
      <c r="E210" s="29">
        <v>8.75</v>
      </c>
      <c r="F210" s="30">
        <v>19.989999999999998</v>
      </c>
      <c r="G210" s="29">
        <v>19.989999999999998</v>
      </c>
      <c r="H210" s="28" t="s">
        <v>2252</v>
      </c>
      <c r="I210" s="27" t="s">
        <v>82</v>
      </c>
      <c r="J210" s="31" t="s">
        <v>40</v>
      </c>
      <c r="K210" s="27" t="s">
        <v>196</v>
      </c>
      <c r="L210" s="27" t="s">
        <v>260</v>
      </c>
      <c r="M210" s="32" t="str">
        <f>HYPERLINK("http://slimages.macys.com/is/image/MCY/3623304 ")</f>
        <v xml:space="preserve">http://slimages.macys.com/is/image/MCY/3623304 </v>
      </c>
    </row>
    <row r="211" spans="1:13" ht="15.2" customHeight="1" x14ac:dyDescent="0.2">
      <c r="A211" s="26" t="s">
        <v>828</v>
      </c>
      <c r="B211" s="27" t="s">
        <v>829</v>
      </c>
      <c r="C211" s="28">
        <v>1</v>
      </c>
      <c r="D211" s="29">
        <v>8.5</v>
      </c>
      <c r="E211" s="29">
        <v>8.5</v>
      </c>
      <c r="F211" s="30">
        <v>19.989999999999998</v>
      </c>
      <c r="G211" s="29">
        <v>19.989999999999998</v>
      </c>
      <c r="H211" s="28" t="s">
        <v>830</v>
      </c>
      <c r="I211" s="27" t="s">
        <v>4</v>
      </c>
      <c r="J211" s="31" t="s">
        <v>5</v>
      </c>
      <c r="K211" s="27" t="s">
        <v>282</v>
      </c>
      <c r="L211" s="27" t="s">
        <v>312</v>
      </c>
      <c r="M211" s="32" t="str">
        <f>HYPERLINK("http://slimages.macys.com/is/image/MCY/3853693 ")</f>
        <v xml:space="preserve">http://slimages.macys.com/is/image/MCY/3853693 </v>
      </c>
    </row>
    <row r="212" spans="1:13" ht="15.2" customHeight="1" x14ac:dyDescent="0.2">
      <c r="A212" s="26" t="s">
        <v>11782</v>
      </c>
      <c r="B212" s="27" t="s">
        <v>11783</v>
      </c>
      <c r="C212" s="28">
        <v>1</v>
      </c>
      <c r="D212" s="29">
        <v>8.5</v>
      </c>
      <c r="E212" s="29">
        <v>8.5</v>
      </c>
      <c r="F212" s="30">
        <v>19.989999999999998</v>
      </c>
      <c r="G212" s="29">
        <v>19.989999999999998</v>
      </c>
      <c r="H212" s="28" t="s">
        <v>326</v>
      </c>
      <c r="I212" s="27" t="s">
        <v>82</v>
      </c>
      <c r="J212" s="31" t="s">
        <v>40</v>
      </c>
      <c r="K212" s="27" t="s">
        <v>282</v>
      </c>
      <c r="L212" s="27" t="s">
        <v>327</v>
      </c>
      <c r="M212" s="32" t="str">
        <f>HYPERLINK("http://slimages.macys.com/is/image/MCY/3910974 ")</f>
        <v xml:space="preserve">http://slimages.macys.com/is/image/MCY/3910974 </v>
      </c>
    </row>
    <row r="213" spans="1:13" ht="15.2" customHeight="1" x14ac:dyDescent="0.2">
      <c r="A213" s="26" t="s">
        <v>2283</v>
      </c>
      <c r="B213" s="27" t="s">
        <v>2284</v>
      </c>
      <c r="C213" s="28">
        <v>3</v>
      </c>
      <c r="D213" s="29">
        <v>8.5</v>
      </c>
      <c r="E213" s="29">
        <v>25.5</v>
      </c>
      <c r="F213" s="30">
        <v>19.989999999999998</v>
      </c>
      <c r="G213" s="29">
        <v>59.97</v>
      </c>
      <c r="H213" s="28" t="s">
        <v>323</v>
      </c>
      <c r="I213" s="27" t="s">
        <v>189</v>
      </c>
      <c r="J213" s="31" t="s">
        <v>21</v>
      </c>
      <c r="K213" s="27" t="s">
        <v>196</v>
      </c>
      <c r="L213" s="27" t="s">
        <v>239</v>
      </c>
      <c r="M213" s="32" t="str">
        <f>HYPERLINK("http://slimages.macys.com/is/image/MCY/3890900 ")</f>
        <v xml:space="preserve">http://slimages.macys.com/is/image/MCY/3890900 </v>
      </c>
    </row>
    <row r="214" spans="1:13" ht="15.2" customHeight="1" x14ac:dyDescent="0.2">
      <c r="A214" s="26" t="s">
        <v>11784</v>
      </c>
      <c r="B214" s="27" t="s">
        <v>11785</v>
      </c>
      <c r="C214" s="28">
        <v>1</v>
      </c>
      <c r="D214" s="29">
        <v>8.5</v>
      </c>
      <c r="E214" s="29">
        <v>8.5</v>
      </c>
      <c r="F214" s="30">
        <v>19.989999999999998</v>
      </c>
      <c r="G214" s="29">
        <v>19.989999999999998</v>
      </c>
      <c r="H214" s="28" t="s">
        <v>8663</v>
      </c>
      <c r="I214" s="27" t="s">
        <v>4</v>
      </c>
      <c r="J214" s="31" t="s">
        <v>21</v>
      </c>
      <c r="K214" s="27" t="s">
        <v>196</v>
      </c>
      <c r="L214" s="27" t="s">
        <v>1329</v>
      </c>
      <c r="M214" s="32" t="str">
        <f>HYPERLINK("http://slimages.macys.com/is/image/MCY/3660114 ")</f>
        <v xml:space="preserve">http://slimages.macys.com/is/image/MCY/3660114 </v>
      </c>
    </row>
    <row r="215" spans="1:13" ht="15.2" customHeight="1" x14ac:dyDescent="0.2">
      <c r="A215" s="26" t="s">
        <v>7405</v>
      </c>
      <c r="B215" s="27" t="s">
        <v>7406</v>
      </c>
      <c r="C215" s="28">
        <v>1</v>
      </c>
      <c r="D215" s="29">
        <v>8.5</v>
      </c>
      <c r="E215" s="29">
        <v>8.5</v>
      </c>
      <c r="F215" s="30">
        <v>19.989999999999998</v>
      </c>
      <c r="G215" s="29">
        <v>19.989999999999998</v>
      </c>
      <c r="H215" s="28" t="s">
        <v>1374</v>
      </c>
      <c r="I215" s="27" t="s">
        <v>82</v>
      </c>
      <c r="J215" s="31" t="s">
        <v>40</v>
      </c>
      <c r="K215" s="27" t="s">
        <v>196</v>
      </c>
      <c r="L215" s="27" t="s">
        <v>322</v>
      </c>
      <c r="M215" s="32" t="str">
        <f>HYPERLINK("http://slimages.macys.com/is/image/MCY/3915487 ")</f>
        <v xml:space="preserve">http://slimages.macys.com/is/image/MCY/3915487 </v>
      </c>
    </row>
    <row r="216" spans="1:13" ht="15.2" customHeight="1" x14ac:dyDescent="0.2">
      <c r="A216" s="26" t="s">
        <v>329</v>
      </c>
      <c r="B216" s="27" t="s">
        <v>330</v>
      </c>
      <c r="C216" s="28">
        <v>1</v>
      </c>
      <c r="D216" s="29">
        <v>8.5</v>
      </c>
      <c r="E216" s="29">
        <v>8.5</v>
      </c>
      <c r="F216" s="30">
        <v>19.989999999999998</v>
      </c>
      <c r="G216" s="29">
        <v>19.989999999999998</v>
      </c>
      <c r="H216" s="28" t="s">
        <v>321</v>
      </c>
      <c r="I216" s="27" t="s">
        <v>280</v>
      </c>
      <c r="J216" s="31" t="s">
        <v>40</v>
      </c>
      <c r="K216" s="27" t="s">
        <v>196</v>
      </c>
      <c r="L216" s="27" t="s">
        <v>322</v>
      </c>
      <c r="M216" s="32" t="str">
        <f>HYPERLINK("http://slimages.macys.com/is/image/MCY/3910788 ")</f>
        <v xml:space="preserve">http://slimages.macys.com/is/image/MCY/3910788 </v>
      </c>
    </row>
    <row r="217" spans="1:13" ht="15.2" customHeight="1" x14ac:dyDescent="0.2">
      <c r="A217" s="26" t="s">
        <v>7066</v>
      </c>
      <c r="B217" s="27" t="s">
        <v>7067</v>
      </c>
      <c r="C217" s="28">
        <v>1</v>
      </c>
      <c r="D217" s="29">
        <v>8.5</v>
      </c>
      <c r="E217" s="29">
        <v>8.5</v>
      </c>
      <c r="F217" s="30">
        <v>19.989999999999998</v>
      </c>
      <c r="G217" s="29">
        <v>19.989999999999998</v>
      </c>
      <c r="H217" s="28" t="s">
        <v>321</v>
      </c>
      <c r="I217" s="27" t="s">
        <v>280</v>
      </c>
      <c r="J217" s="31" t="s">
        <v>71</v>
      </c>
      <c r="K217" s="27" t="s">
        <v>196</v>
      </c>
      <c r="L217" s="27" t="s">
        <v>322</v>
      </c>
      <c r="M217" s="32" t="str">
        <f>HYPERLINK("http://slimages.macys.com/is/image/MCY/3910788 ")</f>
        <v xml:space="preserve">http://slimages.macys.com/is/image/MCY/3910788 </v>
      </c>
    </row>
    <row r="218" spans="1:13" ht="15.2" customHeight="1" x14ac:dyDescent="0.2">
      <c r="A218" s="26" t="s">
        <v>4227</v>
      </c>
      <c r="B218" s="27" t="s">
        <v>4228</v>
      </c>
      <c r="C218" s="28">
        <v>1</v>
      </c>
      <c r="D218" s="29">
        <v>8.5</v>
      </c>
      <c r="E218" s="29">
        <v>8.5</v>
      </c>
      <c r="F218" s="30">
        <v>19.989999999999998</v>
      </c>
      <c r="G218" s="29">
        <v>19.989999999999998</v>
      </c>
      <c r="H218" s="28" t="s">
        <v>321</v>
      </c>
      <c r="I218" s="27" t="s">
        <v>333</v>
      </c>
      <c r="J218" s="31" t="s">
        <v>40</v>
      </c>
      <c r="K218" s="27" t="s">
        <v>196</v>
      </c>
      <c r="L218" s="27" t="s">
        <v>322</v>
      </c>
      <c r="M218" s="32" t="str">
        <f>HYPERLINK("http://slimages.macys.com/is/image/MCY/3910788 ")</f>
        <v xml:space="preserve">http://slimages.macys.com/is/image/MCY/3910788 </v>
      </c>
    </row>
    <row r="219" spans="1:13" ht="15.2" customHeight="1" x14ac:dyDescent="0.2">
      <c r="A219" s="26" t="s">
        <v>9651</v>
      </c>
      <c r="B219" s="27" t="s">
        <v>9652</v>
      </c>
      <c r="C219" s="28">
        <v>1</v>
      </c>
      <c r="D219" s="29">
        <v>8.5</v>
      </c>
      <c r="E219" s="29">
        <v>8.5</v>
      </c>
      <c r="F219" s="30">
        <v>19.989999999999998</v>
      </c>
      <c r="G219" s="29">
        <v>19.989999999999998</v>
      </c>
      <c r="H219" s="28" t="s">
        <v>3872</v>
      </c>
      <c r="I219" s="27" t="s">
        <v>59</v>
      </c>
      <c r="J219" s="31" t="s">
        <v>40</v>
      </c>
      <c r="K219" s="27" t="s">
        <v>196</v>
      </c>
      <c r="L219" s="27" t="s">
        <v>256</v>
      </c>
      <c r="M219" s="32" t="str">
        <f>HYPERLINK("http://slimages.macys.com/is/image/MCY/3651029 ")</f>
        <v xml:space="preserve">http://slimages.macys.com/is/image/MCY/3651029 </v>
      </c>
    </row>
    <row r="220" spans="1:13" ht="15.2" customHeight="1" x14ac:dyDescent="0.2">
      <c r="A220" s="26" t="s">
        <v>11786</v>
      </c>
      <c r="B220" s="27" t="s">
        <v>11787</v>
      </c>
      <c r="C220" s="28">
        <v>2</v>
      </c>
      <c r="D220" s="29">
        <v>8.5</v>
      </c>
      <c r="E220" s="29">
        <v>17</v>
      </c>
      <c r="F220" s="30">
        <v>19.989999999999998</v>
      </c>
      <c r="G220" s="29">
        <v>39.979999999999997</v>
      </c>
      <c r="H220" s="28" t="s">
        <v>5443</v>
      </c>
      <c r="I220" s="27" t="s">
        <v>265</v>
      </c>
      <c r="J220" s="31" t="s">
        <v>5</v>
      </c>
      <c r="K220" s="27" t="s">
        <v>196</v>
      </c>
      <c r="L220" s="27" t="s">
        <v>239</v>
      </c>
      <c r="M220" s="32" t="str">
        <f>HYPERLINK("http://slimages.macys.com/is/image/MCY/3787579 ")</f>
        <v xml:space="preserve">http://slimages.macys.com/is/image/MCY/3787579 </v>
      </c>
    </row>
    <row r="221" spans="1:13" ht="15.2" customHeight="1" x14ac:dyDescent="0.2">
      <c r="A221" s="26" t="s">
        <v>11788</v>
      </c>
      <c r="B221" s="27" t="s">
        <v>11789</v>
      </c>
      <c r="C221" s="28">
        <v>1</v>
      </c>
      <c r="D221" s="29">
        <v>8.5</v>
      </c>
      <c r="E221" s="29">
        <v>8.5</v>
      </c>
      <c r="F221" s="30">
        <v>19.989999999999998</v>
      </c>
      <c r="G221" s="29">
        <v>19.989999999999998</v>
      </c>
      <c r="H221" s="28" t="s">
        <v>8663</v>
      </c>
      <c r="I221" s="27" t="s">
        <v>4</v>
      </c>
      <c r="J221" s="31" t="s">
        <v>52</v>
      </c>
      <c r="K221" s="27" t="s">
        <v>196</v>
      </c>
      <c r="L221" s="27" t="s">
        <v>1329</v>
      </c>
      <c r="M221" s="32" t="str">
        <f>HYPERLINK("http://slimages.macys.com/is/image/MCY/3660114 ")</f>
        <v xml:space="preserve">http://slimages.macys.com/is/image/MCY/3660114 </v>
      </c>
    </row>
    <row r="222" spans="1:13" ht="15.2" customHeight="1" x14ac:dyDescent="0.2">
      <c r="A222" s="26" t="s">
        <v>8657</v>
      </c>
      <c r="B222" s="27" t="s">
        <v>8658</v>
      </c>
      <c r="C222" s="28">
        <v>1</v>
      </c>
      <c r="D222" s="29">
        <v>8.5</v>
      </c>
      <c r="E222" s="29">
        <v>8.5</v>
      </c>
      <c r="F222" s="30">
        <v>19.989999999999998</v>
      </c>
      <c r="G222" s="29">
        <v>19.989999999999998</v>
      </c>
      <c r="H222" s="28" t="s">
        <v>2970</v>
      </c>
      <c r="I222" s="27" t="s">
        <v>26</v>
      </c>
      <c r="J222" s="31" t="s">
        <v>71</v>
      </c>
      <c r="K222" s="27" t="s">
        <v>196</v>
      </c>
      <c r="L222" s="27" t="s">
        <v>322</v>
      </c>
      <c r="M222" s="32" t="str">
        <f>HYPERLINK("http://slimages.macys.com/is/image/MCY/3915487 ")</f>
        <v xml:space="preserve">http://slimages.macys.com/is/image/MCY/3915487 </v>
      </c>
    </row>
    <row r="223" spans="1:13" ht="15.2" customHeight="1" x14ac:dyDescent="0.2">
      <c r="A223" s="26" t="s">
        <v>1876</v>
      </c>
      <c r="B223" s="27" t="s">
        <v>1877</v>
      </c>
      <c r="C223" s="28">
        <v>2</v>
      </c>
      <c r="D223" s="29">
        <v>8.5</v>
      </c>
      <c r="E223" s="29">
        <v>17</v>
      </c>
      <c r="F223" s="30">
        <v>19.989999999999998</v>
      </c>
      <c r="G223" s="29">
        <v>39.979999999999997</v>
      </c>
      <c r="H223" s="28" t="s">
        <v>334</v>
      </c>
      <c r="I223" s="27" t="s">
        <v>33</v>
      </c>
      <c r="J223" s="31" t="s">
        <v>5</v>
      </c>
      <c r="K223" s="27" t="s">
        <v>196</v>
      </c>
      <c r="L223" s="27" t="s">
        <v>239</v>
      </c>
      <c r="M223" s="32" t="str">
        <f>HYPERLINK("http://slimages.macys.com/is/image/MCY/3890886 ")</f>
        <v xml:space="preserve">http://slimages.macys.com/is/image/MCY/3890886 </v>
      </c>
    </row>
    <row r="224" spans="1:13" ht="15.2" customHeight="1" x14ac:dyDescent="0.2">
      <c r="A224" s="26" t="s">
        <v>2971</v>
      </c>
      <c r="B224" s="27" t="s">
        <v>2972</v>
      </c>
      <c r="C224" s="28">
        <v>1</v>
      </c>
      <c r="D224" s="29">
        <v>8.5</v>
      </c>
      <c r="E224" s="29">
        <v>8.5</v>
      </c>
      <c r="F224" s="30">
        <v>19.989999999999998</v>
      </c>
      <c r="G224" s="29">
        <v>19.989999999999998</v>
      </c>
      <c r="H224" s="28" t="s">
        <v>830</v>
      </c>
      <c r="I224" s="27" t="s">
        <v>4</v>
      </c>
      <c r="J224" s="31" t="s">
        <v>71</v>
      </c>
      <c r="K224" s="27" t="s">
        <v>282</v>
      </c>
      <c r="L224" s="27" t="s">
        <v>312</v>
      </c>
      <c r="M224" s="32" t="str">
        <f>HYPERLINK("http://slimages.macys.com/is/image/MCY/3853693 ")</f>
        <v xml:space="preserve">http://slimages.macys.com/is/image/MCY/3853693 </v>
      </c>
    </row>
    <row r="225" spans="1:13" ht="15.2" customHeight="1" x14ac:dyDescent="0.2">
      <c r="A225" s="26" t="s">
        <v>1865</v>
      </c>
      <c r="B225" s="27" t="s">
        <v>1866</v>
      </c>
      <c r="C225" s="28">
        <v>1</v>
      </c>
      <c r="D225" s="29">
        <v>8.5</v>
      </c>
      <c r="E225" s="29">
        <v>8.5</v>
      </c>
      <c r="F225" s="30">
        <v>19.989999999999998</v>
      </c>
      <c r="G225" s="29">
        <v>19.989999999999998</v>
      </c>
      <c r="H225" s="28" t="s">
        <v>1867</v>
      </c>
      <c r="I225" s="27" t="s">
        <v>343</v>
      </c>
      <c r="J225" s="31" t="s">
        <v>21</v>
      </c>
      <c r="K225" s="27" t="s">
        <v>282</v>
      </c>
      <c r="L225" s="27" t="s">
        <v>312</v>
      </c>
      <c r="M225" s="32" t="str">
        <f>HYPERLINK("http://slimages.macys.com/is/image/MCY/3905651 ")</f>
        <v xml:space="preserve">http://slimages.macys.com/is/image/MCY/3905651 </v>
      </c>
    </row>
    <row r="226" spans="1:13" ht="15.2" customHeight="1" x14ac:dyDescent="0.2">
      <c r="A226" s="26" t="s">
        <v>8001</v>
      </c>
      <c r="B226" s="27" t="s">
        <v>8002</v>
      </c>
      <c r="C226" s="28">
        <v>1</v>
      </c>
      <c r="D226" s="29">
        <v>8.5</v>
      </c>
      <c r="E226" s="29">
        <v>8.5</v>
      </c>
      <c r="F226" s="30">
        <v>19.989999999999998</v>
      </c>
      <c r="G226" s="29">
        <v>19.989999999999998</v>
      </c>
      <c r="H226" s="28" t="s">
        <v>7760</v>
      </c>
      <c r="I226" s="27" t="s">
        <v>189</v>
      </c>
      <c r="J226" s="31" t="s">
        <v>21</v>
      </c>
      <c r="K226" s="27" t="s">
        <v>282</v>
      </c>
      <c r="L226" s="27" t="s">
        <v>327</v>
      </c>
      <c r="M226" s="32" t="str">
        <f>HYPERLINK("http://slimages.macys.com/is/image/MCY/3961906 ")</f>
        <v xml:space="preserve">http://slimages.macys.com/is/image/MCY/3961906 </v>
      </c>
    </row>
    <row r="227" spans="1:13" ht="15.2" customHeight="1" x14ac:dyDescent="0.2">
      <c r="A227" s="26" t="s">
        <v>7758</v>
      </c>
      <c r="B227" s="27" t="s">
        <v>7759</v>
      </c>
      <c r="C227" s="28">
        <v>2</v>
      </c>
      <c r="D227" s="29">
        <v>8.5</v>
      </c>
      <c r="E227" s="29">
        <v>17</v>
      </c>
      <c r="F227" s="30">
        <v>19.989999999999998</v>
      </c>
      <c r="G227" s="29">
        <v>39.979999999999997</v>
      </c>
      <c r="H227" s="28" t="s">
        <v>7760</v>
      </c>
      <c r="I227" s="27" t="s">
        <v>189</v>
      </c>
      <c r="J227" s="31" t="s">
        <v>5</v>
      </c>
      <c r="K227" s="27" t="s">
        <v>282</v>
      </c>
      <c r="L227" s="27" t="s">
        <v>327</v>
      </c>
      <c r="M227" s="32" t="str">
        <f>HYPERLINK("http://slimages.macys.com/is/image/MCY/3961906 ")</f>
        <v xml:space="preserve">http://slimages.macys.com/is/image/MCY/3961906 </v>
      </c>
    </row>
    <row r="228" spans="1:13" ht="15.2" customHeight="1" x14ac:dyDescent="0.2">
      <c r="A228" s="26" t="s">
        <v>2659</v>
      </c>
      <c r="B228" s="27" t="s">
        <v>2660</v>
      </c>
      <c r="C228" s="28">
        <v>1</v>
      </c>
      <c r="D228" s="29">
        <v>8.5</v>
      </c>
      <c r="E228" s="29">
        <v>8.5</v>
      </c>
      <c r="F228" s="30">
        <v>19.989999999999998</v>
      </c>
      <c r="G228" s="29">
        <v>19.989999999999998</v>
      </c>
      <c r="H228" s="28" t="s">
        <v>334</v>
      </c>
      <c r="I228" s="27" t="s">
        <v>33</v>
      </c>
      <c r="J228" s="31" t="s">
        <v>21</v>
      </c>
      <c r="K228" s="27" t="s">
        <v>196</v>
      </c>
      <c r="L228" s="27" t="s">
        <v>239</v>
      </c>
      <c r="M228" s="32" t="str">
        <f>HYPERLINK("http://slimages.macys.com/is/image/MCY/3890886 ")</f>
        <v xml:space="preserve">http://slimages.macys.com/is/image/MCY/3890886 </v>
      </c>
    </row>
    <row r="229" spans="1:13" ht="15.2" customHeight="1" x14ac:dyDescent="0.2">
      <c r="A229" s="26" t="s">
        <v>8661</v>
      </c>
      <c r="B229" s="27" t="s">
        <v>8662</v>
      </c>
      <c r="C229" s="28">
        <v>1</v>
      </c>
      <c r="D229" s="29">
        <v>8.5</v>
      </c>
      <c r="E229" s="29">
        <v>8.5</v>
      </c>
      <c r="F229" s="30">
        <v>19.989999999999998</v>
      </c>
      <c r="G229" s="29">
        <v>19.989999999999998</v>
      </c>
      <c r="H229" s="28" t="s">
        <v>8663</v>
      </c>
      <c r="I229" s="27" t="s">
        <v>4</v>
      </c>
      <c r="J229" s="31" t="s">
        <v>40</v>
      </c>
      <c r="K229" s="27" t="s">
        <v>196</v>
      </c>
      <c r="L229" s="27" t="s">
        <v>1329</v>
      </c>
      <c r="M229" s="32" t="str">
        <f>HYPERLINK("http://slimages.macys.com/is/image/MCY/3660114 ")</f>
        <v xml:space="preserve">http://slimages.macys.com/is/image/MCY/3660114 </v>
      </c>
    </row>
    <row r="230" spans="1:13" ht="15.2" customHeight="1" x14ac:dyDescent="0.2">
      <c r="A230" s="26" t="s">
        <v>8670</v>
      </c>
      <c r="B230" s="27" t="s">
        <v>8671</v>
      </c>
      <c r="C230" s="28">
        <v>2</v>
      </c>
      <c r="D230" s="29">
        <v>8.5</v>
      </c>
      <c r="E230" s="29">
        <v>17</v>
      </c>
      <c r="F230" s="30">
        <v>19.989999999999998</v>
      </c>
      <c r="G230" s="29">
        <v>39.979999999999997</v>
      </c>
      <c r="H230" s="28" t="s">
        <v>1374</v>
      </c>
      <c r="I230" s="27" t="s">
        <v>271</v>
      </c>
      <c r="J230" s="31" t="s">
        <v>5</v>
      </c>
      <c r="K230" s="27" t="s">
        <v>196</v>
      </c>
      <c r="L230" s="27" t="s">
        <v>322</v>
      </c>
      <c r="M230" s="32" t="str">
        <f>HYPERLINK("http://slimages.macys.com/is/image/MCY/3915487 ")</f>
        <v xml:space="preserve">http://slimages.macys.com/is/image/MCY/3915487 </v>
      </c>
    </row>
    <row r="231" spans="1:13" ht="15.2" customHeight="1" x14ac:dyDescent="0.2">
      <c r="A231" s="26" t="s">
        <v>8831</v>
      </c>
      <c r="B231" s="27" t="s">
        <v>8832</v>
      </c>
      <c r="C231" s="28">
        <v>1</v>
      </c>
      <c r="D231" s="29">
        <v>8.25</v>
      </c>
      <c r="E231" s="29">
        <v>8.25</v>
      </c>
      <c r="F231" s="30">
        <v>19.989999999999998</v>
      </c>
      <c r="G231" s="29">
        <v>19.989999999999998</v>
      </c>
      <c r="H231" s="28" t="s">
        <v>8314</v>
      </c>
      <c r="I231" s="27" t="s">
        <v>690</v>
      </c>
      <c r="J231" s="31" t="s">
        <v>21</v>
      </c>
      <c r="K231" s="27" t="s">
        <v>196</v>
      </c>
      <c r="L231" s="27" t="s">
        <v>336</v>
      </c>
      <c r="M231" s="32" t="str">
        <f>HYPERLINK("http://slimages.macys.com/is/image/MCY/3820997 ")</f>
        <v xml:space="preserve">http://slimages.macys.com/is/image/MCY/3820997 </v>
      </c>
    </row>
    <row r="232" spans="1:13" ht="15.2" customHeight="1" x14ac:dyDescent="0.2">
      <c r="A232" s="26" t="s">
        <v>11790</v>
      </c>
      <c r="B232" s="27" t="s">
        <v>11791</v>
      </c>
      <c r="C232" s="28">
        <v>1</v>
      </c>
      <c r="D232" s="29">
        <v>8.25</v>
      </c>
      <c r="E232" s="29">
        <v>8.25</v>
      </c>
      <c r="F232" s="30">
        <v>19.989999999999998</v>
      </c>
      <c r="G232" s="29">
        <v>19.989999999999998</v>
      </c>
      <c r="H232" s="28" t="s">
        <v>2976</v>
      </c>
      <c r="I232" s="27" t="s">
        <v>4</v>
      </c>
      <c r="J232" s="31" t="s">
        <v>71</v>
      </c>
      <c r="K232" s="27" t="s">
        <v>196</v>
      </c>
      <c r="L232" s="27" t="s">
        <v>260</v>
      </c>
      <c r="M232" s="32" t="str">
        <f>HYPERLINK("http://slimages.macys.com/is/image/MCY/3700257 ")</f>
        <v xml:space="preserve">http://slimages.macys.com/is/image/MCY/3700257 </v>
      </c>
    </row>
    <row r="233" spans="1:13" ht="15.2" customHeight="1" x14ac:dyDescent="0.2">
      <c r="A233" s="26" t="s">
        <v>2661</v>
      </c>
      <c r="B233" s="27" t="s">
        <v>2662</v>
      </c>
      <c r="C233" s="28">
        <v>1</v>
      </c>
      <c r="D233" s="29">
        <v>8.25</v>
      </c>
      <c r="E233" s="29">
        <v>8.25</v>
      </c>
      <c r="F233" s="30">
        <v>19.989999999999998</v>
      </c>
      <c r="G233" s="29">
        <v>19.989999999999998</v>
      </c>
      <c r="H233" s="28" t="s">
        <v>1388</v>
      </c>
      <c r="I233" s="27" t="s">
        <v>4</v>
      </c>
      <c r="J233" s="31" t="s">
        <v>5</v>
      </c>
      <c r="K233" s="27" t="s">
        <v>282</v>
      </c>
      <c r="L233" s="27" t="s">
        <v>283</v>
      </c>
      <c r="M233" s="32" t="str">
        <f>HYPERLINK("http://slimages.macys.com/is/image/MCY/3773924 ")</f>
        <v xml:space="preserve">http://slimages.macys.com/is/image/MCY/3773924 </v>
      </c>
    </row>
    <row r="234" spans="1:13" ht="15.2" customHeight="1" x14ac:dyDescent="0.2">
      <c r="A234" s="26" t="s">
        <v>9872</v>
      </c>
      <c r="B234" s="27" t="s">
        <v>9873</v>
      </c>
      <c r="C234" s="28">
        <v>1</v>
      </c>
      <c r="D234" s="29">
        <v>8.25</v>
      </c>
      <c r="E234" s="29">
        <v>8.25</v>
      </c>
      <c r="F234" s="30">
        <v>19.989999999999998</v>
      </c>
      <c r="G234" s="29">
        <v>19.989999999999998</v>
      </c>
      <c r="H234" s="28" t="s">
        <v>2289</v>
      </c>
      <c r="I234" s="27" t="s">
        <v>144</v>
      </c>
      <c r="J234" s="31" t="s">
        <v>5</v>
      </c>
      <c r="K234" s="27" t="s">
        <v>196</v>
      </c>
      <c r="L234" s="27" t="s">
        <v>322</v>
      </c>
      <c r="M234" s="32" t="str">
        <f>HYPERLINK("http://slimages.macys.com/is/image/MCY/3832780 ")</f>
        <v xml:space="preserve">http://slimages.macys.com/is/image/MCY/3832780 </v>
      </c>
    </row>
    <row r="235" spans="1:13" ht="15.2" customHeight="1" x14ac:dyDescent="0.2">
      <c r="A235" s="26" t="s">
        <v>1389</v>
      </c>
      <c r="B235" s="27" t="s">
        <v>1390</v>
      </c>
      <c r="C235" s="28">
        <v>1</v>
      </c>
      <c r="D235" s="29">
        <v>8.25</v>
      </c>
      <c r="E235" s="29">
        <v>8.25</v>
      </c>
      <c r="F235" s="30">
        <v>19.989999999999998</v>
      </c>
      <c r="G235" s="29">
        <v>19.989999999999998</v>
      </c>
      <c r="H235" s="28">
        <v>60444965</v>
      </c>
      <c r="I235" s="27" t="s">
        <v>75</v>
      </c>
      <c r="J235" s="31" t="s">
        <v>21</v>
      </c>
      <c r="K235" s="27" t="s">
        <v>208</v>
      </c>
      <c r="L235" s="27" t="s">
        <v>255</v>
      </c>
      <c r="M235" s="32" t="str">
        <f>HYPERLINK("http://slimages.macys.com/is/image/MCY/3828259 ")</f>
        <v xml:space="preserve">http://slimages.macys.com/is/image/MCY/3828259 </v>
      </c>
    </row>
    <row r="236" spans="1:13" ht="15.2" customHeight="1" x14ac:dyDescent="0.2">
      <c r="A236" s="26" t="s">
        <v>11792</v>
      </c>
      <c r="B236" s="27" t="s">
        <v>11793</v>
      </c>
      <c r="C236" s="28">
        <v>1</v>
      </c>
      <c r="D236" s="29">
        <v>8.25</v>
      </c>
      <c r="E236" s="29">
        <v>8.25</v>
      </c>
      <c r="F236" s="30">
        <v>19.989999999999998</v>
      </c>
      <c r="G236" s="29">
        <v>19.989999999999998</v>
      </c>
      <c r="H236" s="28" t="s">
        <v>2975</v>
      </c>
      <c r="I236" s="27" t="s">
        <v>248</v>
      </c>
      <c r="J236" s="31" t="s">
        <v>52</v>
      </c>
      <c r="K236" s="27" t="s">
        <v>196</v>
      </c>
      <c r="L236" s="27" t="s">
        <v>225</v>
      </c>
      <c r="M236" s="32" t="str">
        <f>HYPERLINK("http://slimages.macys.com/is/image/MCY/3651791 ")</f>
        <v xml:space="preserve">http://slimages.macys.com/is/image/MCY/3651791 </v>
      </c>
    </row>
    <row r="237" spans="1:13" ht="15.2" customHeight="1" x14ac:dyDescent="0.2">
      <c r="A237" s="26" t="s">
        <v>2292</v>
      </c>
      <c r="B237" s="27" t="s">
        <v>2293</v>
      </c>
      <c r="C237" s="28">
        <v>1</v>
      </c>
      <c r="D237" s="29">
        <v>8.1</v>
      </c>
      <c r="E237" s="29">
        <v>8.1</v>
      </c>
      <c r="F237" s="30">
        <v>22.5</v>
      </c>
      <c r="G237" s="29">
        <v>22.5</v>
      </c>
      <c r="H237" s="28" t="s">
        <v>2294</v>
      </c>
      <c r="I237" s="27" t="s">
        <v>4</v>
      </c>
      <c r="J237" s="31" t="s">
        <v>5</v>
      </c>
      <c r="K237" s="27" t="s">
        <v>53</v>
      </c>
      <c r="L237" s="27" t="s">
        <v>372</v>
      </c>
      <c r="M237" s="32" t="str">
        <f>HYPERLINK("http://slimages.macys.com/is/image/MCY/3708566 ")</f>
        <v xml:space="preserve">http://slimages.macys.com/is/image/MCY/3708566 </v>
      </c>
    </row>
    <row r="238" spans="1:13" ht="15.2" customHeight="1" x14ac:dyDescent="0.2">
      <c r="A238" s="26" t="s">
        <v>2295</v>
      </c>
      <c r="B238" s="27" t="s">
        <v>2296</v>
      </c>
      <c r="C238" s="28">
        <v>1</v>
      </c>
      <c r="D238" s="29">
        <v>8.1</v>
      </c>
      <c r="E238" s="29">
        <v>8.1</v>
      </c>
      <c r="F238" s="30">
        <v>22.5</v>
      </c>
      <c r="G238" s="29">
        <v>22.5</v>
      </c>
      <c r="H238" s="28" t="s">
        <v>2294</v>
      </c>
      <c r="I238" s="27" t="s">
        <v>4</v>
      </c>
      <c r="J238" s="31" t="s">
        <v>21</v>
      </c>
      <c r="K238" s="27" t="s">
        <v>53</v>
      </c>
      <c r="L238" s="27" t="s">
        <v>372</v>
      </c>
      <c r="M238" s="32" t="str">
        <f>HYPERLINK("http://slimages.macys.com/is/image/MCY/3708566 ")</f>
        <v xml:space="preserve">http://slimages.macys.com/is/image/MCY/3708566 </v>
      </c>
    </row>
    <row r="239" spans="1:13" ht="15.2" customHeight="1" x14ac:dyDescent="0.2">
      <c r="A239" s="26" t="s">
        <v>4348</v>
      </c>
      <c r="B239" s="27" t="s">
        <v>4349</v>
      </c>
      <c r="C239" s="28">
        <v>1</v>
      </c>
      <c r="D239" s="29">
        <v>8.1</v>
      </c>
      <c r="E239" s="29">
        <v>8.1</v>
      </c>
      <c r="F239" s="30">
        <v>22.5</v>
      </c>
      <c r="G239" s="29">
        <v>22.5</v>
      </c>
      <c r="H239" s="28" t="s">
        <v>2294</v>
      </c>
      <c r="I239" s="27" t="s">
        <v>4</v>
      </c>
      <c r="J239" s="31" t="s">
        <v>71</v>
      </c>
      <c r="K239" s="27" t="s">
        <v>53</v>
      </c>
      <c r="L239" s="27" t="s">
        <v>372</v>
      </c>
      <c r="M239" s="32" t="str">
        <f>HYPERLINK("http://slimages.macys.com/is/image/MCY/3708566 ")</f>
        <v xml:space="preserve">http://slimages.macys.com/is/image/MCY/3708566 </v>
      </c>
    </row>
    <row r="240" spans="1:13" ht="15.2" customHeight="1" x14ac:dyDescent="0.2">
      <c r="A240" s="26" t="s">
        <v>2297</v>
      </c>
      <c r="B240" s="27" t="s">
        <v>2298</v>
      </c>
      <c r="C240" s="28">
        <v>1</v>
      </c>
      <c r="D240" s="29">
        <v>8.1</v>
      </c>
      <c r="E240" s="29">
        <v>8.1</v>
      </c>
      <c r="F240" s="30">
        <v>22.5</v>
      </c>
      <c r="G240" s="29">
        <v>22.5</v>
      </c>
      <c r="H240" s="28" t="s">
        <v>2294</v>
      </c>
      <c r="I240" s="27" t="s">
        <v>4</v>
      </c>
      <c r="J240" s="31" t="s">
        <v>52</v>
      </c>
      <c r="K240" s="27" t="s">
        <v>53</v>
      </c>
      <c r="L240" s="27" t="s">
        <v>372</v>
      </c>
      <c r="M240" s="32" t="str">
        <f>HYPERLINK("http://slimages.macys.com/is/image/MCY/3708566 ")</f>
        <v xml:space="preserve">http://slimages.macys.com/is/image/MCY/3708566 </v>
      </c>
    </row>
    <row r="241" spans="1:13" ht="15.2" customHeight="1" x14ac:dyDescent="0.2">
      <c r="A241" s="26" t="s">
        <v>11794</v>
      </c>
      <c r="B241" s="27" t="s">
        <v>11795</v>
      </c>
      <c r="C241" s="28">
        <v>1</v>
      </c>
      <c r="D241" s="29">
        <v>8</v>
      </c>
      <c r="E241" s="29">
        <v>8</v>
      </c>
      <c r="F241" s="30">
        <v>19.989999999999998</v>
      </c>
      <c r="G241" s="29">
        <v>19.989999999999998</v>
      </c>
      <c r="H241" s="28" t="s">
        <v>4350</v>
      </c>
      <c r="I241" s="27" t="s">
        <v>75</v>
      </c>
      <c r="J241" s="31" t="s">
        <v>5</v>
      </c>
      <c r="K241" s="27" t="s">
        <v>196</v>
      </c>
      <c r="L241" s="27" t="s">
        <v>322</v>
      </c>
      <c r="M241" s="32" t="str">
        <f>HYPERLINK("http://slimages.macys.com/is/image/MCY/3820938 ")</f>
        <v xml:space="preserve">http://slimages.macys.com/is/image/MCY/3820938 </v>
      </c>
    </row>
    <row r="242" spans="1:13" ht="15.2" customHeight="1" x14ac:dyDescent="0.2">
      <c r="A242" s="26" t="s">
        <v>8315</v>
      </c>
      <c r="B242" s="27" t="s">
        <v>8316</v>
      </c>
      <c r="C242" s="28">
        <v>1</v>
      </c>
      <c r="D242" s="29">
        <v>8</v>
      </c>
      <c r="E242" s="29">
        <v>8</v>
      </c>
      <c r="F242" s="30">
        <v>19.989999999999998</v>
      </c>
      <c r="G242" s="29">
        <v>19.989999999999998</v>
      </c>
      <c r="H242" s="28">
        <v>60450162</v>
      </c>
      <c r="I242" s="27" t="s">
        <v>238</v>
      </c>
      <c r="J242" s="31" t="s">
        <v>52</v>
      </c>
      <c r="K242" s="27" t="s">
        <v>208</v>
      </c>
      <c r="L242" s="27" t="s">
        <v>255</v>
      </c>
      <c r="M242" s="32" t="str">
        <f>HYPERLINK("http://slimages.macys.com/is/image/MCY/3913047 ")</f>
        <v xml:space="preserve">http://slimages.macys.com/is/image/MCY/3913047 </v>
      </c>
    </row>
    <row r="243" spans="1:13" ht="15.2" customHeight="1" x14ac:dyDescent="0.2">
      <c r="A243" s="26" t="s">
        <v>8413</v>
      </c>
      <c r="B243" s="27" t="s">
        <v>8414</v>
      </c>
      <c r="C243" s="28">
        <v>2</v>
      </c>
      <c r="D243" s="29">
        <v>8</v>
      </c>
      <c r="E243" s="29">
        <v>16</v>
      </c>
      <c r="F243" s="30">
        <v>19.989999999999998</v>
      </c>
      <c r="G243" s="29">
        <v>39.979999999999997</v>
      </c>
      <c r="H243" s="28" t="s">
        <v>1885</v>
      </c>
      <c r="I243" s="27" t="s">
        <v>1472</v>
      </c>
      <c r="J243" s="31" t="s">
        <v>71</v>
      </c>
      <c r="K243" s="27" t="s">
        <v>196</v>
      </c>
      <c r="L243" s="27" t="s">
        <v>239</v>
      </c>
      <c r="M243" s="32" t="str">
        <f>HYPERLINK("http://slimages.macys.com/is/image/MCY/3834521 ")</f>
        <v xml:space="preserve">http://slimages.macys.com/is/image/MCY/3834521 </v>
      </c>
    </row>
    <row r="244" spans="1:13" ht="15.2" customHeight="1" x14ac:dyDescent="0.2">
      <c r="A244" s="26" t="s">
        <v>1406</v>
      </c>
      <c r="B244" s="27" t="s">
        <v>1407</v>
      </c>
      <c r="C244" s="28">
        <v>1</v>
      </c>
      <c r="D244" s="29">
        <v>8</v>
      </c>
      <c r="E244" s="29">
        <v>8</v>
      </c>
      <c r="F244" s="30">
        <v>19.989999999999998</v>
      </c>
      <c r="G244" s="29">
        <v>19.989999999999998</v>
      </c>
      <c r="H244" s="28" t="s">
        <v>364</v>
      </c>
      <c r="I244" s="27" t="s">
        <v>280</v>
      </c>
      <c r="J244" s="31" t="s">
        <v>40</v>
      </c>
      <c r="K244" s="27" t="s">
        <v>282</v>
      </c>
      <c r="L244" s="27" t="s">
        <v>358</v>
      </c>
      <c r="M244" s="32" t="str">
        <f>HYPERLINK("http://slimages.macys.com/is/image/MCY/3931077 ")</f>
        <v xml:space="preserve">http://slimages.macys.com/is/image/MCY/3931077 </v>
      </c>
    </row>
    <row r="245" spans="1:13" ht="15.2" customHeight="1" x14ac:dyDescent="0.2">
      <c r="A245" s="26" t="s">
        <v>8557</v>
      </c>
      <c r="B245" s="27" t="s">
        <v>8558</v>
      </c>
      <c r="C245" s="28">
        <v>1</v>
      </c>
      <c r="D245" s="29">
        <v>8</v>
      </c>
      <c r="E245" s="29">
        <v>8</v>
      </c>
      <c r="F245" s="30">
        <v>19.989999999999998</v>
      </c>
      <c r="G245" s="29">
        <v>19.989999999999998</v>
      </c>
      <c r="H245" s="28" t="s">
        <v>1885</v>
      </c>
      <c r="I245" s="27" t="s">
        <v>94</v>
      </c>
      <c r="J245" s="31" t="s">
        <v>40</v>
      </c>
      <c r="K245" s="27" t="s">
        <v>196</v>
      </c>
      <c r="L245" s="27" t="s">
        <v>239</v>
      </c>
      <c r="M245" s="32" t="str">
        <f>HYPERLINK("http://slimages.macys.com/is/image/MCY/3834521 ")</f>
        <v xml:space="preserve">http://slimages.macys.com/is/image/MCY/3834521 </v>
      </c>
    </row>
    <row r="246" spans="1:13" ht="15.2" customHeight="1" x14ac:dyDescent="0.2">
      <c r="A246" s="26" t="s">
        <v>1893</v>
      </c>
      <c r="B246" s="27" t="s">
        <v>1894</v>
      </c>
      <c r="C246" s="28">
        <v>1</v>
      </c>
      <c r="D246" s="29">
        <v>8</v>
      </c>
      <c r="E246" s="29">
        <v>8</v>
      </c>
      <c r="F246" s="30">
        <v>19.989999999999998</v>
      </c>
      <c r="G246" s="29">
        <v>19.989999999999998</v>
      </c>
      <c r="H246" s="28" t="s">
        <v>1885</v>
      </c>
      <c r="I246" s="27" t="s">
        <v>4</v>
      </c>
      <c r="J246" s="31" t="s">
        <v>40</v>
      </c>
      <c r="K246" s="27" t="s">
        <v>196</v>
      </c>
      <c r="L246" s="27" t="s">
        <v>239</v>
      </c>
      <c r="M246" s="32" t="str">
        <f>HYPERLINK("http://slimages.macys.com/is/image/MCY/3834521 ")</f>
        <v xml:space="preserve">http://slimages.macys.com/is/image/MCY/3834521 </v>
      </c>
    </row>
    <row r="247" spans="1:13" ht="15.2" customHeight="1" x14ac:dyDescent="0.2">
      <c r="A247" s="26" t="s">
        <v>5101</v>
      </c>
      <c r="B247" s="27" t="s">
        <v>5102</v>
      </c>
      <c r="C247" s="28">
        <v>1</v>
      </c>
      <c r="D247" s="29">
        <v>8</v>
      </c>
      <c r="E247" s="29">
        <v>8</v>
      </c>
      <c r="F247" s="30">
        <v>21.5</v>
      </c>
      <c r="G247" s="29">
        <v>21.5</v>
      </c>
      <c r="H247" s="28" t="s">
        <v>352</v>
      </c>
      <c r="I247" s="27" t="s">
        <v>4</v>
      </c>
      <c r="J247" s="31" t="s">
        <v>52</v>
      </c>
      <c r="K247" s="27" t="s">
        <v>70</v>
      </c>
      <c r="L247" s="27" t="s">
        <v>353</v>
      </c>
      <c r="M247" s="32" t="str">
        <f>HYPERLINK("http://slimages.macys.com/is/image/MCY/3799214 ")</f>
        <v xml:space="preserve">http://slimages.macys.com/is/image/MCY/3799214 </v>
      </c>
    </row>
    <row r="248" spans="1:13" ht="15.2" customHeight="1" x14ac:dyDescent="0.2">
      <c r="A248" s="26" t="s">
        <v>6043</v>
      </c>
      <c r="B248" s="27" t="s">
        <v>6044</v>
      </c>
      <c r="C248" s="28">
        <v>2</v>
      </c>
      <c r="D248" s="29">
        <v>8</v>
      </c>
      <c r="E248" s="29">
        <v>16</v>
      </c>
      <c r="F248" s="30">
        <v>19.989999999999998</v>
      </c>
      <c r="G248" s="29">
        <v>39.979999999999997</v>
      </c>
      <c r="H248" s="28" t="s">
        <v>1885</v>
      </c>
      <c r="I248" s="27" t="s">
        <v>4</v>
      </c>
      <c r="J248" s="31" t="s">
        <v>5</v>
      </c>
      <c r="K248" s="27" t="s">
        <v>196</v>
      </c>
      <c r="L248" s="27" t="s">
        <v>239</v>
      </c>
      <c r="M248" s="32" t="str">
        <f>HYPERLINK("http://slimages.macys.com/is/image/MCY/3834521 ")</f>
        <v xml:space="preserve">http://slimages.macys.com/is/image/MCY/3834521 </v>
      </c>
    </row>
    <row r="249" spans="1:13" ht="15.2" customHeight="1" x14ac:dyDescent="0.2">
      <c r="A249" s="26" t="s">
        <v>6045</v>
      </c>
      <c r="B249" s="27" t="s">
        <v>6046</v>
      </c>
      <c r="C249" s="28">
        <v>2</v>
      </c>
      <c r="D249" s="29">
        <v>8</v>
      </c>
      <c r="E249" s="29">
        <v>16</v>
      </c>
      <c r="F249" s="30">
        <v>19.989999999999998</v>
      </c>
      <c r="G249" s="29">
        <v>39.979999999999997</v>
      </c>
      <c r="H249" s="28" t="s">
        <v>2309</v>
      </c>
      <c r="I249" s="27" t="s">
        <v>215</v>
      </c>
      <c r="J249" s="31" t="s">
        <v>40</v>
      </c>
      <c r="K249" s="27" t="s">
        <v>196</v>
      </c>
      <c r="L249" s="27" t="s">
        <v>239</v>
      </c>
      <c r="M249" s="32" t="str">
        <f>HYPERLINK("http://slimages.macys.com/is/image/MCY/3719772 ")</f>
        <v xml:space="preserve">http://slimages.macys.com/is/image/MCY/3719772 </v>
      </c>
    </row>
    <row r="250" spans="1:13" ht="15.2" customHeight="1" x14ac:dyDescent="0.2">
      <c r="A250" s="26" t="s">
        <v>7559</v>
      </c>
      <c r="B250" s="27" t="s">
        <v>7560</v>
      </c>
      <c r="C250" s="28">
        <v>1</v>
      </c>
      <c r="D250" s="29">
        <v>8</v>
      </c>
      <c r="E250" s="29">
        <v>8</v>
      </c>
      <c r="F250" s="30">
        <v>19.989999999999998</v>
      </c>
      <c r="G250" s="29">
        <v>19.989999999999998</v>
      </c>
      <c r="H250" s="28" t="s">
        <v>4350</v>
      </c>
      <c r="I250" s="27" t="s">
        <v>333</v>
      </c>
      <c r="J250" s="31" t="s">
        <v>40</v>
      </c>
      <c r="K250" s="27" t="s">
        <v>196</v>
      </c>
      <c r="L250" s="27" t="s">
        <v>322</v>
      </c>
      <c r="M250" s="32" t="str">
        <f>HYPERLINK("http://slimages.macys.com/is/image/MCY/3820938 ")</f>
        <v xml:space="preserve">http://slimages.macys.com/is/image/MCY/3820938 </v>
      </c>
    </row>
    <row r="251" spans="1:13" ht="15.2" customHeight="1" x14ac:dyDescent="0.2">
      <c r="A251" s="26" t="s">
        <v>11026</v>
      </c>
      <c r="B251" s="27" t="s">
        <v>11027</v>
      </c>
      <c r="C251" s="28">
        <v>2</v>
      </c>
      <c r="D251" s="29">
        <v>8</v>
      </c>
      <c r="E251" s="29">
        <v>16</v>
      </c>
      <c r="F251" s="30">
        <v>19.989999999999998</v>
      </c>
      <c r="G251" s="29">
        <v>39.979999999999997</v>
      </c>
      <c r="H251" s="28" t="s">
        <v>1885</v>
      </c>
      <c r="I251" s="27" t="s">
        <v>94</v>
      </c>
      <c r="J251" s="31" t="s">
        <v>21</v>
      </c>
      <c r="K251" s="27" t="s">
        <v>196</v>
      </c>
      <c r="L251" s="27" t="s">
        <v>239</v>
      </c>
      <c r="M251" s="32" t="str">
        <f>HYPERLINK("http://slimages.macys.com/is/image/MCY/3834521 ")</f>
        <v xml:space="preserve">http://slimages.macys.com/is/image/MCY/3834521 </v>
      </c>
    </row>
    <row r="252" spans="1:13" ht="15.2" customHeight="1" x14ac:dyDescent="0.2">
      <c r="A252" s="26" t="s">
        <v>2312</v>
      </c>
      <c r="B252" s="27" t="s">
        <v>2313</v>
      </c>
      <c r="C252" s="28">
        <v>1</v>
      </c>
      <c r="D252" s="29">
        <v>8</v>
      </c>
      <c r="E252" s="29">
        <v>8</v>
      </c>
      <c r="F252" s="30">
        <v>19.989999999999998</v>
      </c>
      <c r="G252" s="29">
        <v>19.989999999999998</v>
      </c>
      <c r="H252" s="28" t="s">
        <v>2309</v>
      </c>
      <c r="I252" s="27" t="s">
        <v>189</v>
      </c>
      <c r="J252" s="31" t="s">
        <v>40</v>
      </c>
      <c r="K252" s="27" t="s">
        <v>196</v>
      </c>
      <c r="L252" s="27" t="s">
        <v>239</v>
      </c>
      <c r="M252" s="32" t="str">
        <f>HYPERLINK("http://slimages.macys.com/is/image/MCY/3719772 ")</f>
        <v xml:space="preserve">http://slimages.macys.com/is/image/MCY/3719772 </v>
      </c>
    </row>
    <row r="253" spans="1:13" ht="15.2" customHeight="1" x14ac:dyDescent="0.2">
      <c r="A253" s="26" t="s">
        <v>1398</v>
      </c>
      <c r="B253" s="27" t="s">
        <v>1399</v>
      </c>
      <c r="C253" s="28">
        <v>2</v>
      </c>
      <c r="D253" s="29">
        <v>8</v>
      </c>
      <c r="E253" s="29">
        <v>16</v>
      </c>
      <c r="F253" s="30">
        <v>22.99</v>
      </c>
      <c r="G253" s="29">
        <v>45.98</v>
      </c>
      <c r="H253" s="28" t="s">
        <v>1397</v>
      </c>
      <c r="I253" s="27" t="s">
        <v>94</v>
      </c>
      <c r="J253" s="31" t="s">
        <v>5</v>
      </c>
      <c r="K253" s="27" t="s">
        <v>200</v>
      </c>
      <c r="L253" s="27" t="s">
        <v>325</v>
      </c>
      <c r="M253" s="32" t="str">
        <f>HYPERLINK("http://slimages.macys.com/is/image/MCY/3937194 ")</f>
        <v xml:space="preserve">http://slimages.macys.com/is/image/MCY/3937194 </v>
      </c>
    </row>
    <row r="254" spans="1:13" ht="15.2" customHeight="1" x14ac:dyDescent="0.2">
      <c r="A254" s="26" t="s">
        <v>1883</v>
      </c>
      <c r="B254" s="27" t="s">
        <v>1884</v>
      </c>
      <c r="C254" s="28">
        <v>1</v>
      </c>
      <c r="D254" s="29">
        <v>8</v>
      </c>
      <c r="E254" s="29">
        <v>8</v>
      </c>
      <c r="F254" s="30">
        <v>19.989999999999998</v>
      </c>
      <c r="G254" s="29">
        <v>19.989999999999998</v>
      </c>
      <c r="H254" s="28" t="s">
        <v>1885</v>
      </c>
      <c r="I254" s="27" t="s">
        <v>94</v>
      </c>
      <c r="J254" s="31" t="s">
        <v>71</v>
      </c>
      <c r="K254" s="27" t="s">
        <v>196</v>
      </c>
      <c r="L254" s="27" t="s">
        <v>239</v>
      </c>
      <c r="M254" s="32" t="str">
        <f>HYPERLINK("http://slimages.macys.com/is/image/MCY/3834521 ")</f>
        <v xml:space="preserve">http://slimages.macys.com/is/image/MCY/3834521 </v>
      </c>
    </row>
    <row r="255" spans="1:13" ht="15.2" customHeight="1" x14ac:dyDescent="0.2">
      <c r="A255" s="26" t="s">
        <v>5451</v>
      </c>
      <c r="B255" s="27" t="s">
        <v>5452</v>
      </c>
      <c r="C255" s="28">
        <v>1</v>
      </c>
      <c r="D255" s="29">
        <v>8</v>
      </c>
      <c r="E255" s="29">
        <v>8</v>
      </c>
      <c r="F255" s="30">
        <v>19.989999999999998</v>
      </c>
      <c r="G255" s="29">
        <v>19.989999999999998</v>
      </c>
      <c r="H255" s="28" t="s">
        <v>827</v>
      </c>
      <c r="I255" s="27" t="s">
        <v>1</v>
      </c>
      <c r="J255" s="31" t="s">
        <v>21</v>
      </c>
      <c r="K255" s="27" t="s">
        <v>196</v>
      </c>
      <c r="L255" s="27" t="s">
        <v>260</v>
      </c>
      <c r="M255" s="32" t="str">
        <f>HYPERLINK("http://slimages.macys.com/is/image/MCY/3910796 ")</f>
        <v xml:space="preserve">http://slimages.macys.com/is/image/MCY/3910796 </v>
      </c>
    </row>
    <row r="256" spans="1:13" ht="15.2" customHeight="1" x14ac:dyDescent="0.2">
      <c r="A256" s="26" t="s">
        <v>5753</v>
      </c>
      <c r="B256" s="27" t="s">
        <v>5754</v>
      </c>
      <c r="C256" s="28">
        <v>1</v>
      </c>
      <c r="D256" s="29">
        <v>8</v>
      </c>
      <c r="E256" s="29">
        <v>8</v>
      </c>
      <c r="F256" s="30">
        <v>19.989999999999998</v>
      </c>
      <c r="G256" s="29">
        <v>19.989999999999998</v>
      </c>
      <c r="H256" s="28" t="s">
        <v>2309</v>
      </c>
      <c r="I256" s="27" t="s">
        <v>215</v>
      </c>
      <c r="J256" s="31" t="s">
        <v>21</v>
      </c>
      <c r="K256" s="27" t="s">
        <v>196</v>
      </c>
      <c r="L256" s="27" t="s">
        <v>239</v>
      </c>
      <c r="M256" s="32" t="str">
        <f>HYPERLINK("http://slimages.macys.com/is/image/MCY/3719772 ")</f>
        <v xml:space="preserve">http://slimages.macys.com/is/image/MCY/3719772 </v>
      </c>
    </row>
    <row r="257" spans="1:13" ht="15.2" customHeight="1" x14ac:dyDescent="0.2">
      <c r="A257" s="26" t="s">
        <v>9443</v>
      </c>
      <c r="B257" s="27" t="s">
        <v>9444</v>
      </c>
      <c r="C257" s="28">
        <v>1</v>
      </c>
      <c r="D257" s="29">
        <v>8</v>
      </c>
      <c r="E257" s="29">
        <v>8</v>
      </c>
      <c r="F257" s="30">
        <v>19.989999999999998</v>
      </c>
      <c r="G257" s="29">
        <v>19.989999999999998</v>
      </c>
      <c r="H257" s="28" t="s">
        <v>1394</v>
      </c>
      <c r="I257" s="27"/>
      <c r="J257" s="31" t="s">
        <v>5</v>
      </c>
      <c r="K257" s="27" t="s">
        <v>224</v>
      </c>
      <c r="L257" s="27" t="s">
        <v>254</v>
      </c>
      <c r="M257" s="32" t="str">
        <f>HYPERLINK("http://slimages.macys.com/is/image/MCY/3825537 ")</f>
        <v xml:space="preserve">http://slimages.macys.com/is/image/MCY/3825537 </v>
      </c>
    </row>
    <row r="258" spans="1:13" ht="15.2" customHeight="1" x14ac:dyDescent="0.2">
      <c r="A258" s="26" t="s">
        <v>8022</v>
      </c>
      <c r="B258" s="27" t="s">
        <v>8023</v>
      </c>
      <c r="C258" s="28">
        <v>1</v>
      </c>
      <c r="D258" s="29">
        <v>8</v>
      </c>
      <c r="E258" s="29">
        <v>8</v>
      </c>
      <c r="F258" s="30">
        <v>19.989999999999998</v>
      </c>
      <c r="G258" s="29">
        <v>19.989999999999998</v>
      </c>
      <c r="H258" s="28" t="s">
        <v>1394</v>
      </c>
      <c r="I258" s="27" t="s">
        <v>94</v>
      </c>
      <c r="J258" s="31" t="s">
        <v>71</v>
      </c>
      <c r="K258" s="27" t="s">
        <v>224</v>
      </c>
      <c r="L258" s="27" t="s">
        <v>254</v>
      </c>
      <c r="M258" s="32" t="str">
        <f>HYPERLINK("http://slimages.macys.com/is/image/MCY/3825537 ")</f>
        <v xml:space="preserve">http://slimages.macys.com/is/image/MCY/3825537 </v>
      </c>
    </row>
    <row r="259" spans="1:13" ht="15.2" customHeight="1" x14ac:dyDescent="0.2">
      <c r="A259" s="26" t="s">
        <v>2316</v>
      </c>
      <c r="B259" s="27" t="s">
        <v>2317</v>
      </c>
      <c r="C259" s="28">
        <v>1</v>
      </c>
      <c r="D259" s="29">
        <v>8</v>
      </c>
      <c r="E259" s="29">
        <v>8</v>
      </c>
      <c r="F259" s="30">
        <v>19.989999999999998</v>
      </c>
      <c r="G259" s="29">
        <v>19.989999999999998</v>
      </c>
      <c r="H259" s="28" t="s">
        <v>1362</v>
      </c>
      <c r="I259" s="27" t="s">
        <v>661</v>
      </c>
      <c r="J259" s="31" t="s">
        <v>40</v>
      </c>
      <c r="K259" s="27" t="s">
        <v>224</v>
      </c>
      <c r="L259" s="27" t="s">
        <v>276</v>
      </c>
      <c r="M259" s="32" t="str">
        <f>HYPERLINK("http://slimages.macys.com/is/image/MCY/3814584 ")</f>
        <v xml:space="preserve">http://slimages.macys.com/is/image/MCY/3814584 </v>
      </c>
    </row>
    <row r="260" spans="1:13" ht="15.2" customHeight="1" x14ac:dyDescent="0.2">
      <c r="A260" s="26" t="s">
        <v>10291</v>
      </c>
      <c r="B260" s="27" t="s">
        <v>10292</v>
      </c>
      <c r="C260" s="28">
        <v>1</v>
      </c>
      <c r="D260" s="29">
        <v>8</v>
      </c>
      <c r="E260" s="29">
        <v>8</v>
      </c>
      <c r="F260" s="30">
        <v>19.989999999999998</v>
      </c>
      <c r="G260" s="29">
        <v>19.989999999999998</v>
      </c>
      <c r="H260" s="28" t="s">
        <v>7565</v>
      </c>
      <c r="I260" s="27" t="s">
        <v>248</v>
      </c>
      <c r="J260" s="31" t="s">
        <v>40</v>
      </c>
      <c r="K260" s="27" t="s">
        <v>224</v>
      </c>
      <c r="L260" s="27" t="s">
        <v>254</v>
      </c>
      <c r="M260" s="32" t="str">
        <f>HYPERLINK("http://slimages.macys.com/is/image/MCY/3719811 ")</f>
        <v xml:space="preserve">http://slimages.macys.com/is/image/MCY/3719811 </v>
      </c>
    </row>
    <row r="261" spans="1:13" ht="15.2" customHeight="1" x14ac:dyDescent="0.2">
      <c r="A261" s="26" t="s">
        <v>362</v>
      </c>
      <c r="B261" s="27" t="s">
        <v>363</v>
      </c>
      <c r="C261" s="28">
        <v>1</v>
      </c>
      <c r="D261" s="29">
        <v>8</v>
      </c>
      <c r="E261" s="29">
        <v>8</v>
      </c>
      <c r="F261" s="30">
        <v>19.989999999999998</v>
      </c>
      <c r="G261" s="29">
        <v>19.989999999999998</v>
      </c>
      <c r="H261" s="28" t="s">
        <v>364</v>
      </c>
      <c r="I261" s="27" t="s">
        <v>280</v>
      </c>
      <c r="J261" s="31" t="s">
        <v>71</v>
      </c>
      <c r="K261" s="27" t="s">
        <v>282</v>
      </c>
      <c r="L261" s="27" t="s">
        <v>358</v>
      </c>
      <c r="M261" s="32" t="str">
        <f>HYPERLINK("http://slimages.macys.com/is/image/MCY/3931077 ")</f>
        <v xml:space="preserve">http://slimages.macys.com/is/image/MCY/3931077 </v>
      </c>
    </row>
    <row r="262" spans="1:13" ht="15.2" customHeight="1" x14ac:dyDescent="0.2">
      <c r="A262" s="26" t="s">
        <v>1413</v>
      </c>
      <c r="B262" s="27" t="s">
        <v>1414</v>
      </c>
      <c r="C262" s="28">
        <v>1</v>
      </c>
      <c r="D262" s="29">
        <v>8</v>
      </c>
      <c r="E262" s="29">
        <v>8</v>
      </c>
      <c r="F262" s="30">
        <v>19.989999999999998</v>
      </c>
      <c r="G262" s="29">
        <v>19.989999999999998</v>
      </c>
      <c r="H262" s="28" t="s">
        <v>840</v>
      </c>
      <c r="I262" s="27" t="s">
        <v>189</v>
      </c>
      <c r="J262" s="31" t="s">
        <v>40</v>
      </c>
      <c r="K262" s="27" t="s">
        <v>282</v>
      </c>
      <c r="L262" s="27" t="s">
        <v>349</v>
      </c>
      <c r="M262" s="32" t="str">
        <f>HYPERLINK("http://slimages.macys.com/is/image/MCY/3799630 ")</f>
        <v xml:space="preserve">http://slimages.macys.com/is/image/MCY/3799630 </v>
      </c>
    </row>
    <row r="263" spans="1:13" ht="15.2" customHeight="1" x14ac:dyDescent="0.2">
      <c r="A263" s="26" t="s">
        <v>5455</v>
      </c>
      <c r="B263" s="27" t="s">
        <v>5456</v>
      </c>
      <c r="C263" s="28">
        <v>1</v>
      </c>
      <c r="D263" s="29">
        <v>8</v>
      </c>
      <c r="E263" s="29">
        <v>8</v>
      </c>
      <c r="F263" s="30">
        <v>19.989999999999998</v>
      </c>
      <c r="G263" s="29">
        <v>19.989999999999998</v>
      </c>
      <c r="H263" s="28" t="s">
        <v>840</v>
      </c>
      <c r="I263" s="27" t="s">
        <v>189</v>
      </c>
      <c r="J263" s="31" t="s">
        <v>71</v>
      </c>
      <c r="K263" s="27" t="s">
        <v>282</v>
      </c>
      <c r="L263" s="27" t="s">
        <v>349</v>
      </c>
      <c r="M263" s="32" t="str">
        <f>HYPERLINK("http://slimages.macys.com/is/image/MCY/3799630 ")</f>
        <v xml:space="preserve">http://slimages.macys.com/is/image/MCY/3799630 </v>
      </c>
    </row>
    <row r="264" spans="1:13" ht="15.2" customHeight="1" x14ac:dyDescent="0.2">
      <c r="A264" s="26" t="s">
        <v>11796</v>
      </c>
      <c r="B264" s="27" t="s">
        <v>11797</v>
      </c>
      <c r="C264" s="28">
        <v>1</v>
      </c>
      <c r="D264" s="29">
        <v>8</v>
      </c>
      <c r="E264" s="29">
        <v>8</v>
      </c>
      <c r="F264" s="30">
        <v>19.989999999999998</v>
      </c>
      <c r="G264" s="29">
        <v>19.989999999999998</v>
      </c>
      <c r="H264" s="28" t="s">
        <v>8836</v>
      </c>
      <c r="I264" s="27" t="s">
        <v>746</v>
      </c>
      <c r="J264" s="31" t="s">
        <v>5</v>
      </c>
      <c r="K264" s="27" t="s">
        <v>196</v>
      </c>
      <c r="L264" s="27" t="s">
        <v>322</v>
      </c>
      <c r="M264" s="32" t="str">
        <f>HYPERLINK("http://slimages.macys.com/is/image/MCY/3517480 ")</f>
        <v xml:space="preserve">http://slimages.macys.com/is/image/MCY/3517480 </v>
      </c>
    </row>
    <row r="265" spans="1:13" ht="15.2" customHeight="1" x14ac:dyDescent="0.2">
      <c r="A265" s="26" t="s">
        <v>1886</v>
      </c>
      <c r="B265" s="27" t="s">
        <v>1887</v>
      </c>
      <c r="C265" s="28">
        <v>1</v>
      </c>
      <c r="D265" s="29">
        <v>8</v>
      </c>
      <c r="E265" s="29">
        <v>8</v>
      </c>
      <c r="F265" s="30">
        <v>19.989999999999998</v>
      </c>
      <c r="G265" s="29">
        <v>19.989999999999998</v>
      </c>
      <c r="H265" s="28" t="s">
        <v>1888</v>
      </c>
      <c r="I265" s="27" t="s">
        <v>690</v>
      </c>
      <c r="J265" s="31" t="s">
        <v>40</v>
      </c>
      <c r="K265" s="27" t="s">
        <v>196</v>
      </c>
      <c r="L265" s="27" t="s">
        <v>239</v>
      </c>
      <c r="M265" s="32" t="str">
        <f>HYPERLINK("http://slimages.macys.com/is/image/MCY/3853021 ")</f>
        <v xml:space="preserve">http://slimages.macys.com/is/image/MCY/3853021 </v>
      </c>
    </row>
    <row r="266" spans="1:13" ht="15.2" customHeight="1" x14ac:dyDescent="0.2">
      <c r="A266" s="26" t="s">
        <v>8476</v>
      </c>
      <c r="B266" s="27" t="s">
        <v>8477</v>
      </c>
      <c r="C266" s="28">
        <v>3</v>
      </c>
      <c r="D266" s="29">
        <v>8</v>
      </c>
      <c r="E266" s="29">
        <v>24</v>
      </c>
      <c r="F266" s="30">
        <v>19.989999999999998</v>
      </c>
      <c r="G266" s="29">
        <v>59.97</v>
      </c>
      <c r="H266" s="28" t="s">
        <v>1885</v>
      </c>
      <c r="I266" s="27" t="s">
        <v>4</v>
      </c>
      <c r="J266" s="31" t="s">
        <v>21</v>
      </c>
      <c r="K266" s="27" t="s">
        <v>196</v>
      </c>
      <c r="L266" s="27" t="s">
        <v>239</v>
      </c>
      <c r="M266" s="32" t="str">
        <f>HYPERLINK("http://slimages.macys.com/is/image/MCY/3834521 ")</f>
        <v xml:space="preserve">http://slimages.macys.com/is/image/MCY/3834521 </v>
      </c>
    </row>
    <row r="267" spans="1:13" ht="15.2" customHeight="1" x14ac:dyDescent="0.2">
      <c r="A267" s="26" t="s">
        <v>11798</v>
      </c>
      <c r="B267" s="27" t="s">
        <v>11799</v>
      </c>
      <c r="C267" s="28">
        <v>1</v>
      </c>
      <c r="D267" s="29">
        <v>8</v>
      </c>
      <c r="E267" s="29">
        <v>8</v>
      </c>
      <c r="F267" s="30">
        <v>19.989999999999998</v>
      </c>
      <c r="G267" s="29">
        <v>19.989999999999998</v>
      </c>
      <c r="H267" s="28" t="s">
        <v>2309</v>
      </c>
      <c r="I267" s="27" t="s">
        <v>215</v>
      </c>
      <c r="J267" s="31" t="s">
        <v>71</v>
      </c>
      <c r="K267" s="27" t="s">
        <v>196</v>
      </c>
      <c r="L267" s="27" t="s">
        <v>239</v>
      </c>
      <c r="M267" s="32" t="str">
        <f>HYPERLINK("http://slimages.macys.com/is/image/MCY/3719772 ")</f>
        <v xml:space="preserve">http://slimages.macys.com/is/image/MCY/3719772 </v>
      </c>
    </row>
    <row r="268" spans="1:13" ht="15.2" customHeight="1" x14ac:dyDescent="0.2">
      <c r="A268" s="26" t="s">
        <v>7783</v>
      </c>
      <c r="B268" s="27" t="s">
        <v>7784</v>
      </c>
      <c r="C268" s="28">
        <v>1</v>
      </c>
      <c r="D268" s="29">
        <v>7.85</v>
      </c>
      <c r="E268" s="29">
        <v>7.85</v>
      </c>
      <c r="F268" s="30">
        <v>24.99</v>
      </c>
      <c r="G268" s="29">
        <v>24.99</v>
      </c>
      <c r="H268" s="28" t="s">
        <v>367</v>
      </c>
      <c r="I268" s="27" t="s">
        <v>26</v>
      </c>
      <c r="J268" s="31" t="s">
        <v>40</v>
      </c>
      <c r="K268" s="27" t="s">
        <v>224</v>
      </c>
      <c r="L268" s="27" t="s">
        <v>260</v>
      </c>
      <c r="M268" s="32" t="str">
        <f>HYPERLINK("http://slimages.macys.com/is/image/MCY/3853703 ")</f>
        <v xml:space="preserve">http://slimages.macys.com/is/image/MCY/3853703 </v>
      </c>
    </row>
    <row r="269" spans="1:13" ht="15.2" customHeight="1" x14ac:dyDescent="0.2">
      <c r="A269" s="26" t="s">
        <v>9823</v>
      </c>
      <c r="B269" s="27" t="s">
        <v>9824</v>
      </c>
      <c r="C269" s="28">
        <v>3</v>
      </c>
      <c r="D269" s="29">
        <v>7.85</v>
      </c>
      <c r="E269" s="29">
        <v>23.55</v>
      </c>
      <c r="F269" s="30">
        <v>27.99</v>
      </c>
      <c r="G269" s="29">
        <v>83.97</v>
      </c>
      <c r="H269" s="28" t="s">
        <v>1419</v>
      </c>
      <c r="I269" s="27" t="s">
        <v>144</v>
      </c>
      <c r="J269" s="31" t="s">
        <v>21</v>
      </c>
      <c r="K269" s="27" t="s">
        <v>224</v>
      </c>
      <c r="L269" s="27" t="s">
        <v>260</v>
      </c>
      <c r="M269" s="32" t="str">
        <f>HYPERLINK("http://slimages.macys.com/is/image/MCY/3798032 ")</f>
        <v xml:space="preserve">http://slimages.macys.com/is/image/MCY/3798032 </v>
      </c>
    </row>
    <row r="270" spans="1:13" ht="15.2" customHeight="1" x14ac:dyDescent="0.2">
      <c r="A270" s="26" t="s">
        <v>11800</v>
      </c>
      <c r="B270" s="27" t="s">
        <v>11801</v>
      </c>
      <c r="C270" s="28">
        <v>1</v>
      </c>
      <c r="D270" s="29">
        <v>7.82</v>
      </c>
      <c r="E270" s="29">
        <v>7.82</v>
      </c>
      <c r="F270" s="30">
        <v>19.989999999999998</v>
      </c>
      <c r="G270" s="29">
        <v>19.989999999999998</v>
      </c>
      <c r="H270" s="28">
        <v>60450129</v>
      </c>
      <c r="I270" s="27" t="s">
        <v>4</v>
      </c>
      <c r="J270" s="31" t="s">
        <v>40</v>
      </c>
      <c r="K270" s="27" t="s">
        <v>208</v>
      </c>
      <c r="L270" s="27" t="s">
        <v>255</v>
      </c>
      <c r="M270" s="32" t="str">
        <f>HYPERLINK("http://slimages.macys.com/is/image/MCY/3954999 ")</f>
        <v xml:space="preserve">http://slimages.macys.com/is/image/MCY/3954999 </v>
      </c>
    </row>
    <row r="271" spans="1:13" ht="15.2" customHeight="1" x14ac:dyDescent="0.2">
      <c r="A271" s="26" t="s">
        <v>11802</v>
      </c>
      <c r="B271" s="27" t="s">
        <v>11803</v>
      </c>
      <c r="C271" s="28">
        <v>1</v>
      </c>
      <c r="D271" s="29">
        <v>7.82</v>
      </c>
      <c r="E271" s="29">
        <v>7.82</v>
      </c>
      <c r="F271" s="30">
        <v>19.989999999999998</v>
      </c>
      <c r="G271" s="29">
        <v>19.989999999999998</v>
      </c>
      <c r="H271" s="28">
        <v>60450129</v>
      </c>
      <c r="I271" s="27" t="s">
        <v>4</v>
      </c>
      <c r="J271" s="31" t="s">
        <v>71</v>
      </c>
      <c r="K271" s="27" t="s">
        <v>208</v>
      </c>
      <c r="L271" s="27" t="s">
        <v>255</v>
      </c>
      <c r="M271" s="32" t="str">
        <f>HYPERLINK("http://slimages.macys.com/is/image/MCY/3954999 ")</f>
        <v xml:space="preserve">http://slimages.macys.com/is/image/MCY/3954999 </v>
      </c>
    </row>
    <row r="272" spans="1:13" ht="15.2" customHeight="1" x14ac:dyDescent="0.2">
      <c r="A272" s="26" t="s">
        <v>8681</v>
      </c>
      <c r="B272" s="27" t="s">
        <v>8682</v>
      </c>
      <c r="C272" s="28">
        <v>1</v>
      </c>
      <c r="D272" s="29">
        <v>7.8</v>
      </c>
      <c r="E272" s="29">
        <v>7.8</v>
      </c>
      <c r="F272" s="30">
        <v>19.989999999999998</v>
      </c>
      <c r="G272" s="29">
        <v>19.989999999999998</v>
      </c>
      <c r="H272" s="28" t="s">
        <v>1895</v>
      </c>
      <c r="I272" s="27" t="s">
        <v>26</v>
      </c>
      <c r="J272" s="31" t="s">
        <v>71</v>
      </c>
      <c r="K272" s="27" t="s">
        <v>196</v>
      </c>
      <c r="L272" s="27" t="s">
        <v>260</v>
      </c>
      <c r="M272" s="32" t="str">
        <f>HYPERLINK("http://slimages.macys.com/is/image/MCY/3798060 ")</f>
        <v xml:space="preserve">http://slimages.macys.com/is/image/MCY/3798060 </v>
      </c>
    </row>
    <row r="273" spans="1:13" ht="15.2" customHeight="1" x14ac:dyDescent="0.2">
      <c r="A273" s="26" t="s">
        <v>11589</v>
      </c>
      <c r="B273" s="27" t="s">
        <v>11590</v>
      </c>
      <c r="C273" s="28">
        <v>1</v>
      </c>
      <c r="D273" s="29">
        <v>7.8</v>
      </c>
      <c r="E273" s="29">
        <v>7.8</v>
      </c>
      <c r="F273" s="30">
        <v>19.989999999999998</v>
      </c>
      <c r="G273" s="29">
        <v>19.989999999999998</v>
      </c>
      <c r="H273" s="28" t="s">
        <v>1895</v>
      </c>
      <c r="I273" s="27" t="s">
        <v>144</v>
      </c>
      <c r="J273" s="31" t="s">
        <v>21</v>
      </c>
      <c r="K273" s="27" t="s">
        <v>196</v>
      </c>
      <c r="L273" s="27" t="s">
        <v>260</v>
      </c>
      <c r="M273" s="32" t="str">
        <f>HYPERLINK("http://slimages.macys.com/is/image/MCY/3798060 ")</f>
        <v xml:space="preserve">http://slimages.macys.com/is/image/MCY/3798060 </v>
      </c>
    </row>
    <row r="274" spans="1:13" ht="15.2" customHeight="1" x14ac:dyDescent="0.2">
      <c r="A274" s="26" t="s">
        <v>2329</v>
      </c>
      <c r="B274" s="27" t="s">
        <v>2330</v>
      </c>
      <c r="C274" s="28">
        <v>2</v>
      </c>
      <c r="D274" s="29">
        <v>7.63</v>
      </c>
      <c r="E274" s="29">
        <v>15.26</v>
      </c>
      <c r="F274" s="30">
        <v>22.5</v>
      </c>
      <c r="G274" s="29">
        <v>45</v>
      </c>
      <c r="H274" s="28" t="s">
        <v>2331</v>
      </c>
      <c r="I274" s="27" t="s">
        <v>4</v>
      </c>
      <c r="J274" s="31" t="s">
        <v>5</v>
      </c>
      <c r="K274" s="27" t="s">
        <v>53</v>
      </c>
      <c r="L274" s="27" t="s">
        <v>372</v>
      </c>
      <c r="M274" s="32" t="str">
        <f>HYPERLINK("http://slimages.macys.com/is/image/MCY/2217104 ")</f>
        <v xml:space="preserve">http://slimages.macys.com/is/image/MCY/2217104 </v>
      </c>
    </row>
    <row r="275" spans="1:13" ht="15.2" customHeight="1" x14ac:dyDescent="0.2">
      <c r="A275" s="26" t="s">
        <v>2337</v>
      </c>
      <c r="B275" s="27" t="s">
        <v>2338</v>
      </c>
      <c r="C275" s="28">
        <v>1</v>
      </c>
      <c r="D275" s="29">
        <v>7.63</v>
      </c>
      <c r="E275" s="29">
        <v>7.63</v>
      </c>
      <c r="F275" s="30">
        <v>22.5</v>
      </c>
      <c r="G275" s="29">
        <v>22.5</v>
      </c>
      <c r="H275" s="28" t="s">
        <v>2334</v>
      </c>
      <c r="I275" s="27" t="s">
        <v>4</v>
      </c>
      <c r="J275" s="31" t="s">
        <v>21</v>
      </c>
      <c r="K275" s="27" t="s">
        <v>53</v>
      </c>
      <c r="L275" s="27" t="s">
        <v>372</v>
      </c>
      <c r="M275" s="32" t="str">
        <f>HYPERLINK("http://slimages.macys.com/is/image/MCY/2217105 ")</f>
        <v xml:space="preserve">http://slimages.macys.com/is/image/MCY/2217105 </v>
      </c>
    </row>
    <row r="276" spans="1:13" ht="15.2" customHeight="1" x14ac:dyDescent="0.2">
      <c r="A276" s="26" t="s">
        <v>5764</v>
      </c>
      <c r="B276" s="27" t="s">
        <v>5765</v>
      </c>
      <c r="C276" s="28">
        <v>2</v>
      </c>
      <c r="D276" s="29">
        <v>7.5</v>
      </c>
      <c r="E276" s="29">
        <v>15</v>
      </c>
      <c r="F276" s="30">
        <v>19.989999999999998</v>
      </c>
      <c r="G276" s="29">
        <v>39.979999999999997</v>
      </c>
      <c r="H276" s="28" t="s">
        <v>1427</v>
      </c>
      <c r="I276" s="27" t="s">
        <v>144</v>
      </c>
      <c r="J276" s="31" t="s">
        <v>21</v>
      </c>
      <c r="K276" s="27" t="s">
        <v>196</v>
      </c>
      <c r="L276" s="27" t="s">
        <v>336</v>
      </c>
      <c r="M276" s="32" t="str">
        <f>HYPERLINK("http://slimages.macys.com/is/image/MCY/3852983 ")</f>
        <v xml:space="preserve">http://slimages.macys.com/is/image/MCY/3852983 </v>
      </c>
    </row>
    <row r="277" spans="1:13" ht="15.2" customHeight="1" x14ac:dyDescent="0.2">
      <c r="A277" s="26" t="s">
        <v>9445</v>
      </c>
      <c r="B277" s="27" t="s">
        <v>9446</v>
      </c>
      <c r="C277" s="28">
        <v>1</v>
      </c>
      <c r="D277" s="29">
        <v>7.5</v>
      </c>
      <c r="E277" s="29">
        <v>7.5</v>
      </c>
      <c r="F277" s="30">
        <v>19.989999999999998</v>
      </c>
      <c r="G277" s="29">
        <v>19.989999999999998</v>
      </c>
      <c r="H277" s="28" t="s">
        <v>8223</v>
      </c>
      <c r="I277" s="27" t="s">
        <v>244</v>
      </c>
      <c r="J277" s="31" t="s">
        <v>5</v>
      </c>
      <c r="K277" s="27" t="s">
        <v>196</v>
      </c>
      <c r="L277" s="27" t="s">
        <v>336</v>
      </c>
      <c r="M277" s="32" t="str">
        <f>HYPERLINK("http://slimages.macys.com/is/image/MCY/3705540 ")</f>
        <v xml:space="preserve">http://slimages.macys.com/is/image/MCY/3705540 </v>
      </c>
    </row>
    <row r="278" spans="1:13" ht="15.2" customHeight="1" x14ac:dyDescent="0.2">
      <c r="A278" s="26" t="s">
        <v>11804</v>
      </c>
      <c r="B278" s="27" t="s">
        <v>11805</v>
      </c>
      <c r="C278" s="28">
        <v>1</v>
      </c>
      <c r="D278" s="29">
        <v>7.5</v>
      </c>
      <c r="E278" s="29">
        <v>7.5</v>
      </c>
      <c r="F278" s="30">
        <v>19.989999999999998</v>
      </c>
      <c r="G278" s="29">
        <v>19.989999999999998</v>
      </c>
      <c r="H278" s="28" t="s">
        <v>6559</v>
      </c>
      <c r="I278" s="27" t="s">
        <v>248</v>
      </c>
      <c r="J278" s="31" t="s">
        <v>5</v>
      </c>
      <c r="K278" s="27" t="s">
        <v>196</v>
      </c>
      <c r="L278" s="27" t="s">
        <v>225</v>
      </c>
      <c r="M278" s="32" t="str">
        <f>HYPERLINK("http://slimages.macys.com/is/image/MCY/3593667 ")</f>
        <v xml:space="preserve">http://slimages.macys.com/is/image/MCY/3593667 </v>
      </c>
    </row>
    <row r="279" spans="1:13" ht="15.2" customHeight="1" x14ac:dyDescent="0.2">
      <c r="A279" s="26" t="s">
        <v>1898</v>
      </c>
      <c r="B279" s="27" t="s">
        <v>1899</v>
      </c>
      <c r="C279" s="28">
        <v>1</v>
      </c>
      <c r="D279" s="29">
        <v>7.5</v>
      </c>
      <c r="E279" s="29">
        <v>7.5</v>
      </c>
      <c r="F279" s="30">
        <v>19.989999999999998</v>
      </c>
      <c r="G279" s="29">
        <v>19.989999999999998</v>
      </c>
      <c r="H279" s="28" t="s">
        <v>1900</v>
      </c>
      <c r="I279" s="27" t="s">
        <v>248</v>
      </c>
      <c r="J279" s="31" t="s">
        <v>5</v>
      </c>
      <c r="K279" s="27" t="s">
        <v>196</v>
      </c>
      <c r="L279" s="27" t="s">
        <v>225</v>
      </c>
      <c r="M279" s="32" t="str">
        <f>HYPERLINK("http://slimages.macys.com/is/image/MCY/3953461 ")</f>
        <v xml:space="preserve">http://slimages.macys.com/is/image/MCY/3953461 </v>
      </c>
    </row>
    <row r="280" spans="1:13" ht="15.2" customHeight="1" x14ac:dyDescent="0.2">
      <c r="A280" s="26" t="s">
        <v>1431</v>
      </c>
      <c r="B280" s="27" t="s">
        <v>1432</v>
      </c>
      <c r="C280" s="28">
        <v>2</v>
      </c>
      <c r="D280" s="29">
        <v>7.5</v>
      </c>
      <c r="E280" s="29">
        <v>15</v>
      </c>
      <c r="F280" s="30">
        <v>19.989999999999998</v>
      </c>
      <c r="G280" s="29">
        <v>39.979999999999997</v>
      </c>
      <c r="H280" s="28" t="s">
        <v>1433</v>
      </c>
      <c r="I280" s="27" t="s">
        <v>690</v>
      </c>
      <c r="J280" s="31" t="s">
        <v>40</v>
      </c>
      <c r="K280" s="27" t="s">
        <v>196</v>
      </c>
      <c r="L280" s="27" t="s">
        <v>336</v>
      </c>
      <c r="M280" s="32" t="str">
        <f>HYPERLINK("http://slimages.macys.com/is/image/MCY/3821001 ")</f>
        <v xml:space="preserve">http://slimages.macys.com/is/image/MCY/3821001 </v>
      </c>
    </row>
    <row r="281" spans="1:13" ht="15.2" customHeight="1" x14ac:dyDescent="0.2">
      <c r="A281" s="26" t="s">
        <v>11806</v>
      </c>
      <c r="B281" s="27" t="s">
        <v>11807</v>
      </c>
      <c r="C281" s="28">
        <v>1</v>
      </c>
      <c r="D281" s="29">
        <v>7.5</v>
      </c>
      <c r="E281" s="29">
        <v>7.5</v>
      </c>
      <c r="F281" s="30">
        <v>24.98</v>
      </c>
      <c r="G281" s="29">
        <v>24.98</v>
      </c>
      <c r="H281" s="28">
        <v>4068866</v>
      </c>
      <c r="I281" s="27" t="s">
        <v>59</v>
      </c>
      <c r="J281" s="31" t="s">
        <v>210</v>
      </c>
      <c r="K281" s="27" t="s">
        <v>154</v>
      </c>
      <c r="L281" s="27" t="s">
        <v>155</v>
      </c>
      <c r="M281" s="32" t="str">
        <f>HYPERLINK("http://slimages.macys.com/is/image/MCY/1942084 ")</f>
        <v xml:space="preserve">http://slimages.macys.com/is/image/MCY/1942084 </v>
      </c>
    </row>
    <row r="282" spans="1:13" ht="15.2" customHeight="1" x14ac:dyDescent="0.2">
      <c r="A282" s="26" t="s">
        <v>8035</v>
      </c>
      <c r="B282" s="27" t="s">
        <v>8036</v>
      </c>
      <c r="C282" s="28">
        <v>1</v>
      </c>
      <c r="D282" s="29">
        <v>7.5</v>
      </c>
      <c r="E282" s="29">
        <v>7.5</v>
      </c>
      <c r="F282" s="30">
        <v>19.989999999999998</v>
      </c>
      <c r="G282" s="29">
        <v>19.989999999999998</v>
      </c>
      <c r="H282" s="28" t="s">
        <v>1900</v>
      </c>
      <c r="I282" s="27" t="s">
        <v>248</v>
      </c>
      <c r="J282" s="31" t="s">
        <v>71</v>
      </c>
      <c r="K282" s="27" t="s">
        <v>196</v>
      </c>
      <c r="L282" s="27" t="s">
        <v>225</v>
      </c>
      <c r="M282" s="32" t="str">
        <f>HYPERLINK("http://slimages.macys.com/is/image/MCY/3953461 ")</f>
        <v xml:space="preserve">http://slimages.macys.com/is/image/MCY/3953461 </v>
      </c>
    </row>
    <row r="283" spans="1:13" ht="15.2" customHeight="1" x14ac:dyDescent="0.2">
      <c r="A283" s="26" t="s">
        <v>9669</v>
      </c>
      <c r="B283" s="27" t="s">
        <v>9670</v>
      </c>
      <c r="C283" s="28">
        <v>1</v>
      </c>
      <c r="D283" s="29">
        <v>7.5</v>
      </c>
      <c r="E283" s="29">
        <v>7.5</v>
      </c>
      <c r="F283" s="30">
        <v>19.989999999999998</v>
      </c>
      <c r="G283" s="29">
        <v>19.989999999999998</v>
      </c>
      <c r="H283" s="28" t="s">
        <v>1433</v>
      </c>
      <c r="I283" s="27" t="s">
        <v>690</v>
      </c>
      <c r="J283" s="31" t="s">
        <v>71</v>
      </c>
      <c r="K283" s="27" t="s">
        <v>196</v>
      </c>
      <c r="L283" s="27" t="s">
        <v>336</v>
      </c>
      <c r="M283" s="32" t="str">
        <f>HYPERLINK("http://slimages.macys.com/is/image/MCY/3821001 ")</f>
        <v xml:space="preserve">http://slimages.macys.com/is/image/MCY/3821001 </v>
      </c>
    </row>
    <row r="284" spans="1:13" ht="15.2" customHeight="1" x14ac:dyDescent="0.2">
      <c r="A284" s="26" t="s">
        <v>11808</v>
      </c>
      <c r="B284" s="27" t="s">
        <v>11809</v>
      </c>
      <c r="C284" s="28">
        <v>1</v>
      </c>
      <c r="D284" s="29">
        <v>7.5</v>
      </c>
      <c r="E284" s="29">
        <v>7.5</v>
      </c>
      <c r="F284" s="30">
        <v>18.989999999999998</v>
      </c>
      <c r="G284" s="29">
        <v>18.989999999999998</v>
      </c>
      <c r="H284" s="28" t="s">
        <v>8034</v>
      </c>
      <c r="I284" s="27" t="s">
        <v>274</v>
      </c>
      <c r="J284" s="31" t="s">
        <v>40</v>
      </c>
      <c r="K284" s="27" t="s">
        <v>70</v>
      </c>
      <c r="L284" s="27" t="s">
        <v>1355</v>
      </c>
      <c r="M284" s="32" t="str">
        <f>HYPERLINK("http://slimages.macys.com/is/image/MCY/3677953 ")</f>
        <v xml:space="preserve">http://slimages.macys.com/is/image/MCY/3677953 </v>
      </c>
    </row>
    <row r="285" spans="1:13" ht="15.2" customHeight="1" x14ac:dyDescent="0.2">
      <c r="A285" s="26" t="s">
        <v>10562</v>
      </c>
      <c r="B285" s="27" t="s">
        <v>10563</v>
      </c>
      <c r="C285" s="28">
        <v>1</v>
      </c>
      <c r="D285" s="29">
        <v>7.5</v>
      </c>
      <c r="E285" s="29">
        <v>7.5</v>
      </c>
      <c r="F285" s="30">
        <v>19.989999999999998</v>
      </c>
      <c r="G285" s="29">
        <v>19.989999999999998</v>
      </c>
      <c r="H285" s="28" t="s">
        <v>1427</v>
      </c>
      <c r="I285" s="27" t="s">
        <v>144</v>
      </c>
      <c r="J285" s="31" t="s">
        <v>52</v>
      </c>
      <c r="K285" s="27" t="s">
        <v>196</v>
      </c>
      <c r="L285" s="27" t="s">
        <v>336</v>
      </c>
      <c r="M285" s="32" t="str">
        <f>HYPERLINK("http://slimages.macys.com/is/image/MCY/3852983 ")</f>
        <v xml:space="preserve">http://slimages.macys.com/is/image/MCY/3852983 </v>
      </c>
    </row>
    <row r="286" spans="1:13" ht="15.2" customHeight="1" x14ac:dyDescent="0.2">
      <c r="A286" s="26" t="s">
        <v>11810</v>
      </c>
      <c r="B286" s="27" t="s">
        <v>11811</v>
      </c>
      <c r="C286" s="28">
        <v>1</v>
      </c>
      <c r="D286" s="29">
        <v>7.5</v>
      </c>
      <c r="E286" s="29">
        <v>7.5</v>
      </c>
      <c r="F286" s="30">
        <v>16.989999999999998</v>
      </c>
      <c r="G286" s="29">
        <v>16.989999999999998</v>
      </c>
      <c r="H286" s="28" t="s">
        <v>4355</v>
      </c>
      <c r="I286" s="27" t="s">
        <v>4</v>
      </c>
      <c r="J286" s="31" t="s">
        <v>71</v>
      </c>
      <c r="K286" s="27" t="s">
        <v>282</v>
      </c>
      <c r="L286" s="27" t="s">
        <v>260</v>
      </c>
      <c r="M286" s="32" t="str">
        <f>HYPERLINK("http://slimages.macys.com/is/image/MCY/3798083 ")</f>
        <v xml:space="preserve">http://slimages.macys.com/is/image/MCY/3798083 </v>
      </c>
    </row>
    <row r="287" spans="1:13" ht="15.2" customHeight="1" x14ac:dyDescent="0.2">
      <c r="A287" s="26" t="s">
        <v>8688</v>
      </c>
      <c r="B287" s="27" t="s">
        <v>8689</v>
      </c>
      <c r="C287" s="28">
        <v>1</v>
      </c>
      <c r="D287" s="29">
        <v>7.25</v>
      </c>
      <c r="E287" s="29">
        <v>7.25</v>
      </c>
      <c r="F287" s="30">
        <v>19.989999999999998</v>
      </c>
      <c r="G287" s="29">
        <v>19.989999999999998</v>
      </c>
      <c r="H287" s="28" t="s">
        <v>8687</v>
      </c>
      <c r="I287" s="27" t="s">
        <v>383</v>
      </c>
      <c r="J287" s="31" t="s">
        <v>5</v>
      </c>
      <c r="K287" s="27" t="s">
        <v>196</v>
      </c>
      <c r="L287" s="27" t="s">
        <v>336</v>
      </c>
      <c r="M287" s="32" t="str">
        <f>HYPERLINK("http://slimages.macys.com/is/image/MCY/3705522 ")</f>
        <v xml:space="preserve">http://slimages.macys.com/is/image/MCY/3705522 </v>
      </c>
    </row>
    <row r="288" spans="1:13" ht="15.2" customHeight="1" x14ac:dyDescent="0.2">
      <c r="A288" s="26" t="s">
        <v>11812</v>
      </c>
      <c r="B288" s="27" t="s">
        <v>11813</v>
      </c>
      <c r="C288" s="28">
        <v>1</v>
      </c>
      <c r="D288" s="29">
        <v>7.25</v>
      </c>
      <c r="E288" s="29">
        <v>7.25</v>
      </c>
      <c r="F288" s="30">
        <v>12.99</v>
      </c>
      <c r="G288" s="29">
        <v>12.99</v>
      </c>
      <c r="H288" s="28" t="s">
        <v>5124</v>
      </c>
      <c r="I288" s="27" t="s">
        <v>82</v>
      </c>
      <c r="J288" s="31" t="s">
        <v>52</v>
      </c>
      <c r="K288" s="27" t="s">
        <v>282</v>
      </c>
      <c r="L288" s="27" t="s">
        <v>283</v>
      </c>
      <c r="M288" s="32" t="str">
        <f>HYPERLINK("http://slimages.macys.com/is/image/MCY/3774190 ")</f>
        <v xml:space="preserve">http://slimages.macys.com/is/image/MCY/3774190 </v>
      </c>
    </row>
    <row r="289" spans="1:13" ht="15.2" customHeight="1" x14ac:dyDescent="0.2">
      <c r="A289" s="26" t="s">
        <v>7682</v>
      </c>
      <c r="B289" s="27" t="s">
        <v>7683</v>
      </c>
      <c r="C289" s="28">
        <v>1</v>
      </c>
      <c r="D289" s="29">
        <v>7.14</v>
      </c>
      <c r="E289" s="29">
        <v>7.14</v>
      </c>
      <c r="F289" s="30">
        <v>19.989999999999998</v>
      </c>
      <c r="G289" s="29">
        <v>19.989999999999998</v>
      </c>
      <c r="H289" s="28" t="s">
        <v>7684</v>
      </c>
      <c r="I289" s="27" t="s">
        <v>1</v>
      </c>
      <c r="J289" s="31" t="s">
        <v>5</v>
      </c>
      <c r="K289" s="27" t="s">
        <v>159</v>
      </c>
      <c r="L289" s="27" t="s">
        <v>160</v>
      </c>
      <c r="M289" s="32" t="str">
        <f>HYPERLINK("http://slimages.macys.com/is/image/MCY/3187538 ")</f>
        <v xml:space="preserve">http://slimages.macys.com/is/image/MCY/3187538 </v>
      </c>
    </row>
    <row r="290" spans="1:13" ht="15.2" customHeight="1" x14ac:dyDescent="0.2">
      <c r="A290" s="26" t="s">
        <v>2985</v>
      </c>
      <c r="B290" s="27" t="s">
        <v>2986</v>
      </c>
      <c r="C290" s="28">
        <v>1</v>
      </c>
      <c r="D290" s="29">
        <v>7</v>
      </c>
      <c r="E290" s="29">
        <v>7</v>
      </c>
      <c r="F290" s="30">
        <v>19.989999999999998</v>
      </c>
      <c r="G290" s="29">
        <v>19.989999999999998</v>
      </c>
      <c r="H290" s="28" t="s">
        <v>2987</v>
      </c>
      <c r="I290" s="27" t="s">
        <v>94</v>
      </c>
      <c r="J290" s="31" t="s">
        <v>71</v>
      </c>
      <c r="K290" s="27" t="s">
        <v>282</v>
      </c>
      <c r="L290" s="27" t="s">
        <v>358</v>
      </c>
      <c r="M290" s="32" t="str">
        <f>HYPERLINK("http://slimages.macys.com/is/image/MCY/3832156 ")</f>
        <v xml:space="preserve">http://slimages.macys.com/is/image/MCY/3832156 </v>
      </c>
    </row>
    <row r="291" spans="1:13" ht="15.2" customHeight="1" x14ac:dyDescent="0.2">
      <c r="A291" s="26" t="s">
        <v>7569</v>
      </c>
      <c r="B291" s="27" t="s">
        <v>7570</v>
      </c>
      <c r="C291" s="28">
        <v>4</v>
      </c>
      <c r="D291" s="29">
        <v>7</v>
      </c>
      <c r="E291" s="29">
        <v>28</v>
      </c>
      <c r="F291" s="30">
        <v>19.989999999999998</v>
      </c>
      <c r="G291" s="29">
        <v>79.959999999999994</v>
      </c>
      <c r="H291" s="28" t="s">
        <v>2987</v>
      </c>
      <c r="I291" s="27" t="s">
        <v>94</v>
      </c>
      <c r="J291" s="31" t="s">
        <v>5</v>
      </c>
      <c r="K291" s="27" t="s">
        <v>282</v>
      </c>
      <c r="L291" s="27" t="s">
        <v>358</v>
      </c>
      <c r="M291" s="32" t="str">
        <f>HYPERLINK("http://slimages.macys.com/is/image/MCY/3832156 ")</f>
        <v xml:space="preserve">http://slimages.macys.com/is/image/MCY/3832156 </v>
      </c>
    </row>
    <row r="292" spans="1:13" ht="15.2" customHeight="1" x14ac:dyDescent="0.2">
      <c r="A292" s="26" t="s">
        <v>1912</v>
      </c>
      <c r="B292" s="27" t="s">
        <v>1913</v>
      </c>
      <c r="C292" s="28">
        <v>1</v>
      </c>
      <c r="D292" s="29">
        <v>7</v>
      </c>
      <c r="E292" s="29">
        <v>7</v>
      </c>
      <c r="F292" s="30">
        <v>19.989999999999998</v>
      </c>
      <c r="G292" s="29">
        <v>19.989999999999998</v>
      </c>
      <c r="H292" s="28" t="s">
        <v>380</v>
      </c>
      <c r="I292" s="27" t="s">
        <v>39</v>
      </c>
      <c r="J292" s="31" t="s">
        <v>71</v>
      </c>
      <c r="K292" s="27" t="s">
        <v>196</v>
      </c>
      <c r="L292" s="27" t="s">
        <v>260</v>
      </c>
      <c r="M292" s="32" t="str">
        <f>HYPERLINK("http://slimages.macys.com/is/image/MCY/3910801 ")</f>
        <v xml:space="preserve">http://slimages.macys.com/is/image/MCY/3910801 </v>
      </c>
    </row>
    <row r="293" spans="1:13" ht="15.2" customHeight="1" x14ac:dyDescent="0.2">
      <c r="A293" s="26" t="s">
        <v>8324</v>
      </c>
      <c r="B293" s="27" t="s">
        <v>8325</v>
      </c>
      <c r="C293" s="28">
        <v>1</v>
      </c>
      <c r="D293" s="29">
        <v>7</v>
      </c>
      <c r="E293" s="29">
        <v>7</v>
      </c>
      <c r="F293" s="30">
        <v>19.989999999999998</v>
      </c>
      <c r="G293" s="29">
        <v>19.989999999999998</v>
      </c>
      <c r="H293" s="28" t="s">
        <v>2984</v>
      </c>
      <c r="I293" s="27" t="s">
        <v>82</v>
      </c>
      <c r="J293" s="31" t="s">
        <v>5</v>
      </c>
      <c r="K293" s="27" t="s">
        <v>196</v>
      </c>
      <c r="L293" s="27" t="s">
        <v>239</v>
      </c>
      <c r="M293" s="32" t="str">
        <f>HYPERLINK("http://slimages.macys.com/is/image/MCY/3685480 ")</f>
        <v xml:space="preserve">http://slimages.macys.com/is/image/MCY/3685480 </v>
      </c>
    </row>
    <row r="294" spans="1:13" ht="15.2" customHeight="1" x14ac:dyDescent="0.2">
      <c r="A294" s="26" t="s">
        <v>7571</v>
      </c>
      <c r="B294" s="27" t="s">
        <v>7572</v>
      </c>
      <c r="C294" s="28">
        <v>2</v>
      </c>
      <c r="D294" s="29">
        <v>7</v>
      </c>
      <c r="E294" s="29">
        <v>14</v>
      </c>
      <c r="F294" s="30">
        <v>19.989999999999998</v>
      </c>
      <c r="G294" s="29">
        <v>39.979999999999997</v>
      </c>
      <c r="H294" s="28" t="s">
        <v>2987</v>
      </c>
      <c r="I294" s="27" t="s">
        <v>94</v>
      </c>
      <c r="J294" s="31" t="s">
        <v>52</v>
      </c>
      <c r="K294" s="27" t="s">
        <v>282</v>
      </c>
      <c r="L294" s="27" t="s">
        <v>358</v>
      </c>
      <c r="M294" s="32" t="str">
        <f>HYPERLINK("http://slimages.macys.com/is/image/MCY/3832156 ")</f>
        <v xml:space="preserve">http://slimages.macys.com/is/image/MCY/3832156 </v>
      </c>
    </row>
    <row r="295" spans="1:13" ht="15.2" customHeight="1" x14ac:dyDescent="0.2">
      <c r="A295" s="26" t="s">
        <v>1910</v>
      </c>
      <c r="B295" s="27" t="s">
        <v>1911</v>
      </c>
      <c r="C295" s="28">
        <v>1</v>
      </c>
      <c r="D295" s="29">
        <v>7</v>
      </c>
      <c r="E295" s="29">
        <v>7</v>
      </c>
      <c r="F295" s="30">
        <v>19.989999999999998</v>
      </c>
      <c r="G295" s="29">
        <v>19.989999999999998</v>
      </c>
      <c r="H295" s="28" t="s">
        <v>1906</v>
      </c>
      <c r="I295" s="27" t="s">
        <v>280</v>
      </c>
      <c r="J295" s="31" t="s">
        <v>5</v>
      </c>
      <c r="K295" s="27" t="s">
        <v>282</v>
      </c>
      <c r="L295" s="27" t="s">
        <v>358</v>
      </c>
      <c r="M295" s="32" t="str">
        <f>HYPERLINK("http://slimages.macys.com/is/image/MCY/3773685 ")</f>
        <v xml:space="preserve">http://slimages.macys.com/is/image/MCY/3773685 </v>
      </c>
    </row>
    <row r="296" spans="1:13" ht="15.2" customHeight="1" x14ac:dyDescent="0.2">
      <c r="A296" s="26" t="s">
        <v>9835</v>
      </c>
      <c r="B296" s="27" t="s">
        <v>9836</v>
      </c>
      <c r="C296" s="28">
        <v>1</v>
      </c>
      <c r="D296" s="29">
        <v>7</v>
      </c>
      <c r="E296" s="29">
        <v>7</v>
      </c>
      <c r="F296" s="30">
        <v>19.989999999999998</v>
      </c>
      <c r="G296" s="29">
        <v>19.989999999999998</v>
      </c>
      <c r="H296" s="28" t="s">
        <v>2984</v>
      </c>
      <c r="I296" s="27" t="s">
        <v>189</v>
      </c>
      <c r="J296" s="31" t="s">
        <v>21</v>
      </c>
      <c r="K296" s="27" t="s">
        <v>196</v>
      </c>
      <c r="L296" s="27" t="s">
        <v>239</v>
      </c>
      <c r="M296" s="32" t="str">
        <f>HYPERLINK("http://slimages.macys.com/is/image/MCY/3685480 ")</f>
        <v xml:space="preserve">http://slimages.macys.com/is/image/MCY/3685480 </v>
      </c>
    </row>
    <row r="297" spans="1:13" ht="15.2" customHeight="1" x14ac:dyDescent="0.2">
      <c r="A297" s="26" t="s">
        <v>8044</v>
      </c>
      <c r="B297" s="27" t="s">
        <v>8045</v>
      </c>
      <c r="C297" s="28">
        <v>1</v>
      </c>
      <c r="D297" s="29">
        <v>7</v>
      </c>
      <c r="E297" s="29">
        <v>7</v>
      </c>
      <c r="F297" s="30">
        <v>19.989999999999998</v>
      </c>
      <c r="G297" s="29">
        <v>19.989999999999998</v>
      </c>
      <c r="H297" s="28" t="s">
        <v>5137</v>
      </c>
      <c r="I297" s="27" t="s">
        <v>4</v>
      </c>
      <c r="J297" s="31" t="s">
        <v>40</v>
      </c>
      <c r="K297" s="27" t="s">
        <v>196</v>
      </c>
      <c r="L297" s="27" t="s">
        <v>260</v>
      </c>
      <c r="M297" s="32" t="str">
        <f>HYPERLINK("http://slimages.macys.com/is/image/MCY/3787593 ")</f>
        <v xml:space="preserve">http://slimages.macys.com/is/image/MCY/3787593 </v>
      </c>
    </row>
    <row r="298" spans="1:13" ht="15.2" customHeight="1" x14ac:dyDescent="0.2">
      <c r="A298" s="26" t="s">
        <v>7787</v>
      </c>
      <c r="B298" s="27" t="s">
        <v>7788</v>
      </c>
      <c r="C298" s="28">
        <v>1</v>
      </c>
      <c r="D298" s="29">
        <v>7</v>
      </c>
      <c r="E298" s="29">
        <v>7</v>
      </c>
      <c r="F298" s="30">
        <v>19.989999999999998</v>
      </c>
      <c r="G298" s="29">
        <v>19.989999999999998</v>
      </c>
      <c r="H298" s="28" t="s">
        <v>1906</v>
      </c>
      <c r="I298" s="27" t="s">
        <v>280</v>
      </c>
      <c r="J298" s="31" t="s">
        <v>21</v>
      </c>
      <c r="K298" s="27" t="s">
        <v>282</v>
      </c>
      <c r="L298" s="27" t="s">
        <v>358</v>
      </c>
      <c r="M298" s="32" t="str">
        <f>HYPERLINK("http://slimages.macys.com/is/image/MCY/3773685 ")</f>
        <v xml:space="preserve">http://slimages.macys.com/is/image/MCY/3773685 </v>
      </c>
    </row>
    <row r="299" spans="1:13" ht="15.2" customHeight="1" x14ac:dyDescent="0.2">
      <c r="A299" s="26" t="s">
        <v>11814</v>
      </c>
      <c r="B299" s="27" t="s">
        <v>11815</v>
      </c>
      <c r="C299" s="28">
        <v>1</v>
      </c>
      <c r="D299" s="29">
        <v>6.85</v>
      </c>
      <c r="E299" s="29">
        <v>6.85</v>
      </c>
      <c r="F299" s="30">
        <v>13.99</v>
      </c>
      <c r="G299" s="29">
        <v>13.99</v>
      </c>
      <c r="H299" s="28" t="s">
        <v>1436</v>
      </c>
      <c r="I299" s="27" t="s">
        <v>144</v>
      </c>
      <c r="J299" s="31" t="s">
        <v>5</v>
      </c>
      <c r="K299" s="27" t="s">
        <v>282</v>
      </c>
      <c r="L299" s="27" t="s">
        <v>276</v>
      </c>
      <c r="M299" s="32" t="str">
        <f>HYPERLINK("http://slimages.macys.com/is/image/MCY/3820921 ")</f>
        <v xml:space="preserve">http://slimages.macys.com/is/image/MCY/3820921 </v>
      </c>
    </row>
    <row r="300" spans="1:13" ht="15.2" customHeight="1" x14ac:dyDescent="0.2">
      <c r="A300" s="26" t="s">
        <v>4646</v>
      </c>
      <c r="B300" s="27" t="s">
        <v>4647</v>
      </c>
      <c r="C300" s="28">
        <v>1</v>
      </c>
      <c r="D300" s="29">
        <v>6.75</v>
      </c>
      <c r="E300" s="29">
        <v>6.75</v>
      </c>
      <c r="F300" s="30">
        <v>12.99</v>
      </c>
      <c r="G300" s="29">
        <v>12.99</v>
      </c>
      <c r="H300" s="28" t="s">
        <v>4360</v>
      </c>
      <c r="I300" s="27" t="s">
        <v>215</v>
      </c>
      <c r="J300" s="31" t="s">
        <v>40</v>
      </c>
      <c r="K300" s="27" t="s">
        <v>282</v>
      </c>
      <c r="L300" s="27" t="s">
        <v>225</v>
      </c>
      <c r="M300" s="32" t="str">
        <f>HYPERLINK("http://slimages.macys.com/is/image/MCY/3859753 ")</f>
        <v xml:space="preserve">http://slimages.macys.com/is/image/MCY/3859753 </v>
      </c>
    </row>
    <row r="301" spans="1:13" ht="15.2" customHeight="1" x14ac:dyDescent="0.2">
      <c r="A301" s="26" t="s">
        <v>11816</v>
      </c>
      <c r="B301" s="27" t="s">
        <v>11817</v>
      </c>
      <c r="C301" s="28">
        <v>1</v>
      </c>
      <c r="D301" s="29">
        <v>6.75</v>
      </c>
      <c r="E301" s="29">
        <v>6.75</v>
      </c>
      <c r="F301" s="30">
        <v>16.989999999999998</v>
      </c>
      <c r="G301" s="29">
        <v>16.989999999999998</v>
      </c>
      <c r="H301" s="28" t="s">
        <v>1917</v>
      </c>
      <c r="I301" s="27" t="s">
        <v>94</v>
      </c>
      <c r="J301" s="31" t="s">
        <v>40</v>
      </c>
      <c r="K301" s="27" t="s">
        <v>196</v>
      </c>
      <c r="L301" s="27" t="s">
        <v>239</v>
      </c>
      <c r="M301" s="32" t="str">
        <f>HYPERLINK("http://slimages.macys.com/is/image/MCY/3606639 ")</f>
        <v xml:space="preserve">http://slimages.macys.com/is/image/MCY/3606639 </v>
      </c>
    </row>
    <row r="302" spans="1:13" ht="15.2" customHeight="1" x14ac:dyDescent="0.2">
      <c r="A302" s="26" t="s">
        <v>11818</v>
      </c>
      <c r="B302" s="27" t="s">
        <v>11819</v>
      </c>
      <c r="C302" s="28">
        <v>1</v>
      </c>
      <c r="D302" s="29">
        <v>6.75</v>
      </c>
      <c r="E302" s="29">
        <v>6.75</v>
      </c>
      <c r="F302" s="30">
        <v>16.989999999999998</v>
      </c>
      <c r="G302" s="29">
        <v>16.989999999999998</v>
      </c>
      <c r="H302" s="28" t="s">
        <v>10928</v>
      </c>
      <c r="I302" s="27" t="s">
        <v>1311</v>
      </c>
      <c r="J302" s="31" t="s">
        <v>5</v>
      </c>
      <c r="K302" s="27" t="s">
        <v>196</v>
      </c>
      <c r="L302" s="27" t="s">
        <v>239</v>
      </c>
      <c r="M302" s="32" t="str">
        <f>HYPERLINK("http://slimages.macys.com/is/image/MCY/3593653 ")</f>
        <v xml:space="preserve">http://slimages.macys.com/is/image/MCY/3593653 </v>
      </c>
    </row>
    <row r="303" spans="1:13" ht="15.2" customHeight="1" x14ac:dyDescent="0.2">
      <c r="A303" s="26" t="s">
        <v>9936</v>
      </c>
      <c r="B303" s="27" t="s">
        <v>9937</v>
      </c>
      <c r="C303" s="28">
        <v>2</v>
      </c>
      <c r="D303" s="29">
        <v>6.75</v>
      </c>
      <c r="E303" s="29">
        <v>13.5</v>
      </c>
      <c r="F303" s="30">
        <v>12.99</v>
      </c>
      <c r="G303" s="29">
        <v>25.98</v>
      </c>
      <c r="H303" s="28" t="s">
        <v>4360</v>
      </c>
      <c r="I303" s="27" t="s">
        <v>215</v>
      </c>
      <c r="J303" s="31" t="s">
        <v>21</v>
      </c>
      <c r="K303" s="27" t="s">
        <v>282</v>
      </c>
      <c r="L303" s="27" t="s">
        <v>225</v>
      </c>
      <c r="M303" s="32" t="str">
        <f>HYPERLINK("http://slimages.macys.com/is/image/MCY/3859753 ")</f>
        <v xml:space="preserve">http://slimages.macys.com/is/image/MCY/3859753 </v>
      </c>
    </row>
    <row r="304" spans="1:13" ht="15.2" customHeight="1" x14ac:dyDescent="0.2">
      <c r="A304" s="26" t="s">
        <v>10254</v>
      </c>
      <c r="B304" s="27" t="s">
        <v>10255</v>
      </c>
      <c r="C304" s="28">
        <v>1</v>
      </c>
      <c r="D304" s="29">
        <v>6.72</v>
      </c>
      <c r="E304" s="29">
        <v>6.72</v>
      </c>
      <c r="F304" s="30">
        <v>15.99</v>
      </c>
      <c r="G304" s="29">
        <v>15.99</v>
      </c>
      <c r="H304" s="28" t="s">
        <v>1920</v>
      </c>
      <c r="I304" s="27" t="s">
        <v>8</v>
      </c>
      <c r="J304" s="31" t="s">
        <v>21</v>
      </c>
      <c r="K304" s="27" t="s">
        <v>159</v>
      </c>
      <c r="L304" s="27" t="s">
        <v>160</v>
      </c>
      <c r="M304" s="32" t="str">
        <f>HYPERLINK("http://slimages.macys.com/is/image/MCY/3677454 ")</f>
        <v xml:space="preserve">http://slimages.macys.com/is/image/MCY/3677454 </v>
      </c>
    </row>
    <row r="305" spans="1:13" ht="15.2" customHeight="1" x14ac:dyDescent="0.2">
      <c r="A305" s="26" t="s">
        <v>7573</v>
      </c>
      <c r="B305" s="27" t="s">
        <v>7574</v>
      </c>
      <c r="C305" s="28">
        <v>1</v>
      </c>
      <c r="D305" s="29">
        <v>6.71</v>
      </c>
      <c r="E305" s="29">
        <v>6.71</v>
      </c>
      <c r="F305" s="30">
        <v>14.99</v>
      </c>
      <c r="G305" s="29">
        <v>14.99</v>
      </c>
      <c r="H305" s="28" t="s">
        <v>3910</v>
      </c>
      <c r="I305" s="27" t="s">
        <v>4</v>
      </c>
      <c r="J305" s="31" t="s">
        <v>65</v>
      </c>
      <c r="K305" s="27" t="s">
        <v>159</v>
      </c>
      <c r="L305" s="27" t="s">
        <v>160</v>
      </c>
      <c r="M305" s="32" t="str">
        <f>HYPERLINK("http://slimages.macys.com/is/image/MCY/3426669 ")</f>
        <v xml:space="preserve">http://slimages.macys.com/is/image/MCY/3426669 </v>
      </c>
    </row>
    <row r="306" spans="1:13" ht="15.2" customHeight="1" x14ac:dyDescent="0.2">
      <c r="A306" s="26" t="s">
        <v>11820</v>
      </c>
      <c r="B306" s="27" t="s">
        <v>11821</v>
      </c>
      <c r="C306" s="28">
        <v>1</v>
      </c>
      <c r="D306" s="29">
        <v>6.5</v>
      </c>
      <c r="E306" s="29">
        <v>6.5</v>
      </c>
      <c r="F306" s="30">
        <v>13.99</v>
      </c>
      <c r="G306" s="29">
        <v>13.99</v>
      </c>
      <c r="H306" s="28" t="s">
        <v>2366</v>
      </c>
      <c r="I306" s="27" t="s">
        <v>33</v>
      </c>
      <c r="J306" s="31" t="s">
        <v>5</v>
      </c>
      <c r="K306" s="27" t="s">
        <v>282</v>
      </c>
      <c r="L306" s="27" t="s">
        <v>260</v>
      </c>
      <c r="M306" s="32" t="str">
        <f>HYPERLINK("http://slimages.macys.com/is/image/MCY/3642393 ")</f>
        <v xml:space="preserve">http://slimages.macys.com/is/image/MCY/3642393 </v>
      </c>
    </row>
    <row r="307" spans="1:13" ht="15.2" customHeight="1" x14ac:dyDescent="0.2">
      <c r="A307" s="26" t="s">
        <v>11822</v>
      </c>
      <c r="B307" s="27" t="s">
        <v>11823</v>
      </c>
      <c r="C307" s="28">
        <v>1</v>
      </c>
      <c r="D307" s="29">
        <v>6.5</v>
      </c>
      <c r="E307" s="29">
        <v>6.5</v>
      </c>
      <c r="F307" s="30">
        <v>13.99</v>
      </c>
      <c r="G307" s="29">
        <v>13.99</v>
      </c>
      <c r="H307" s="28" t="s">
        <v>9453</v>
      </c>
      <c r="I307" s="27" t="s">
        <v>94</v>
      </c>
      <c r="J307" s="31" t="s">
        <v>5</v>
      </c>
      <c r="K307" s="27" t="s">
        <v>282</v>
      </c>
      <c r="L307" s="27" t="s">
        <v>260</v>
      </c>
      <c r="M307" s="32" t="str">
        <f>HYPERLINK("http://slimages.macys.com/is/image/MCY/3910832 ")</f>
        <v xml:space="preserve">http://slimages.macys.com/is/image/MCY/3910832 </v>
      </c>
    </row>
    <row r="308" spans="1:13" ht="15.2" customHeight="1" x14ac:dyDescent="0.2">
      <c r="A308" s="26" t="s">
        <v>8701</v>
      </c>
      <c r="B308" s="27" t="s">
        <v>8702</v>
      </c>
      <c r="C308" s="28">
        <v>1</v>
      </c>
      <c r="D308" s="29">
        <v>6.5</v>
      </c>
      <c r="E308" s="29">
        <v>6.5</v>
      </c>
      <c r="F308" s="30">
        <v>13.99</v>
      </c>
      <c r="G308" s="29">
        <v>13.99</v>
      </c>
      <c r="H308" s="28" t="s">
        <v>2366</v>
      </c>
      <c r="I308" s="27" t="s">
        <v>33</v>
      </c>
      <c r="J308" s="31" t="s">
        <v>21</v>
      </c>
      <c r="K308" s="27" t="s">
        <v>282</v>
      </c>
      <c r="L308" s="27" t="s">
        <v>260</v>
      </c>
      <c r="M308" s="32" t="str">
        <f>HYPERLINK("http://slimages.macys.com/is/image/MCY/3642393 ")</f>
        <v xml:space="preserve">http://slimages.macys.com/is/image/MCY/3642393 </v>
      </c>
    </row>
    <row r="309" spans="1:13" ht="15.2" customHeight="1" x14ac:dyDescent="0.2">
      <c r="A309" s="26" t="s">
        <v>11824</v>
      </c>
      <c r="B309" s="27" t="s">
        <v>11825</v>
      </c>
      <c r="C309" s="28">
        <v>1</v>
      </c>
      <c r="D309" s="29">
        <v>6.5</v>
      </c>
      <c r="E309" s="29">
        <v>6.5</v>
      </c>
      <c r="F309" s="30">
        <v>13.99</v>
      </c>
      <c r="G309" s="29">
        <v>13.99</v>
      </c>
      <c r="H309" s="28" t="s">
        <v>2366</v>
      </c>
      <c r="I309" s="27" t="s">
        <v>33</v>
      </c>
      <c r="J309" s="31" t="s">
        <v>71</v>
      </c>
      <c r="K309" s="27" t="s">
        <v>282</v>
      </c>
      <c r="L309" s="27" t="s">
        <v>260</v>
      </c>
      <c r="M309" s="32" t="str">
        <f>HYPERLINK("http://slimages.macys.com/is/image/MCY/3642393 ")</f>
        <v xml:space="preserve">http://slimages.macys.com/is/image/MCY/3642393 </v>
      </c>
    </row>
    <row r="310" spans="1:13" ht="15.2" customHeight="1" x14ac:dyDescent="0.2">
      <c r="A310" s="26" t="s">
        <v>7575</v>
      </c>
      <c r="B310" s="27" t="s">
        <v>7576</v>
      </c>
      <c r="C310" s="28">
        <v>1</v>
      </c>
      <c r="D310" s="29">
        <v>6.5</v>
      </c>
      <c r="E310" s="29">
        <v>6.5</v>
      </c>
      <c r="F310" s="30">
        <v>12.99</v>
      </c>
      <c r="G310" s="29">
        <v>12.99</v>
      </c>
      <c r="H310" s="28" t="s">
        <v>2992</v>
      </c>
      <c r="I310" s="27"/>
      <c r="J310" s="31" t="s">
        <v>5</v>
      </c>
      <c r="K310" s="27" t="s">
        <v>282</v>
      </c>
      <c r="L310" s="27" t="s">
        <v>327</v>
      </c>
      <c r="M310" s="32" t="str">
        <f>HYPERLINK("http://slimages.macys.com/is/image/MCY/3797931 ")</f>
        <v xml:space="preserve">http://slimages.macys.com/is/image/MCY/3797931 </v>
      </c>
    </row>
    <row r="311" spans="1:13" ht="15.2" customHeight="1" x14ac:dyDescent="0.2">
      <c r="A311" s="26" t="s">
        <v>11826</v>
      </c>
      <c r="B311" s="27" t="s">
        <v>11827</v>
      </c>
      <c r="C311" s="28">
        <v>1</v>
      </c>
      <c r="D311" s="29">
        <v>6.4</v>
      </c>
      <c r="E311" s="29">
        <v>6.4</v>
      </c>
      <c r="F311" s="30">
        <v>13.99</v>
      </c>
      <c r="G311" s="29">
        <v>13.99</v>
      </c>
      <c r="H311" s="28" t="s">
        <v>394</v>
      </c>
      <c r="I311" s="27" t="s">
        <v>4</v>
      </c>
      <c r="J311" s="31" t="s">
        <v>5</v>
      </c>
      <c r="K311" s="27" t="s">
        <v>282</v>
      </c>
      <c r="L311" s="27" t="s">
        <v>312</v>
      </c>
      <c r="M311" s="32" t="str">
        <f>HYPERLINK("http://slimages.macys.com/is/image/MCY/3623277 ")</f>
        <v xml:space="preserve">http://slimages.macys.com/is/image/MCY/3623277 </v>
      </c>
    </row>
    <row r="312" spans="1:13" ht="15.2" customHeight="1" x14ac:dyDescent="0.2">
      <c r="A312" s="26" t="s">
        <v>7577</v>
      </c>
      <c r="B312" s="27" t="s">
        <v>7578</v>
      </c>
      <c r="C312" s="28">
        <v>1</v>
      </c>
      <c r="D312" s="29">
        <v>6.3</v>
      </c>
      <c r="E312" s="29">
        <v>6.3</v>
      </c>
      <c r="F312" s="30">
        <v>16.989999999999998</v>
      </c>
      <c r="G312" s="29">
        <v>16.989999999999998</v>
      </c>
      <c r="H312" s="28" t="s">
        <v>7579</v>
      </c>
      <c r="I312" s="27" t="s">
        <v>4</v>
      </c>
      <c r="J312" s="31" t="s">
        <v>40</v>
      </c>
      <c r="K312" s="27" t="s">
        <v>159</v>
      </c>
      <c r="L312" s="27" t="s">
        <v>160</v>
      </c>
      <c r="M312" s="32" t="str">
        <f>HYPERLINK("http://slimages.macys.com/is/image/MCY/3623500 ")</f>
        <v xml:space="preserve">http://slimages.macys.com/is/image/MCY/3623500 </v>
      </c>
    </row>
    <row r="313" spans="1:13" ht="15.2" customHeight="1" x14ac:dyDescent="0.2">
      <c r="A313" s="26" t="s">
        <v>2682</v>
      </c>
      <c r="B313" s="27" t="s">
        <v>2683</v>
      </c>
      <c r="C313" s="28">
        <v>1</v>
      </c>
      <c r="D313" s="29">
        <v>6.3</v>
      </c>
      <c r="E313" s="29">
        <v>6.3</v>
      </c>
      <c r="F313" s="30">
        <v>14.99</v>
      </c>
      <c r="G313" s="29">
        <v>14.99</v>
      </c>
      <c r="H313" s="28" t="s">
        <v>882</v>
      </c>
      <c r="I313" s="27" t="s">
        <v>302</v>
      </c>
      <c r="J313" s="31" t="s">
        <v>21</v>
      </c>
      <c r="K313" s="27" t="s">
        <v>159</v>
      </c>
      <c r="L313" s="27" t="s">
        <v>160</v>
      </c>
      <c r="M313" s="32" t="str">
        <f>HYPERLINK("http://slimages.macys.com/is/image/MCY/3579794 ")</f>
        <v xml:space="preserve">http://slimages.macys.com/is/image/MCY/3579794 </v>
      </c>
    </row>
    <row r="314" spans="1:13" ht="15.2" customHeight="1" x14ac:dyDescent="0.2">
      <c r="A314" s="26" t="s">
        <v>11828</v>
      </c>
      <c r="B314" s="27" t="s">
        <v>11829</v>
      </c>
      <c r="C314" s="28">
        <v>1</v>
      </c>
      <c r="D314" s="29">
        <v>6.25</v>
      </c>
      <c r="E314" s="29">
        <v>6.25</v>
      </c>
      <c r="F314" s="30">
        <v>19.989999999999998</v>
      </c>
      <c r="G314" s="29">
        <v>19.989999999999998</v>
      </c>
      <c r="H314" s="28" t="s">
        <v>1471</v>
      </c>
      <c r="I314" s="27" t="s">
        <v>94</v>
      </c>
      <c r="J314" s="31" t="s">
        <v>71</v>
      </c>
      <c r="K314" s="27" t="s">
        <v>196</v>
      </c>
      <c r="L314" s="27" t="s">
        <v>239</v>
      </c>
      <c r="M314" s="32" t="str">
        <f>HYPERLINK("http://slimages.macys.com/is/image/MCY/3671543 ")</f>
        <v xml:space="preserve">http://slimages.macys.com/is/image/MCY/3671543 </v>
      </c>
    </row>
    <row r="315" spans="1:13" ht="15.2" customHeight="1" x14ac:dyDescent="0.2">
      <c r="A315" s="26" t="s">
        <v>11830</v>
      </c>
      <c r="B315" s="27" t="s">
        <v>11831</v>
      </c>
      <c r="C315" s="28">
        <v>1</v>
      </c>
      <c r="D315" s="29">
        <v>6.25</v>
      </c>
      <c r="E315" s="29">
        <v>6.25</v>
      </c>
      <c r="F315" s="30">
        <v>16.989999999999998</v>
      </c>
      <c r="G315" s="29">
        <v>16.989999999999998</v>
      </c>
      <c r="H315" s="28" t="s">
        <v>4767</v>
      </c>
      <c r="I315" s="27" t="s">
        <v>374</v>
      </c>
      <c r="J315" s="31" t="s">
        <v>21</v>
      </c>
      <c r="K315" s="27" t="s">
        <v>196</v>
      </c>
      <c r="L315" s="27" t="s">
        <v>225</v>
      </c>
      <c r="M315" s="32" t="str">
        <f>HYPERLINK("http://slimages.macys.com/is/image/MCY/3721365 ")</f>
        <v xml:space="preserve">http://slimages.macys.com/is/image/MCY/3721365 </v>
      </c>
    </row>
    <row r="316" spans="1:13" ht="15.2" customHeight="1" x14ac:dyDescent="0.2">
      <c r="A316" s="26" t="s">
        <v>8070</v>
      </c>
      <c r="B316" s="27" t="s">
        <v>8071</v>
      </c>
      <c r="C316" s="28">
        <v>1</v>
      </c>
      <c r="D316" s="29">
        <v>6.25</v>
      </c>
      <c r="E316" s="29">
        <v>6.25</v>
      </c>
      <c r="F316" s="30">
        <v>12.99</v>
      </c>
      <c r="G316" s="29">
        <v>12.99</v>
      </c>
      <c r="H316" s="28" t="s">
        <v>884</v>
      </c>
      <c r="I316" s="27" t="s">
        <v>4</v>
      </c>
      <c r="J316" s="31" t="s">
        <v>40</v>
      </c>
      <c r="K316" s="27" t="s">
        <v>282</v>
      </c>
      <c r="L316" s="27" t="s">
        <v>283</v>
      </c>
      <c r="M316" s="32" t="str">
        <f>HYPERLINK("http://slimages.macys.com/is/image/MCY/3910979 ")</f>
        <v xml:space="preserve">http://slimages.macys.com/is/image/MCY/3910979 </v>
      </c>
    </row>
    <row r="317" spans="1:13" ht="15.2" customHeight="1" x14ac:dyDescent="0.2">
      <c r="A317" s="26" t="s">
        <v>2368</v>
      </c>
      <c r="B317" s="27" t="s">
        <v>2369</v>
      </c>
      <c r="C317" s="28">
        <v>1</v>
      </c>
      <c r="D317" s="29">
        <v>6.25</v>
      </c>
      <c r="E317" s="29">
        <v>6.25</v>
      </c>
      <c r="F317" s="30">
        <v>12.99</v>
      </c>
      <c r="G317" s="29">
        <v>12.99</v>
      </c>
      <c r="H317" s="28" t="s">
        <v>887</v>
      </c>
      <c r="I317" s="27" t="s">
        <v>82</v>
      </c>
      <c r="J317" s="31" t="s">
        <v>5</v>
      </c>
      <c r="K317" s="27" t="s">
        <v>282</v>
      </c>
      <c r="L317" s="27" t="s">
        <v>283</v>
      </c>
      <c r="M317" s="32" t="str">
        <f>HYPERLINK("http://slimages.macys.com/is/image/MCY/3774229 ")</f>
        <v xml:space="preserve">http://slimages.macys.com/is/image/MCY/3774229 </v>
      </c>
    </row>
    <row r="318" spans="1:13" ht="15.2" customHeight="1" x14ac:dyDescent="0.2">
      <c r="A318" s="26" t="s">
        <v>8708</v>
      </c>
      <c r="B318" s="27" t="s">
        <v>8709</v>
      </c>
      <c r="C318" s="28">
        <v>1</v>
      </c>
      <c r="D318" s="29">
        <v>6.25</v>
      </c>
      <c r="E318" s="29">
        <v>6.25</v>
      </c>
      <c r="F318" s="30">
        <v>12.99</v>
      </c>
      <c r="G318" s="29">
        <v>12.99</v>
      </c>
      <c r="H318" s="28" t="s">
        <v>1470</v>
      </c>
      <c r="I318" s="27" t="s">
        <v>215</v>
      </c>
      <c r="J318" s="31" t="s">
        <v>21</v>
      </c>
      <c r="K318" s="27" t="s">
        <v>282</v>
      </c>
      <c r="L318" s="27" t="s">
        <v>283</v>
      </c>
      <c r="M318" s="32" t="str">
        <f>HYPERLINK("http://slimages.macys.com/is/image/MCY/3773406 ")</f>
        <v xml:space="preserve">http://slimages.macys.com/is/image/MCY/3773406 </v>
      </c>
    </row>
    <row r="319" spans="1:13" ht="15.2" customHeight="1" x14ac:dyDescent="0.2">
      <c r="A319" s="26" t="s">
        <v>11832</v>
      </c>
      <c r="B319" s="27" t="s">
        <v>11833</v>
      </c>
      <c r="C319" s="28">
        <v>1</v>
      </c>
      <c r="D319" s="29">
        <v>6.25</v>
      </c>
      <c r="E319" s="29">
        <v>6.25</v>
      </c>
      <c r="F319" s="30">
        <v>12.99</v>
      </c>
      <c r="G319" s="29">
        <v>12.99</v>
      </c>
      <c r="H319" s="28" t="s">
        <v>1929</v>
      </c>
      <c r="I319" s="27" t="s">
        <v>4</v>
      </c>
      <c r="J319" s="31" t="s">
        <v>21</v>
      </c>
      <c r="K319" s="27" t="s">
        <v>282</v>
      </c>
      <c r="L319" s="27" t="s">
        <v>283</v>
      </c>
      <c r="M319" s="32" t="str">
        <f>HYPERLINK("http://slimages.macys.com/is/image/MCY/3773295 ")</f>
        <v xml:space="preserve">http://slimages.macys.com/is/image/MCY/3773295 </v>
      </c>
    </row>
    <row r="320" spans="1:13" ht="15.2" customHeight="1" x14ac:dyDescent="0.2">
      <c r="A320" s="26" t="s">
        <v>11834</v>
      </c>
      <c r="B320" s="27" t="s">
        <v>11835</v>
      </c>
      <c r="C320" s="28">
        <v>1</v>
      </c>
      <c r="D320" s="29">
        <v>6.25</v>
      </c>
      <c r="E320" s="29">
        <v>6.25</v>
      </c>
      <c r="F320" s="30">
        <v>14.99</v>
      </c>
      <c r="G320" s="29">
        <v>14.99</v>
      </c>
      <c r="H320" s="28">
        <v>60433940</v>
      </c>
      <c r="I320" s="27" t="s">
        <v>285</v>
      </c>
      <c r="J320" s="31" t="s">
        <v>21</v>
      </c>
      <c r="K320" s="27" t="s">
        <v>208</v>
      </c>
      <c r="L320" s="27" t="s">
        <v>255</v>
      </c>
      <c r="M320" s="32" t="str">
        <f>HYPERLINK("http://slimages.macys.com/is/image/MCY/3623249 ")</f>
        <v xml:space="preserve">http://slimages.macys.com/is/image/MCY/3623249 </v>
      </c>
    </row>
    <row r="321" spans="1:13" ht="15.2" customHeight="1" x14ac:dyDescent="0.2">
      <c r="A321" s="26" t="s">
        <v>1482</v>
      </c>
      <c r="B321" s="27" t="s">
        <v>1483</v>
      </c>
      <c r="C321" s="28">
        <v>1</v>
      </c>
      <c r="D321" s="29">
        <v>6.15</v>
      </c>
      <c r="E321" s="29">
        <v>6.15</v>
      </c>
      <c r="F321" s="30">
        <v>14.99</v>
      </c>
      <c r="G321" s="29">
        <v>14.99</v>
      </c>
      <c r="H321" s="28" t="s">
        <v>1477</v>
      </c>
      <c r="I321" s="27" t="s">
        <v>103</v>
      </c>
      <c r="J321" s="31" t="s">
        <v>40</v>
      </c>
      <c r="K321" s="27" t="s">
        <v>159</v>
      </c>
      <c r="L321" s="27" t="s">
        <v>160</v>
      </c>
      <c r="M321" s="32" t="str">
        <f>HYPERLINK("http://slimages.macys.com/is/image/MCY/3857666 ")</f>
        <v xml:space="preserve">http://slimages.macys.com/is/image/MCY/3857666 </v>
      </c>
    </row>
    <row r="322" spans="1:13" ht="15.2" customHeight="1" x14ac:dyDescent="0.2">
      <c r="A322" s="26" t="s">
        <v>7154</v>
      </c>
      <c r="B322" s="27" t="s">
        <v>7155</v>
      </c>
      <c r="C322" s="28">
        <v>1</v>
      </c>
      <c r="D322" s="29">
        <v>6.1</v>
      </c>
      <c r="E322" s="29">
        <v>6.1</v>
      </c>
      <c r="F322" s="30">
        <v>15.99</v>
      </c>
      <c r="G322" s="29">
        <v>15.99</v>
      </c>
      <c r="H322" s="28" t="s">
        <v>1484</v>
      </c>
      <c r="I322" s="27" t="s">
        <v>26</v>
      </c>
      <c r="J322" s="31" t="s">
        <v>40</v>
      </c>
      <c r="K322" s="27" t="s">
        <v>70</v>
      </c>
      <c r="L322" s="27" t="s">
        <v>260</v>
      </c>
      <c r="M322" s="32" t="str">
        <f>HYPERLINK("http://slimages.macys.com/is/image/MCY/3947255 ")</f>
        <v xml:space="preserve">http://slimages.macys.com/is/image/MCY/3947255 </v>
      </c>
    </row>
    <row r="323" spans="1:13" ht="15.2" customHeight="1" x14ac:dyDescent="0.2">
      <c r="A323" s="26" t="s">
        <v>11836</v>
      </c>
      <c r="B323" s="27" t="s">
        <v>11837</v>
      </c>
      <c r="C323" s="28">
        <v>1</v>
      </c>
      <c r="D323" s="29">
        <v>6.05</v>
      </c>
      <c r="E323" s="29">
        <v>6.05</v>
      </c>
      <c r="F323" s="30">
        <v>13.99</v>
      </c>
      <c r="G323" s="29">
        <v>13.99</v>
      </c>
      <c r="H323" s="28" t="s">
        <v>6051</v>
      </c>
      <c r="I323" s="27" t="s">
        <v>26</v>
      </c>
      <c r="J323" s="31" t="s">
        <v>52</v>
      </c>
      <c r="K323" s="27" t="s">
        <v>282</v>
      </c>
      <c r="L323" s="27" t="s">
        <v>256</v>
      </c>
      <c r="M323" s="32" t="str">
        <f>HYPERLINK("http://slimages.macys.com/is/image/MCY/3634511 ")</f>
        <v xml:space="preserve">http://slimages.macys.com/is/image/MCY/3634511 </v>
      </c>
    </row>
    <row r="324" spans="1:13" ht="15.2" customHeight="1" x14ac:dyDescent="0.2">
      <c r="A324" s="26" t="s">
        <v>1933</v>
      </c>
      <c r="B324" s="27" t="s">
        <v>1934</v>
      </c>
      <c r="C324" s="28">
        <v>1</v>
      </c>
      <c r="D324" s="29">
        <v>6</v>
      </c>
      <c r="E324" s="29">
        <v>6</v>
      </c>
      <c r="F324" s="30">
        <v>12.99</v>
      </c>
      <c r="G324" s="29">
        <v>12.99</v>
      </c>
      <c r="H324" s="28" t="s">
        <v>898</v>
      </c>
      <c r="I324" s="27" t="s">
        <v>215</v>
      </c>
      <c r="J324" s="31" t="s">
        <v>21</v>
      </c>
      <c r="K324" s="27" t="s">
        <v>282</v>
      </c>
      <c r="L324" s="27" t="s">
        <v>283</v>
      </c>
      <c r="M324" s="32" t="str">
        <f>HYPERLINK("http://slimages.macys.com/is/image/MCY/3875957 ")</f>
        <v xml:space="preserve">http://slimages.macys.com/is/image/MCY/3875957 </v>
      </c>
    </row>
    <row r="325" spans="1:13" ht="15.2" customHeight="1" x14ac:dyDescent="0.2">
      <c r="A325" s="26" t="s">
        <v>1503</v>
      </c>
      <c r="B325" s="27" t="s">
        <v>1504</v>
      </c>
      <c r="C325" s="28">
        <v>1</v>
      </c>
      <c r="D325" s="29">
        <v>6</v>
      </c>
      <c r="E325" s="29">
        <v>6</v>
      </c>
      <c r="F325" s="30">
        <v>12.99</v>
      </c>
      <c r="G325" s="29">
        <v>12.99</v>
      </c>
      <c r="H325" s="28" t="s">
        <v>1487</v>
      </c>
      <c r="I325" s="27" t="s">
        <v>271</v>
      </c>
      <c r="J325" s="31" t="s">
        <v>40</v>
      </c>
      <c r="K325" s="27" t="s">
        <v>282</v>
      </c>
      <c r="L325" s="27" t="s">
        <v>327</v>
      </c>
      <c r="M325" s="32" t="str">
        <f>HYPERLINK("http://slimages.macys.com/is/image/MCY/3832160 ")</f>
        <v xml:space="preserve">http://slimages.macys.com/is/image/MCY/3832160 </v>
      </c>
    </row>
    <row r="326" spans="1:13" ht="15.2" customHeight="1" x14ac:dyDescent="0.2">
      <c r="A326" s="26" t="s">
        <v>3006</v>
      </c>
      <c r="B326" s="27" t="s">
        <v>3007</v>
      </c>
      <c r="C326" s="28">
        <v>2</v>
      </c>
      <c r="D326" s="29">
        <v>6</v>
      </c>
      <c r="E326" s="29">
        <v>12</v>
      </c>
      <c r="F326" s="30">
        <v>12.99</v>
      </c>
      <c r="G326" s="29">
        <v>25.98</v>
      </c>
      <c r="H326" s="28" t="s">
        <v>1492</v>
      </c>
      <c r="I326" s="27"/>
      <c r="J326" s="31" t="s">
        <v>21</v>
      </c>
      <c r="K326" s="27" t="s">
        <v>282</v>
      </c>
      <c r="L326" s="27" t="s">
        <v>327</v>
      </c>
      <c r="M326" s="32" t="str">
        <f>HYPERLINK("http://slimages.macys.com/is/image/MCY/3732844 ")</f>
        <v xml:space="preserve">http://slimages.macys.com/is/image/MCY/3732844 </v>
      </c>
    </row>
    <row r="327" spans="1:13" ht="15.2" customHeight="1" x14ac:dyDescent="0.2">
      <c r="A327" s="26" t="s">
        <v>10256</v>
      </c>
      <c r="B327" s="27" t="s">
        <v>10257</v>
      </c>
      <c r="C327" s="28">
        <v>1</v>
      </c>
      <c r="D327" s="29">
        <v>6</v>
      </c>
      <c r="E327" s="29">
        <v>6</v>
      </c>
      <c r="F327" s="30">
        <v>12.99</v>
      </c>
      <c r="G327" s="29">
        <v>12.99</v>
      </c>
      <c r="H327" s="28" t="s">
        <v>8228</v>
      </c>
      <c r="I327" s="27" t="s">
        <v>94</v>
      </c>
      <c r="J327" s="31" t="s">
        <v>40</v>
      </c>
      <c r="K327" s="27" t="s">
        <v>282</v>
      </c>
      <c r="L327" s="27" t="s">
        <v>358</v>
      </c>
      <c r="M327" s="32" t="str">
        <f>HYPERLINK("http://slimages.macys.com/is/image/MCY/3832180 ")</f>
        <v xml:space="preserve">http://slimages.macys.com/is/image/MCY/3832180 </v>
      </c>
    </row>
    <row r="328" spans="1:13" ht="15.2" customHeight="1" x14ac:dyDescent="0.2">
      <c r="A328" s="26" t="s">
        <v>1485</v>
      </c>
      <c r="B328" s="27" t="s">
        <v>1486</v>
      </c>
      <c r="C328" s="28">
        <v>1</v>
      </c>
      <c r="D328" s="29">
        <v>6</v>
      </c>
      <c r="E328" s="29">
        <v>6</v>
      </c>
      <c r="F328" s="30">
        <v>12.99</v>
      </c>
      <c r="G328" s="29">
        <v>12.99</v>
      </c>
      <c r="H328" s="28" t="s">
        <v>1487</v>
      </c>
      <c r="I328" s="27" t="s">
        <v>271</v>
      </c>
      <c r="J328" s="31" t="s">
        <v>21</v>
      </c>
      <c r="K328" s="27" t="s">
        <v>282</v>
      </c>
      <c r="L328" s="27" t="s">
        <v>327</v>
      </c>
      <c r="M328" s="32" t="str">
        <f>HYPERLINK("http://slimages.macys.com/is/image/MCY/3832160 ")</f>
        <v xml:space="preserve">http://slimages.macys.com/is/image/MCY/3832160 </v>
      </c>
    </row>
    <row r="329" spans="1:13" ht="15.2" customHeight="1" x14ac:dyDescent="0.2">
      <c r="A329" s="26" t="s">
        <v>8226</v>
      </c>
      <c r="B329" s="27" t="s">
        <v>8227</v>
      </c>
      <c r="C329" s="28">
        <v>3</v>
      </c>
      <c r="D329" s="29">
        <v>6</v>
      </c>
      <c r="E329" s="29">
        <v>18</v>
      </c>
      <c r="F329" s="30">
        <v>12.99</v>
      </c>
      <c r="G329" s="29">
        <v>38.97</v>
      </c>
      <c r="H329" s="28" t="s">
        <v>8228</v>
      </c>
      <c r="I329" s="27" t="s">
        <v>94</v>
      </c>
      <c r="J329" s="31" t="s">
        <v>5</v>
      </c>
      <c r="K329" s="27" t="s">
        <v>282</v>
      </c>
      <c r="L329" s="27" t="s">
        <v>358</v>
      </c>
      <c r="M329" s="32" t="str">
        <f>HYPERLINK("http://slimages.macys.com/is/image/MCY/3832180 ")</f>
        <v xml:space="preserve">http://slimages.macys.com/is/image/MCY/3832180 </v>
      </c>
    </row>
    <row r="330" spans="1:13" ht="15.2" customHeight="1" x14ac:dyDescent="0.2">
      <c r="A330" s="26" t="s">
        <v>11838</v>
      </c>
      <c r="B330" s="27" t="s">
        <v>11839</v>
      </c>
      <c r="C330" s="28">
        <v>1</v>
      </c>
      <c r="D330" s="29">
        <v>6</v>
      </c>
      <c r="E330" s="29">
        <v>6</v>
      </c>
      <c r="F330" s="30">
        <v>12.99</v>
      </c>
      <c r="G330" s="29">
        <v>12.99</v>
      </c>
      <c r="H330" s="28" t="s">
        <v>8228</v>
      </c>
      <c r="I330" s="27" t="s">
        <v>94</v>
      </c>
      <c r="J330" s="31" t="s">
        <v>21</v>
      </c>
      <c r="K330" s="27" t="s">
        <v>282</v>
      </c>
      <c r="L330" s="27" t="s">
        <v>358</v>
      </c>
      <c r="M330" s="32" t="str">
        <f>HYPERLINK("http://slimages.macys.com/is/image/MCY/3832180 ")</f>
        <v xml:space="preserve">http://slimages.macys.com/is/image/MCY/3832180 </v>
      </c>
    </row>
    <row r="331" spans="1:13" ht="15.2" customHeight="1" x14ac:dyDescent="0.2">
      <c r="A331" s="26" t="s">
        <v>1495</v>
      </c>
      <c r="B331" s="27" t="s">
        <v>1496</v>
      </c>
      <c r="C331" s="28">
        <v>1</v>
      </c>
      <c r="D331" s="29">
        <v>6</v>
      </c>
      <c r="E331" s="29">
        <v>6</v>
      </c>
      <c r="F331" s="30">
        <v>12.99</v>
      </c>
      <c r="G331" s="29">
        <v>12.99</v>
      </c>
      <c r="H331" s="28" t="s">
        <v>1487</v>
      </c>
      <c r="I331" s="27" t="s">
        <v>271</v>
      </c>
      <c r="J331" s="31" t="s">
        <v>71</v>
      </c>
      <c r="K331" s="27" t="s">
        <v>282</v>
      </c>
      <c r="L331" s="27" t="s">
        <v>327</v>
      </c>
      <c r="M331" s="32" t="str">
        <f>HYPERLINK("http://slimages.macys.com/is/image/MCY/3832160 ")</f>
        <v xml:space="preserve">http://slimages.macys.com/is/image/MCY/3832160 </v>
      </c>
    </row>
    <row r="332" spans="1:13" ht="15.2" customHeight="1" x14ac:dyDescent="0.2">
      <c r="A332" s="26" t="s">
        <v>8508</v>
      </c>
      <c r="B332" s="27" t="s">
        <v>8509</v>
      </c>
      <c r="C332" s="28">
        <v>1</v>
      </c>
      <c r="D332" s="29">
        <v>6</v>
      </c>
      <c r="E332" s="29">
        <v>6</v>
      </c>
      <c r="F332" s="30">
        <v>12.99</v>
      </c>
      <c r="G332" s="29">
        <v>12.99</v>
      </c>
      <c r="H332" s="28" t="s">
        <v>3008</v>
      </c>
      <c r="I332" s="27"/>
      <c r="J332" s="31" t="s">
        <v>52</v>
      </c>
      <c r="K332" s="27" t="s">
        <v>282</v>
      </c>
      <c r="L332" s="27" t="s">
        <v>327</v>
      </c>
      <c r="M332" s="32" t="str">
        <f>HYPERLINK("http://slimages.macys.com/is/image/MCY/3773727 ")</f>
        <v xml:space="preserve">http://slimages.macys.com/is/image/MCY/3773727 </v>
      </c>
    </row>
    <row r="333" spans="1:13" ht="15.2" customHeight="1" x14ac:dyDescent="0.2">
      <c r="A333" s="26" t="s">
        <v>2389</v>
      </c>
      <c r="B333" s="27" t="s">
        <v>2390</v>
      </c>
      <c r="C333" s="28">
        <v>1</v>
      </c>
      <c r="D333" s="29">
        <v>6</v>
      </c>
      <c r="E333" s="29">
        <v>6</v>
      </c>
      <c r="F333" s="30">
        <v>12.99</v>
      </c>
      <c r="G333" s="29">
        <v>12.99</v>
      </c>
      <c r="H333" s="28" t="s">
        <v>1502</v>
      </c>
      <c r="I333" s="27" t="s">
        <v>82</v>
      </c>
      <c r="J333" s="31" t="s">
        <v>40</v>
      </c>
      <c r="K333" s="27" t="s">
        <v>282</v>
      </c>
      <c r="L333" s="27" t="s">
        <v>283</v>
      </c>
      <c r="M333" s="32" t="str">
        <f>HYPERLINK("http://slimages.macys.com/is/image/MCY/3910978 ")</f>
        <v xml:space="preserve">http://slimages.macys.com/is/image/MCY/3910978 </v>
      </c>
    </row>
    <row r="334" spans="1:13" ht="15.2" customHeight="1" x14ac:dyDescent="0.2">
      <c r="A334" s="26" t="s">
        <v>888</v>
      </c>
      <c r="B334" s="27" t="s">
        <v>889</v>
      </c>
      <c r="C334" s="28">
        <v>1</v>
      </c>
      <c r="D334" s="29">
        <v>6</v>
      </c>
      <c r="E334" s="29">
        <v>6</v>
      </c>
      <c r="F334" s="30">
        <v>12.99</v>
      </c>
      <c r="G334" s="29">
        <v>12.99</v>
      </c>
      <c r="H334" s="28" t="s">
        <v>890</v>
      </c>
      <c r="I334" s="27" t="s">
        <v>82</v>
      </c>
      <c r="J334" s="31" t="s">
        <v>5</v>
      </c>
      <c r="K334" s="27" t="s">
        <v>282</v>
      </c>
      <c r="L334" s="27" t="s">
        <v>283</v>
      </c>
      <c r="M334" s="32" t="str">
        <f>HYPERLINK("http://slimages.macys.com/is/image/MCY/3875958 ")</f>
        <v xml:space="preserve">http://slimages.macys.com/is/image/MCY/3875958 </v>
      </c>
    </row>
    <row r="335" spans="1:13" ht="15.2" customHeight="1" x14ac:dyDescent="0.2">
      <c r="A335" s="26" t="s">
        <v>8857</v>
      </c>
      <c r="B335" s="27" t="s">
        <v>8858</v>
      </c>
      <c r="C335" s="28">
        <v>1</v>
      </c>
      <c r="D335" s="29">
        <v>5.95</v>
      </c>
      <c r="E335" s="29">
        <v>5.95</v>
      </c>
      <c r="F335" s="30">
        <v>12.99</v>
      </c>
      <c r="G335" s="29">
        <v>12.99</v>
      </c>
      <c r="H335" s="28" t="s">
        <v>8083</v>
      </c>
      <c r="I335" s="27" t="s">
        <v>82</v>
      </c>
      <c r="J335" s="31" t="s">
        <v>40</v>
      </c>
      <c r="K335" s="27" t="s">
        <v>282</v>
      </c>
      <c r="L335" s="27" t="s">
        <v>358</v>
      </c>
      <c r="M335" s="32" t="str">
        <f>HYPERLINK("http://slimages.macys.com/is/image/MCY/3755128 ")</f>
        <v xml:space="preserve">http://slimages.macys.com/is/image/MCY/3755128 </v>
      </c>
    </row>
    <row r="336" spans="1:13" ht="15.2" customHeight="1" x14ac:dyDescent="0.2">
      <c r="A336" s="26" t="s">
        <v>1513</v>
      </c>
      <c r="B336" s="27" t="s">
        <v>1514</v>
      </c>
      <c r="C336" s="28">
        <v>1</v>
      </c>
      <c r="D336" s="29">
        <v>5.95</v>
      </c>
      <c r="E336" s="29">
        <v>5.95</v>
      </c>
      <c r="F336" s="30">
        <v>12.99</v>
      </c>
      <c r="G336" s="29">
        <v>12.99</v>
      </c>
      <c r="H336" s="28" t="s">
        <v>421</v>
      </c>
      <c r="I336" s="27" t="s">
        <v>36</v>
      </c>
      <c r="J336" s="31" t="s">
        <v>40</v>
      </c>
      <c r="K336" s="27" t="s">
        <v>282</v>
      </c>
      <c r="L336" s="27" t="s">
        <v>358</v>
      </c>
      <c r="M336" s="32" t="str">
        <f>HYPERLINK("http://slimages.macys.com/is/image/MCY/3754975 ")</f>
        <v xml:space="preserve">http://slimages.macys.com/is/image/MCY/3754975 </v>
      </c>
    </row>
    <row r="337" spans="1:13" ht="15.2" customHeight="1" x14ac:dyDescent="0.2">
      <c r="A337" s="26" t="s">
        <v>11840</v>
      </c>
      <c r="B337" s="27" t="s">
        <v>11841</v>
      </c>
      <c r="C337" s="28">
        <v>1</v>
      </c>
      <c r="D337" s="29">
        <v>5.95</v>
      </c>
      <c r="E337" s="29">
        <v>5.95</v>
      </c>
      <c r="F337" s="30">
        <v>12.99</v>
      </c>
      <c r="G337" s="29">
        <v>12.99</v>
      </c>
      <c r="H337" s="28" t="s">
        <v>1509</v>
      </c>
      <c r="I337" s="27" t="s">
        <v>265</v>
      </c>
      <c r="J337" s="31" t="s">
        <v>21</v>
      </c>
      <c r="K337" s="27" t="s">
        <v>282</v>
      </c>
      <c r="L337" s="27" t="s">
        <v>358</v>
      </c>
      <c r="M337" s="32" t="str">
        <f>HYPERLINK("http://slimages.macys.com/is/image/MCY/3774188 ")</f>
        <v xml:space="preserve">http://slimages.macys.com/is/image/MCY/3774188 </v>
      </c>
    </row>
    <row r="338" spans="1:13" ht="15.2" customHeight="1" x14ac:dyDescent="0.2">
      <c r="A338" s="26" t="s">
        <v>5481</v>
      </c>
      <c r="B338" s="27" t="s">
        <v>5482</v>
      </c>
      <c r="C338" s="28">
        <v>1</v>
      </c>
      <c r="D338" s="29">
        <v>5.95</v>
      </c>
      <c r="E338" s="29">
        <v>5.95</v>
      </c>
      <c r="F338" s="30">
        <v>12.99</v>
      </c>
      <c r="G338" s="29">
        <v>12.99</v>
      </c>
      <c r="H338" s="28" t="s">
        <v>1512</v>
      </c>
      <c r="I338" s="27" t="s">
        <v>4</v>
      </c>
      <c r="J338" s="31" t="s">
        <v>5</v>
      </c>
      <c r="K338" s="27" t="s">
        <v>282</v>
      </c>
      <c r="L338" s="27" t="s">
        <v>358</v>
      </c>
      <c r="M338" s="32" t="str">
        <f>HYPERLINK("http://slimages.macys.com/is/image/MCY/3773696 ")</f>
        <v xml:space="preserve">http://slimages.macys.com/is/image/MCY/3773696 </v>
      </c>
    </row>
    <row r="339" spans="1:13" ht="15.2" customHeight="1" x14ac:dyDescent="0.2">
      <c r="A339" s="26" t="s">
        <v>8082</v>
      </c>
      <c r="B339" s="27" t="s">
        <v>415</v>
      </c>
      <c r="C339" s="28">
        <v>1</v>
      </c>
      <c r="D339" s="29">
        <v>5.95</v>
      </c>
      <c r="E339" s="29">
        <v>5.95</v>
      </c>
      <c r="F339" s="30">
        <v>12.99</v>
      </c>
      <c r="G339" s="29">
        <v>12.99</v>
      </c>
      <c r="H339" s="28" t="s">
        <v>8083</v>
      </c>
      <c r="I339" s="27" t="s">
        <v>82</v>
      </c>
      <c r="J339" s="31" t="s">
        <v>52</v>
      </c>
      <c r="K339" s="27" t="s">
        <v>282</v>
      </c>
      <c r="L339" s="27" t="s">
        <v>358</v>
      </c>
      <c r="M339" s="32" t="str">
        <f>HYPERLINK("http://slimages.macys.com/is/image/MCY/3755128 ")</f>
        <v xml:space="preserve">http://slimages.macys.com/is/image/MCY/3755128 </v>
      </c>
    </row>
    <row r="340" spans="1:13" ht="15.2" customHeight="1" x14ac:dyDescent="0.2">
      <c r="A340" s="26" t="s">
        <v>11842</v>
      </c>
      <c r="B340" s="27" t="s">
        <v>11843</v>
      </c>
      <c r="C340" s="28">
        <v>1</v>
      </c>
      <c r="D340" s="29">
        <v>5.95</v>
      </c>
      <c r="E340" s="29">
        <v>5.95</v>
      </c>
      <c r="F340" s="30">
        <v>12.99</v>
      </c>
      <c r="G340" s="29">
        <v>12.99</v>
      </c>
      <c r="H340" s="28" t="s">
        <v>10595</v>
      </c>
      <c r="I340" s="27" t="s">
        <v>333</v>
      </c>
      <c r="J340" s="31" t="s">
        <v>21</v>
      </c>
      <c r="K340" s="27" t="s">
        <v>282</v>
      </c>
      <c r="L340" s="27" t="s">
        <v>358</v>
      </c>
      <c r="M340" s="32" t="str">
        <f>HYPERLINK("http://slimages.macys.com/is/image/MCY/3779131 ")</f>
        <v xml:space="preserve">http://slimages.macys.com/is/image/MCY/3779131 </v>
      </c>
    </row>
    <row r="341" spans="1:13" ht="15.2" customHeight="1" x14ac:dyDescent="0.2">
      <c r="A341" s="26" t="s">
        <v>10260</v>
      </c>
      <c r="B341" s="27" t="s">
        <v>3460</v>
      </c>
      <c r="C341" s="28">
        <v>1</v>
      </c>
      <c r="D341" s="29">
        <v>5.95</v>
      </c>
      <c r="E341" s="29">
        <v>5.95</v>
      </c>
      <c r="F341" s="30">
        <v>12.99</v>
      </c>
      <c r="G341" s="29">
        <v>12.99</v>
      </c>
      <c r="H341" s="28" t="s">
        <v>8083</v>
      </c>
      <c r="I341" s="27" t="s">
        <v>82</v>
      </c>
      <c r="J341" s="31" t="s">
        <v>21</v>
      </c>
      <c r="K341" s="27" t="s">
        <v>282</v>
      </c>
      <c r="L341" s="27" t="s">
        <v>358</v>
      </c>
      <c r="M341" s="32" t="str">
        <f>HYPERLINK("http://slimages.macys.com/is/image/MCY/3755128 ")</f>
        <v xml:space="preserve">http://slimages.macys.com/is/image/MCY/3755128 </v>
      </c>
    </row>
    <row r="342" spans="1:13" ht="15.2" customHeight="1" x14ac:dyDescent="0.2">
      <c r="A342" s="26" t="s">
        <v>11844</v>
      </c>
      <c r="B342" s="27" t="s">
        <v>11845</v>
      </c>
      <c r="C342" s="28">
        <v>1</v>
      </c>
      <c r="D342" s="29">
        <v>5.95</v>
      </c>
      <c r="E342" s="29">
        <v>5.95</v>
      </c>
      <c r="F342" s="30">
        <v>12.99</v>
      </c>
      <c r="G342" s="29">
        <v>12.99</v>
      </c>
      <c r="H342" s="28" t="s">
        <v>1512</v>
      </c>
      <c r="I342" s="27" t="s">
        <v>4</v>
      </c>
      <c r="J342" s="31" t="s">
        <v>71</v>
      </c>
      <c r="K342" s="27" t="s">
        <v>282</v>
      </c>
      <c r="L342" s="27" t="s">
        <v>358</v>
      </c>
      <c r="M342" s="32" t="str">
        <f>HYPERLINK("http://slimages.macys.com/is/image/MCY/3773696 ")</f>
        <v xml:space="preserve">http://slimages.macys.com/is/image/MCY/3773696 </v>
      </c>
    </row>
    <row r="343" spans="1:13" ht="15.2" customHeight="1" x14ac:dyDescent="0.2">
      <c r="A343" s="26" t="s">
        <v>8722</v>
      </c>
      <c r="B343" s="27" t="s">
        <v>8723</v>
      </c>
      <c r="C343" s="28">
        <v>1</v>
      </c>
      <c r="D343" s="29">
        <v>5.95</v>
      </c>
      <c r="E343" s="29">
        <v>5.95</v>
      </c>
      <c r="F343" s="30">
        <v>12.99</v>
      </c>
      <c r="G343" s="29">
        <v>12.99</v>
      </c>
      <c r="H343" s="28" t="s">
        <v>6054</v>
      </c>
      <c r="I343" s="27" t="s">
        <v>82</v>
      </c>
      <c r="J343" s="31" t="s">
        <v>21</v>
      </c>
      <c r="K343" s="27" t="s">
        <v>282</v>
      </c>
      <c r="L343" s="27" t="s">
        <v>358</v>
      </c>
      <c r="M343" s="32" t="str">
        <f>HYPERLINK("http://slimages.macys.com/is/image/MCY/3773694 ")</f>
        <v xml:space="preserve">http://slimages.macys.com/is/image/MCY/3773694 </v>
      </c>
    </row>
    <row r="344" spans="1:13" ht="15.2" customHeight="1" x14ac:dyDescent="0.2">
      <c r="A344" s="26" t="s">
        <v>1515</v>
      </c>
      <c r="B344" s="27" t="s">
        <v>1516</v>
      </c>
      <c r="C344" s="28">
        <v>2</v>
      </c>
      <c r="D344" s="29">
        <v>5.95</v>
      </c>
      <c r="E344" s="29">
        <v>11.9</v>
      </c>
      <c r="F344" s="30">
        <v>12.99</v>
      </c>
      <c r="G344" s="29">
        <v>25.98</v>
      </c>
      <c r="H344" s="28" t="s">
        <v>899</v>
      </c>
      <c r="I344" s="27" t="s">
        <v>265</v>
      </c>
      <c r="J344" s="31" t="s">
        <v>71</v>
      </c>
      <c r="K344" s="27" t="s">
        <v>282</v>
      </c>
      <c r="L344" s="27" t="s">
        <v>358</v>
      </c>
      <c r="M344" s="32" t="str">
        <f>HYPERLINK("http://slimages.macys.com/is/image/MCY/3820327 ")</f>
        <v xml:space="preserve">http://slimages.macys.com/is/image/MCY/3820327 </v>
      </c>
    </row>
    <row r="345" spans="1:13" ht="15.2" customHeight="1" x14ac:dyDescent="0.2">
      <c r="A345" s="26" t="s">
        <v>7438</v>
      </c>
      <c r="B345" s="27" t="s">
        <v>7439</v>
      </c>
      <c r="C345" s="28">
        <v>1</v>
      </c>
      <c r="D345" s="29">
        <v>5.95</v>
      </c>
      <c r="E345" s="29">
        <v>5.95</v>
      </c>
      <c r="F345" s="30">
        <v>12.99</v>
      </c>
      <c r="G345" s="29">
        <v>12.99</v>
      </c>
      <c r="H345" s="28" t="s">
        <v>6055</v>
      </c>
      <c r="I345" s="27" t="s">
        <v>94</v>
      </c>
      <c r="J345" s="31" t="s">
        <v>40</v>
      </c>
      <c r="K345" s="27" t="s">
        <v>282</v>
      </c>
      <c r="L345" s="27" t="s">
        <v>358</v>
      </c>
      <c r="M345" s="32" t="str">
        <f>HYPERLINK("http://slimages.macys.com/is/image/MCY/3773690 ")</f>
        <v xml:space="preserve">http://slimages.macys.com/is/image/MCY/3773690 </v>
      </c>
    </row>
    <row r="346" spans="1:13" ht="15.2" customHeight="1" x14ac:dyDescent="0.2">
      <c r="A346" s="26" t="s">
        <v>11846</v>
      </c>
      <c r="B346" s="27" t="s">
        <v>11847</v>
      </c>
      <c r="C346" s="28">
        <v>2</v>
      </c>
      <c r="D346" s="29">
        <v>5.85</v>
      </c>
      <c r="E346" s="29">
        <v>11.7</v>
      </c>
      <c r="F346" s="30">
        <v>13.99</v>
      </c>
      <c r="G346" s="29">
        <v>27.98</v>
      </c>
      <c r="H346" s="28" t="s">
        <v>1520</v>
      </c>
      <c r="I346" s="27" t="s">
        <v>343</v>
      </c>
      <c r="J346" s="31" t="s">
        <v>71</v>
      </c>
      <c r="K346" s="27" t="s">
        <v>282</v>
      </c>
      <c r="L346" s="27" t="s">
        <v>312</v>
      </c>
      <c r="M346" s="32" t="str">
        <f>HYPERLINK("http://slimages.macys.com/is/image/MCY/3787423 ")</f>
        <v xml:space="preserve">http://slimages.macys.com/is/image/MCY/3787423 </v>
      </c>
    </row>
    <row r="347" spans="1:13" ht="15.2" customHeight="1" x14ac:dyDescent="0.2">
      <c r="A347" s="26" t="s">
        <v>9941</v>
      </c>
      <c r="B347" s="27" t="s">
        <v>9942</v>
      </c>
      <c r="C347" s="28">
        <v>1</v>
      </c>
      <c r="D347" s="29">
        <v>5.85</v>
      </c>
      <c r="E347" s="29">
        <v>5.85</v>
      </c>
      <c r="F347" s="30">
        <v>13.99</v>
      </c>
      <c r="G347" s="29">
        <v>13.99</v>
      </c>
      <c r="H347" s="28" t="s">
        <v>8565</v>
      </c>
      <c r="I347" s="27" t="s">
        <v>8</v>
      </c>
      <c r="J347" s="31" t="s">
        <v>21</v>
      </c>
      <c r="K347" s="27" t="s">
        <v>282</v>
      </c>
      <c r="L347" s="27" t="s">
        <v>312</v>
      </c>
      <c r="M347" s="32" t="str">
        <f>HYPERLINK("http://slimages.macys.com/is/image/MCY/3779701 ")</f>
        <v xml:space="preserve">http://slimages.macys.com/is/image/MCY/3779701 </v>
      </c>
    </row>
    <row r="348" spans="1:13" ht="15.2" customHeight="1" x14ac:dyDescent="0.2">
      <c r="A348" s="26" t="s">
        <v>11848</v>
      </c>
      <c r="B348" s="27" t="s">
        <v>11849</v>
      </c>
      <c r="C348" s="28">
        <v>1</v>
      </c>
      <c r="D348" s="29">
        <v>5.85</v>
      </c>
      <c r="E348" s="29">
        <v>5.85</v>
      </c>
      <c r="F348" s="30">
        <v>13.99</v>
      </c>
      <c r="G348" s="29">
        <v>13.99</v>
      </c>
      <c r="H348" s="28" t="s">
        <v>11533</v>
      </c>
      <c r="I348" s="27" t="s">
        <v>4</v>
      </c>
      <c r="J348" s="31" t="s">
        <v>5</v>
      </c>
      <c r="K348" s="27" t="s">
        <v>282</v>
      </c>
      <c r="L348" s="27" t="s">
        <v>312</v>
      </c>
      <c r="M348" s="32" t="str">
        <f>HYPERLINK("http://slimages.macys.com/is/image/MCY/3779695 ")</f>
        <v xml:space="preserve">http://slimages.macys.com/is/image/MCY/3779695 </v>
      </c>
    </row>
    <row r="349" spans="1:13" ht="15.2" customHeight="1" x14ac:dyDescent="0.2">
      <c r="A349" s="26" t="s">
        <v>1528</v>
      </c>
      <c r="B349" s="27" t="s">
        <v>1529</v>
      </c>
      <c r="C349" s="28">
        <v>1</v>
      </c>
      <c r="D349" s="29">
        <v>5.75</v>
      </c>
      <c r="E349" s="29">
        <v>5.75</v>
      </c>
      <c r="F349" s="30">
        <v>12.99</v>
      </c>
      <c r="G349" s="29">
        <v>12.99</v>
      </c>
      <c r="H349" s="28" t="s">
        <v>1530</v>
      </c>
      <c r="I349" s="27" t="s">
        <v>82</v>
      </c>
      <c r="J349" s="31" t="s">
        <v>5</v>
      </c>
      <c r="K349" s="27" t="s">
        <v>282</v>
      </c>
      <c r="L349" s="27" t="s">
        <v>283</v>
      </c>
      <c r="M349" s="32" t="str">
        <f>HYPERLINK("http://slimages.macys.com/is/image/MCY/3773466 ")</f>
        <v xml:space="preserve">http://slimages.macys.com/is/image/MCY/3773466 </v>
      </c>
    </row>
    <row r="350" spans="1:13" ht="15.2" customHeight="1" x14ac:dyDescent="0.2">
      <c r="A350" s="26" t="s">
        <v>911</v>
      </c>
      <c r="B350" s="27" t="s">
        <v>912</v>
      </c>
      <c r="C350" s="28">
        <v>1</v>
      </c>
      <c r="D350" s="29">
        <v>5.75</v>
      </c>
      <c r="E350" s="29">
        <v>5.75</v>
      </c>
      <c r="F350" s="30">
        <v>12.99</v>
      </c>
      <c r="G350" s="29">
        <v>12.99</v>
      </c>
      <c r="H350" s="28" t="s">
        <v>913</v>
      </c>
      <c r="I350" s="27" t="s">
        <v>82</v>
      </c>
      <c r="J350" s="31" t="s">
        <v>21</v>
      </c>
      <c r="K350" s="27" t="s">
        <v>282</v>
      </c>
      <c r="L350" s="27" t="s">
        <v>349</v>
      </c>
      <c r="M350" s="32" t="str">
        <f>HYPERLINK("http://slimages.macys.com/is/image/MCY/3820333 ")</f>
        <v xml:space="preserve">http://slimages.macys.com/is/image/MCY/3820333 </v>
      </c>
    </row>
    <row r="351" spans="1:13" ht="15.2" customHeight="1" x14ac:dyDescent="0.2">
      <c r="A351" s="26" t="s">
        <v>7586</v>
      </c>
      <c r="B351" s="27" t="s">
        <v>7587</v>
      </c>
      <c r="C351" s="28">
        <v>1</v>
      </c>
      <c r="D351" s="29">
        <v>5.75</v>
      </c>
      <c r="E351" s="29">
        <v>5.75</v>
      </c>
      <c r="F351" s="30">
        <v>12.99</v>
      </c>
      <c r="G351" s="29">
        <v>12.99</v>
      </c>
      <c r="H351" s="28" t="s">
        <v>1525</v>
      </c>
      <c r="I351" s="27" t="s">
        <v>59</v>
      </c>
      <c r="J351" s="31" t="s">
        <v>71</v>
      </c>
      <c r="K351" s="27" t="s">
        <v>282</v>
      </c>
      <c r="L351" s="27" t="s">
        <v>349</v>
      </c>
      <c r="M351" s="32" t="str">
        <f>HYPERLINK("http://slimages.macys.com/is/image/MCY/3787595 ")</f>
        <v xml:space="preserve">http://slimages.macys.com/is/image/MCY/3787595 </v>
      </c>
    </row>
    <row r="352" spans="1:13" ht="15.2" customHeight="1" x14ac:dyDescent="0.2">
      <c r="A352" s="26" t="s">
        <v>11850</v>
      </c>
      <c r="B352" s="27" t="s">
        <v>11851</v>
      </c>
      <c r="C352" s="28">
        <v>1</v>
      </c>
      <c r="D352" s="29">
        <v>5.75</v>
      </c>
      <c r="E352" s="29">
        <v>5.75</v>
      </c>
      <c r="F352" s="30">
        <v>12.99</v>
      </c>
      <c r="G352" s="29">
        <v>12.99</v>
      </c>
      <c r="H352" s="28" t="s">
        <v>913</v>
      </c>
      <c r="I352" s="27" t="s">
        <v>82</v>
      </c>
      <c r="J352" s="31" t="s">
        <v>40</v>
      </c>
      <c r="K352" s="27" t="s">
        <v>282</v>
      </c>
      <c r="L352" s="27" t="s">
        <v>349</v>
      </c>
      <c r="M352" s="32" t="str">
        <f>HYPERLINK("http://slimages.macys.com/is/image/MCY/3820333 ")</f>
        <v xml:space="preserve">http://slimages.macys.com/is/image/MCY/3820333 </v>
      </c>
    </row>
    <row r="353" spans="1:13" ht="15.2" customHeight="1" x14ac:dyDescent="0.2">
      <c r="A353" s="26" t="s">
        <v>7446</v>
      </c>
      <c r="B353" s="27" t="s">
        <v>7447</v>
      </c>
      <c r="C353" s="28">
        <v>1</v>
      </c>
      <c r="D353" s="29">
        <v>5.75</v>
      </c>
      <c r="E353" s="29">
        <v>5.75</v>
      </c>
      <c r="F353" s="30">
        <v>12.99</v>
      </c>
      <c r="G353" s="29">
        <v>12.99</v>
      </c>
      <c r="H353" s="28" t="s">
        <v>906</v>
      </c>
      <c r="I353" s="27" t="s">
        <v>189</v>
      </c>
      <c r="J353" s="31" t="s">
        <v>52</v>
      </c>
      <c r="K353" s="27" t="s">
        <v>282</v>
      </c>
      <c r="L353" s="27" t="s">
        <v>283</v>
      </c>
      <c r="M353" s="32" t="str">
        <f>HYPERLINK("http://slimages.macys.com/is/image/MCY/3832194 ")</f>
        <v xml:space="preserve">http://slimages.macys.com/is/image/MCY/3832194 </v>
      </c>
    </row>
    <row r="354" spans="1:13" ht="15.2" customHeight="1" x14ac:dyDescent="0.2">
      <c r="A354" s="26" t="s">
        <v>7450</v>
      </c>
      <c r="B354" s="27" t="s">
        <v>7451</v>
      </c>
      <c r="C354" s="28">
        <v>3</v>
      </c>
      <c r="D354" s="29">
        <v>5.65</v>
      </c>
      <c r="E354" s="29">
        <v>16.95</v>
      </c>
      <c r="F354" s="30">
        <v>12.99</v>
      </c>
      <c r="G354" s="29">
        <v>38.97</v>
      </c>
      <c r="H354" s="28" t="s">
        <v>7452</v>
      </c>
      <c r="I354" s="27" t="s">
        <v>33</v>
      </c>
      <c r="J354" s="31" t="s">
        <v>21</v>
      </c>
      <c r="K354" s="27" t="s">
        <v>282</v>
      </c>
      <c r="L354" s="27" t="s">
        <v>393</v>
      </c>
      <c r="M354" s="32" t="str">
        <f>HYPERLINK("http://slimages.macys.com/is/image/MCY/3754951 ")</f>
        <v xml:space="preserve">http://slimages.macys.com/is/image/MCY/3754951 </v>
      </c>
    </row>
    <row r="355" spans="1:13" ht="15.2" customHeight="1" x14ac:dyDescent="0.2">
      <c r="A355" s="26" t="s">
        <v>1947</v>
      </c>
      <c r="B355" s="27" t="s">
        <v>1948</v>
      </c>
      <c r="C355" s="28">
        <v>2</v>
      </c>
      <c r="D355" s="29">
        <v>5.5</v>
      </c>
      <c r="E355" s="29">
        <v>11</v>
      </c>
      <c r="F355" s="30">
        <v>12.99</v>
      </c>
      <c r="G355" s="29">
        <v>25.98</v>
      </c>
      <c r="H355" s="28" t="s">
        <v>1949</v>
      </c>
      <c r="I355" s="27" t="s">
        <v>82</v>
      </c>
      <c r="J355" s="31" t="s">
        <v>5</v>
      </c>
      <c r="K355" s="27" t="s">
        <v>282</v>
      </c>
      <c r="L355" s="27" t="s">
        <v>312</v>
      </c>
      <c r="M355" s="32" t="str">
        <f>HYPERLINK("http://slimages.macys.com/is/image/MCY/3875986 ")</f>
        <v xml:space="preserve">http://slimages.macys.com/is/image/MCY/3875986 </v>
      </c>
    </row>
    <row r="356" spans="1:13" ht="15.2" customHeight="1" x14ac:dyDescent="0.2">
      <c r="A356" s="26" t="s">
        <v>6059</v>
      </c>
      <c r="B356" s="27" t="s">
        <v>6060</v>
      </c>
      <c r="C356" s="28">
        <v>1</v>
      </c>
      <c r="D356" s="29">
        <v>5.5</v>
      </c>
      <c r="E356" s="29">
        <v>5.5</v>
      </c>
      <c r="F356" s="30">
        <v>12.99</v>
      </c>
      <c r="G356" s="29">
        <v>12.99</v>
      </c>
      <c r="H356" s="28" t="s">
        <v>6061</v>
      </c>
      <c r="I356" s="27" t="s">
        <v>82</v>
      </c>
      <c r="J356" s="31" t="s">
        <v>21</v>
      </c>
      <c r="K356" s="27" t="s">
        <v>282</v>
      </c>
      <c r="L356" s="27" t="s">
        <v>393</v>
      </c>
      <c r="M356" s="32" t="str">
        <f>HYPERLINK("http://slimages.macys.com/is/image/MCY/3700177 ")</f>
        <v xml:space="preserve">http://slimages.macys.com/is/image/MCY/3700177 </v>
      </c>
    </row>
    <row r="357" spans="1:13" ht="15.2" customHeight="1" x14ac:dyDescent="0.2">
      <c r="A357" s="26" t="s">
        <v>1545</v>
      </c>
      <c r="B357" s="27" t="s">
        <v>1546</v>
      </c>
      <c r="C357" s="28">
        <v>1</v>
      </c>
      <c r="D357" s="29">
        <v>5.5</v>
      </c>
      <c r="E357" s="29">
        <v>5.5</v>
      </c>
      <c r="F357" s="30">
        <v>12.99</v>
      </c>
      <c r="G357" s="29">
        <v>12.99</v>
      </c>
      <c r="H357" s="28" t="s">
        <v>1547</v>
      </c>
      <c r="I357" s="27" t="s">
        <v>82</v>
      </c>
      <c r="J357" s="31" t="s">
        <v>40</v>
      </c>
      <c r="K357" s="27" t="s">
        <v>282</v>
      </c>
      <c r="L357" s="27" t="s">
        <v>312</v>
      </c>
      <c r="M357" s="32" t="str">
        <f>HYPERLINK("http://slimages.macys.com/is/image/MCY/3777672 ")</f>
        <v xml:space="preserve">http://slimages.macys.com/is/image/MCY/3777672 </v>
      </c>
    </row>
    <row r="358" spans="1:13" ht="15.2" customHeight="1" x14ac:dyDescent="0.2">
      <c r="A358" s="26" t="s">
        <v>10266</v>
      </c>
      <c r="B358" s="27" t="s">
        <v>10267</v>
      </c>
      <c r="C358" s="28">
        <v>1</v>
      </c>
      <c r="D358" s="29">
        <v>5.5</v>
      </c>
      <c r="E358" s="29">
        <v>5.5</v>
      </c>
      <c r="F358" s="30">
        <v>13.99</v>
      </c>
      <c r="G358" s="29">
        <v>13.99</v>
      </c>
      <c r="H358" s="28" t="s">
        <v>10263</v>
      </c>
      <c r="I358" s="27" t="s">
        <v>82</v>
      </c>
      <c r="J358" s="31" t="s">
        <v>5</v>
      </c>
      <c r="K358" s="27" t="s">
        <v>282</v>
      </c>
      <c r="L358" s="27" t="s">
        <v>312</v>
      </c>
      <c r="M358" s="32" t="str">
        <f>HYPERLINK("http://slimages.macys.com/is/image/MCY/3409409 ")</f>
        <v xml:space="preserve">http://slimages.macys.com/is/image/MCY/3409409 </v>
      </c>
    </row>
    <row r="359" spans="1:13" ht="15.2" customHeight="1" x14ac:dyDescent="0.2">
      <c r="A359" s="26" t="s">
        <v>440</v>
      </c>
      <c r="B359" s="27" t="s">
        <v>441</v>
      </c>
      <c r="C359" s="28">
        <v>1</v>
      </c>
      <c r="D359" s="29">
        <v>5.5</v>
      </c>
      <c r="E359" s="29">
        <v>5.5</v>
      </c>
      <c r="F359" s="30">
        <v>12.99</v>
      </c>
      <c r="G359" s="29">
        <v>12.99</v>
      </c>
      <c r="H359" s="28" t="s">
        <v>442</v>
      </c>
      <c r="I359" s="27" t="s">
        <v>144</v>
      </c>
      <c r="J359" s="31" t="s">
        <v>40</v>
      </c>
      <c r="K359" s="27" t="s">
        <v>282</v>
      </c>
      <c r="L359" s="27" t="s">
        <v>312</v>
      </c>
      <c r="M359" s="32" t="str">
        <f>HYPERLINK("http://slimages.macys.com/is/image/MCY/3777671 ")</f>
        <v xml:space="preserve">http://slimages.macys.com/is/image/MCY/3777671 </v>
      </c>
    </row>
    <row r="360" spans="1:13" ht="15.2" customHeight="1" x14ac:dyDescent="0.2">
      <c r="A360" s="26" t="s">
        <v>4365</v>
      </c>
      <c r="B360" s="27" t="s">
        <v>4366</v>
      </c>
      <c r="C360" s="28">
        <v>1</v>
      </c>
      <c r="D360" s="29">
        <v>5.5</v>
      </c>
      <c r="E360" s="29">
        <v>5.5</v>
      </c>
      <c r="F360" s="30">
        <v>12.99</v>
      </c>
      <c r="G360" s="29">
        <v>12.99</v>
      </c>
      <c r="H360" s="28" t="s">
        <v>1949</v>
      </c>
      <c r="I360" s="27" t="s">
        <v>82</v>
      </c>
      <c r="J360" s="31" t="s">
        <v>21</v>
      </c>
      <c r="K360" s="27" t="s">
        <v>282</v>
      </c>
      <c r="L360" s="27" t="s">
        <v>312</v>
      </c>
      <c r="M360" s="32" t="str">
        <f>HYPERLINK("http://slimages.macys.com/is/image/MCY/3875986 ")</f>
        <v xml:space="preserve">http://slimages.macys.com/is/image/MCY/3875986 </v>
      </c>
    </row>
    <row r="361" spans="1:13" ht="15.2" customHeight="1" x14ac:dyDescent="0.2">
      <c r="A361" s="26" t="s">
        <v>11852</v>
      </c>
      <c r="B361" s="27" t="s">
        <v>11853</v>
      </c>
      <c r="C361" s="28">
        <v>1</v>
      </c>
      <c r="D361" s="29">
        <v>5.46</v>
      </c>
      <c r="E361" s="29">
        <v>5.46</v>
      </c>
      <c r="F361" s="30">
        <v>12.99</v>
      </c>
      <c r="G361" s="29">
        <v>12.99</v>
      </c>
      <c r="H361" s="28" t="s">
        <v>1570</v>
      </c>
      <c r="I361" s="27" t="s">
        <v>82</v>
      </c>
      <c r="J361" s="31" t="s">
        <v>21</v>
      </c>
      <c r="K361" s="27" t="s">
        <v>159</v>
      </c>
      <c r="L361" s="27" t="s">
        <v>160</v>
      </c>
      <c r="M361" s="32" t="str">
        <f>HYPERLINK("http://slimages.macys.com/is/image/MCY/3758318 ")</f>
        <v xml:space="preserve">http://slimages.macys.com/is/image/MCY/3758318 </v>
      </c>
    </row>
    <row r="362" spans="1:13" ht="15.2" customHeight="1" x14ac:dyDescent="0.2">
      <c r="A362" s="26" t="s">
        <v>9351</v>
      </c>
      <c r="B362" s="27" t="s">
        <v>9352</v>
      </c>
      <c r="C362" s="28">
        <v>1</v>
      </c>
      <c r="D362" s="29">
        <v>5.35</v>
      </c>
      <c r="E362" s="29">
        <v>5.35</v>
      </c>
      <c r="F362" s="30">
        <v>12.99</v>
      </c>
      <c r="G362" s="29">
        <v>12.99</v>
      </c>
      <c r="H362" s="28" t="s">
        <v>5175</v>
      </c>
      <c r="I362" s="27" t="s">
        <v>4</v>
      </c>
      <c r="J362" s="31" t="s">
        <v>21</v>
      </c>
      <c r="K362" s="27" t="s">
        <v>159</v>
      </c>
      <c r="L362" s="27" t="s">
        <v>160</v>
      </c>
      <c r="M362" s="32" t="str">
        <f>HYPERLINK("http://slimages.macys.com/is/image/MCY/3451733 ")</f>
        <v xml:space="preserve">http://slimages.macys.com/is/image/MCY/3451733 </v>
      </c>
    </row>
    <row r="363" spans="1:13" ht="15.2" customHeight="1" x14ac:dyDescent="0.2">
      <c r="A363" s="26" t="s">
        <v>936</v>
      </c>
      <c r="B363" s="27" t="s">
        <v>937</v>
      </c>
      <c r="C363" s="28">
        <v>2</v>
      </c>
      <c r="D363" s="29">
        <v>5.25</v>
      </c>
      <c r="E363" s="29">
        <v>10.5</v>
      </c>
      <c r="F363" s="30">
        <v>12.99</v>
      </c>
      <c r="G363" s="29">
        <v>25.98</v>
      </c>
      <c r="H363" s="28" t="s">
        <v>448</v>
      </c>
      <c r="I363" s="27" t="s">
        <v>82</v>
      </c>
      <c r="J363" s="31" t="s">
        <v>21</v>
      </c>
      <c r="K363" s="27" t="s">
        <v>282</v>
      </c>
      <c r="L363" s="27" t="s">
        <v>358</v>
      </c>
      <c r="M363" s="32" t="str">
        <f>HYPERLINK("http://slimages.macys.com/is/image/MCY/3875975 ")</f>
        <v xml:space="preserve">http://slimages.macys.com/is/image/MCY/3875975 </v>
      </c>
    </row>
    <row r="364" spans="1:13" ht="15.2" customHeight="1" x14ac:dyDescent="0.2">
      <c r="A364" s="26" t="s">
        <v>6063</v>
      </c>
      <c r="B364" s="27" t="s">
        <v>6064</v>
      </c>
      <c r="C364" s="28">
        <v>1</v>
      </c>
      <c r="D364" s="29">
        <v>5.25</v>
      </c>
      <c r="E364" s="29">
        <v>5.25</v>
      </c>
      <c r="F364" s="30">
        <v>12.99</v>
      </c>
      <c r="G364" s="29">
        <v>12.99</v>
      </c>
      <c r="H364" s="28" t="s">
        <v>1575</v>
      </c>
      <c r="I364" s="27" t="s">
        <v>4</v>
      </c>
      <c r="J364" s="31" t="s">
        <v>52</v>
      </c>
      <c r="K364" s="27" t="s">
        <v>282</v>
      </c>
      <c r="L364" s="27" t="s">
        <v>358</v>
      </c>
      <c r="M364" s="32" t="str">
        <f>HYPERLINK("http://slimages.macys.com/is/image/MCY/3875978 ")</f>
        <v xml:space="preserve">http://slimages.macys.com/is/image/MCY/3875978 </v>
      </c>
    </row>
    <row r="365" spans="1:13" ht="15.2" customHeight="1" x14ac:dyDescent="0.2">
      <c r="A365" s="26" t="s">
        <v>1573</v>
      </c>
      <c r="B365" s="27" t="s">
        <v>1574</v>
      </c>
      <c r="C365" s="28">
        <v>1</v>
      </c>
      <c r="D365" s="29">
        <v>5.25</v>
      </c>
      <c r="E365" s="29">
        <v>5.25</v>
      </c>
      <c r="F365" s="30">
        <v>12.99</v>
      </c>
      <c r="G365" s="29">
        <v>12.99</v>
      </c>
      <c r="H365" s="28" t="s">
        <v>1575</v>
      </c>
      <c r="I365" s="27" t="s">
        <v>4</v>
      </c>
      <c r="J365" s="31" t="s">
        <v>21</v>
      </c>
      <c r="K365" s="27" t="s">
        <v>282</v>
      </c>
      <c r="L365" s="27" t="s">
        <v>358</v>
      </c>
      <c r="M365" s="32" t="str">
        <f>HYPERLINK("http://slimages.macys.com/is/image/MCY/3875978 ")</f>
        <v xml:space="preserve">http://slimages.macys.com/is/image/MCY/3875978 </v>
      </c>
    </row>
    <row r="366" spans="1:13" ht="15.2" customHeight="1" x14ac:dyDescent="0.2">
      <c r="A366" s="26" t="s">
        <v>7453</v>
      </c>
      <c r="B366" s="27" t="s">
        <v>7454</v>
      </c>
      <c r="C366" s="28">
        <v>2</v>
      </c>
      <c r="D366" s="29">
        <v>5.25</v>
      </c>
      <c r="E366" s="29">
        <v>10.5</v>
      </c>
      <c r="F366" s="30">
        <v>12.99</v>
      </c>
      <c r="G366" s="29">
        <v>25.98</v>
      </c>
      <c r="H366" s="28" t="s">
        <v>1575</v>
      </c>
      <c r="I366" s="27" t="s">
        <v>4</v>
      </c>
      <c r="J366" s="31" t="s">
        <v>40</v>
      </c>
      <c r="K366" s="27" t="s">
        <v>282</v>
      </c>
      <c r="L366" s="27" t="s">
        <v>358</v>
      </c>
      <c r="M366" s="32" t="str">
        <f>HYPERLINK("http://slimages.macys.com/is/image/MCY/3875978 ")</f>
        <v xml:space="preserve">http://slimages.macys.com/is/image/MCY/3875978 </v>
      </c>
    </row>
    <row r="367" spans="1:13" ht="15.2" customHeight="1" x14ac:dyDescent="0.2">
      <c r="A367" s="26" t="s">
        <v>1952</v>
      </c>
      <c r="B367" s="27" t="s">
        <v>1953</v>
      </c>
      <c r="C367" s="28">
        <v>1</v>
      </c>
      <c r="D367" s="29">
        <v>5.25</v>
      </c>
      <c r="E367" s="29">
        <v>5.25</v>
      </c>
      <c r="F367" s="30">
        <v>12.99</v>
      </c>
      <c r="G367" s="29">
        <v>12.99</v>
      </c>
      <c r="H367" s="28" t="s">
        <v>1578</v>
      </c>
      <c r="I367" s="27" t="s">
        <v>4</v>
      </c>
      <c r="J367" s="31" t="s">
        <v>5</v>
      </c>
      <c r="K367" s="27" t="s">
        <v>282</v>
      </c>
      <c r="L367" s="27" t="s">
        <v>358</v>
      </c>
      <c r="M367" s="32" t="str">
        <f>HYPERLINK("http://slimages.macys.com/is/image/MCY/3875977 ")</f>
        <v xml:space="preserve">http://slimages.macys.com/is/image/MCY/3875977 </v>
      </c>
    </row>
    <row r="368" spans="1:13" ht="15.2" customHeight="1" x14ac:dyDescent="0.2">
      <c r="A368" s="26" t="s">
        <v>451</v>
      </c>
      <c r="B368" s="27" t="s">
        <v>452</v>
      </c>
      <c r="C368" s="28">
        <v>1</v>
      </c>
      <c r="D368" s="29">
        <v>5.25</v>
      </c>
      <c r="E368" s="29">
        <v>5.25</v>
      </c>
      <c r="F368" s="30">
        <v>12.99</v>
      </c>
      <c r="G368" s="29">
        <v>12.99</v>
      </c>
      <c r="H368" s="28" t="s">
        <v>448</v>
      </c>
      <c r="I368" s="27" t="s">
        <v>82</v>
      </c>
      <c r="J368" s="31" t="s">
        <v>5</v>
      </c>
      <c r="K368" s="27" t="s">
        <v>282</v>
      </c>
      <c r="L368" s="27" t="s">
        <v>358</v>
      </c>
      <c r="M368" s="32" t="str">
        <f>HYPERLINK("http://slimages.macys.com/is/image/MCY/3875975 ")</f>
        <v xml:space="preserve">http://slimages.macys.com/is/image/MCY/3875975 </v>
      </c>
    </row>
    <row r="369" spans="1:13" ht="15.2" customHeight="1" x14ac:dyDescent="0.2">
      <c r="A369" s="26" t="s">
        <v>1954</v>
      </c>
      <c r="B369" s="27" t="s">
        <v>1955</v>
      </c>
      <c r="C369" s="28">
        <v>2</v>
      </c>
      <c r="D369" s="29">
        <v>4.75</v>
      </c>
      <c r="E369" s="29">
        <v>9.5</v>
      </c>
      <c r="F369" s="30">
        <v>12.99</v>
      </c>
      <c r="G369" s="29">
        <v>25.98</v>
      </c>
      <c r="H369" s="28" t="s">
        <v>1582</v>
      </c>
      <c r="I369" s="27" t="s">
        <v>215</v>
      </c>
      <c r="J369" s="31" t="s">
        <v>21</v>
      </c>
      <c r="K369" s="27" t="s">
        <v>282</v>
      </c>
      <c r="L369" s="27" t="s">
        <v>283</v>
      </c>
      <c r="M369" s="32" t="str">
        <f>HYPERLINK("http://slimages.macys.com/is/image/MCY/3773389 ")</f>
        <v xml:space="preserve">http://slimages.macys.com/is/image/MCY/3773389 </v>
      </c>
    </row>
    <row r="370" spans="1:13" ht="15.2" customHeight="1" x14ac:dyDescent="0.2">
      <c r="A370" s="26" t="s">
        <v>11854</v>
      </c>
      <c r="B370" s="27" t="s">
        <v>11855</v>
      </c>
      <c r="C370" s="28">
        <v>1</v>
      </c>
      <c r="D370" s="29">
        <v>4.5</v>
      </c>
      <c r="E370" s="29">
        <v>4.5</v>
      </c>
      <c r="F370" s="30">
        <v>12.99</v>
      </c>
      <c r="G370" s="29">
        <v>12.99</v>
      </c>
      <c r="H370" s="28" t="s">
        <v>8457</v>
      </c>
      <c r="I370" s="27" t="s">
        <v>94</v>
      </c>
      <c r="J370" s="31" t="s">
        <v>5</v>
      </c>
      <c r="K370" s="27" t="s">
        <v>200</v>
      </c>
      <c r="L370" s="27" t="s">
        <v>239</v>
      </c>
      <c r="M370" s="32" t="str">
        <f>HYPERLINK("http://slimages.macys.com/is/image/MCY/3652462 ")</f>
        <v xml:space="preserve">http://slimages.macys.com/is/image/MCY/3652462 </v>
      </c>
    </row>
    <row r="371" spans="1:13" ht="15.2" customHeight="1" x14ac:dyDescent="0.2">
      <c r="A371" s="26" t="s">
        <v>1592</v>
      </c>
      <c r="B371" s="27" t="s">
        <v>1593</v>
      </c>
      <c r="C371" s="28">
        <v>4</v>
      </c>
      <c r="D371" s="29">
        <v>4.5</v>
      </c>
      <c r="E371" s="29">
        <v>18</v>
      </c>
      <c r="F371" s="30">
        <v>12.99</v>
      </c>
      <c r="G371" s="29">
        <v>51.96</v>
      </c>
      <c r="H371" s="28" t="s">
        <v>1594</v>
      </c>
      <c r="I371" s="27" t="s">
        <v>4</v>
      </c>
      <c r="J371" s="31" t="s">
        <v>21</v>
      </c>
      <c r="K371" s="27" t="s">
        <v>282</v>
      </c>
      <c r="L371" s="27" t="s">
        <v>283</v>
      </c>
      <c r="M371" s="32" t="str">
        <f>HYPERLINK("http://slimages.macys.com/is/image/MCY/3927796 ")</f>
        <v xml:space="preserve">http://slimages.macys.com/is/image/MCY/3927796 </v>
      </c>
    </row>
    <row r="372" spans="1:13" ht="15.2" customHeight="1" x14ac:dyDescent="0.2">
      <c r="A372" s="26" t="s">
        <v>8738</v>
      </c>
      <c r="B372" s="27" t="s">
        <v>8739</v>
      </c>
      <c r="C372" s="28">
        <v>1</v>
      </c>
      <c r="D372" s="29">
        <v>4.5</v>
      </c>
      <c r="E372" s="29">
        <v>4.5</v>
      </c>
      <c r="F372" s="30">
        <v>12.99</v>
      </c>
      <c r="G372" s="29">
        <v>12.99</v>
      </c>
      <c r="H372" s="28" t="s">
        <v>1597</v>
      </c>
      <c r="I372" s="27" t="s">
        <v>244</v>
      </c>
      <c r="J372" s="31" t="s">
        <v>71</v>
      </c>
      <c r="K372" s="27" t="s">
        <v>282</v>
      </c>
      <c r="L372" s="27" t="s">
        <v>283</v>
      </c>
      <c r="M372" s="32" t="str">
        <f>HYPERLINK("http://slimages.macys.com/is/image/MCY/3875943 ")</f>
        <v xml:space="preserve">http://slimages.macys.com/is/image/MCY/3875943 </v>
      </c>
    </row>
    <row r="373" spans="1:13" ht="15.2" customHeight="1" x14ac:dyDescent="0.2">
      <c r="A373" s="26" t="s">
        <v>7457</v>
      </c>
      <c r="B373" s="27" t="s">
        <v>7458</v>
      </c>
      <c r="C373" s="28">
        <v>1</v>
      </c>
      <c r="D373" s="29">
        <v>4.5</v>
      </c>
      <c r="E373" s="29">
        <v>4.5</v>
      </c>
      <c r="F373" s="30">
        <v>12.99</v>
      </c>
      <c r="G373" s="29">
        <v>12.99</v>
      </c>
      <c r="H373" s="28" t="s">
        <v>5495</v>
      </c>
      <c r="I373" s="27" t="s">
        <v>8</v>
      </c>
      <c r="J373" s="31" t="s">
        <v>71</v>
      </c>
      <c r="K373" s="27" t="s">
        <v>282</v>
      </c>
      <c r="L373" s="27" t="s">
        <v>283</v>
      </c>
      <c r="M373" s="32" t="str">
        <f>HYPERLINK("http://slimages.macys.com/is/image/MCY/3875803 ")</f>
        <v xml:space="preserve">http://slimages.macys.com/is/image/MCY/3875803 </v>
      </c>
    </row>
    <row r="374" spans="1:13" ht="15.2" customHeight="1" x14ac:dyDescent="0.2">
      <c r="A374" s="26" t="s">
        <v>11856</v>
      </c>
      <c r="B374" s="27" t="s">
        <v>11857</v>
      </c>
      <c r="C374" s="28">
        <v>1</v>
      </c>
      <c r="D374" s="29">
        <v>4.5</v>
      </c>
      <c r="E374" s="29">
        <v>4.5</v>
      </c>
      <c r="F374" s="30">
        <v>12.99</v>
      </c>
      <c r="G374" s="29">
        <v>12.99</v>
      </c>
      <c r="H374" s="28" t="s">
        <v>8457</v>
      </c>
      <c r="I374" s="27" t="s">
        <v>94</v>
      </c>
      <c r="J374" s="31" t="s">
        <v>52</v>
      </c>
      <c r="K374" s="27" t="s">
        <v>200</v>
      </c>
      <c r="L374" s="27" t="s">
        <v>239</v>
      </c>
      <c r="M374" s="32" t="str">
        <f>HYPERLINK("http://slimages.macys.com/is/image/MCY/3652462 ")</f>
        <v xml:space="preserve">http://slimages.macys.com/is/image/MCY/3652462 </v>
      </c>
    </row>
    <row r="375" spans="1:13" ht="15.2" customHeight="1" x14ac:dyDescent="0.2">
      <c r="A375" s="26" t="s">
        <v>11858</v>
      </c>
      <c r="B375" s="27" t="s">
        <v>11859</v>
      </c>
      <c r="C375" s="28">
        <v>2</v>
      </c>
      <c r="D375" s="29">
        <v>4</v>
      </c>
      <c r="E375" s="29">
        <v>8</v>
      </c>
      <c r="F375" s="30">
        <v>12.99</v>
      </c>
      <c r="G375" s="29">
        <v>25.98</v>
      </c>
      <c r="H375" s="28" t="s">
        <v>1598</v>
      </c>
      <c r="I375" s="27" t="s">
        <v>189</v>
      </c>
      <c r="J375" s="31" t="s">
        <v>52</v>
      </c>
      <c r="K375" s="27" t="s">
        <v>200</v>
      </c>
      <c r="L375" s="27" t="s">
        <v>260</v>
      </c>
      <c r="M375" s="32" t="str">
        <f>HYPERLINK("http://slimages.macys.com/is/image/MCY/3625071 ")</f>
        <v xml:space="preserve">http://slimages.macys.com/is/image/MCY/3625071 </v>
      </c>
    </row>
    <row r="376" spans="1:13" ht="15.2" customHeight="1" x14ac:dyDescent="0.2">
      <c r="A376" s="26" t="s">
        <v>11860</v>
      </c>
      <c r="B376" s="27" t="s">
        <v>11861</v>
      </c>
      <c r="C376" s="28">
        <v>1</v>
      </c>
      <c r="D376" s="29">
        <v>3.75</v>
      </c>
      <c r="E376" s="29">
        <v>3.75</v>
      </c>
      <c r="F376" s="30">
        <v>10.99</v>
      </c>
      <c r="G376" s="29">
        <v>10.99</v>
      </c>
      <c r="H376" s="28">
        <v>60427327</v>
      </c>
      <c r="I376" s="27" t="s">
        <v>1</v>
      </c>
      <c r="J376" s="31" t="s">
        <v>21</v>
      </c>
      <c r="K376" s="27" t="s">
        <v>282</v>
      </c>
      <c r="L376" s="27" t="s">
        <v>255</v>
      </c>
      <c r="M376" s="32" t="str">
        <f>HYPERLINK("http://slimages.macys.com/is/image/MCY/3454194 ")</f>
        <v xml:space="preserve">http://slimages.macys.com/is/image/MCY/3454194 </v>
      </c>
    </row>
    <row r="377" spans="1:13" ht="15.2" customHeight="1" x14ac:dyDescent="0.2">
      <c r="A377" s="26" t="s">
        <v>6269</v>
      </c>
      <c r="B377" s="27" t="s">
        <v>6270</v>
      </c>
      <c r="C377" s="28">
        <v>1</v>
      </c>
      <c r="D377" s="29">
        <v>3.72</v>
      </c>
      <c r="E377" s="29">
        <v>3.72</v>
      </c>
      <c r="F377" s="30">
        <v>7.99</v>
      </c>
      <c r="G377" s="29">
        <v>7.99</v>
      </c>
      <c r="H377" s="28" t="s">
        <v>459</v>
      </c>
      <c r="I377" s="27" t="s">
        <v>39</v>
      </c>
      <c r="J377" s="31" t="s">
        <v>5</v>
      </c>
      <c r="K377" s="27" t="s">
        <v>282</v>
      </c>
      <c r="L377" s="27" t="s">
        <v>325</v>
      </c>
      <c r="M377" s="32" t="str">
        <f>HYPERLINK("http://slimages.macys.com/is/image/MCY/3609979 ")</f>
        <v xml:space="preserve">http://slimages.macys.com/is/image/MCY/3609979 </v>
      </c>
    </row>
    <row r="378" spans="1:13" ht="15.2" customHeight="1" x14ac:dyDescent="0.2">
      <c r="A378" s="26" t="s">
        <v>3028</v>
      </c>
      <c r="B378" s="27" t="s">
        <v>3029</v>
      </c>
      <c r="C378" s="28">
        <v>1</v>
      </c>
      <c r="D378" s="29">
        <v>3.45</v>
      </c>
      <c r="E378" s="29">
        <v>3.45</v>
      </c>
      <c r="F378" s="30">
        <v>7.99</v>
      </c>
      <c r="G378" s="29">
        <v>7.99</v>
      </c>
      <c r="H378" s="28">
        <v>60423445</v>
      </c>
      <c r="I378" s="27" t="s">
        <v>661</v>
      </c>
      <c r="J378" s="31" t="s">
        <v>21</v>
      </c>
      <c r="K378" s="27" t="s">
        <v>282</v>
      </c>
      <c r="L378" s="27" t="s">
        <v>255</v>
      </c>
      <c r="M378" s="32" t="str">
        <f>HYPERLINK("http://slimages.macys.com/is/image/MCY/3663800 ")</f>
        <v xml:space="preserve">http://slimages.macys.com/is/image/MCY/3663800 </v>
      </c>
    </row>
    <row r="379" spans="1:13" ht="15.2" customHeight="1" x14ac:dyDescent="0.2">
      <c r="A379" s="26" t="s">
        <v>2710</v>
      </c>
      <c r="B379" s="27" t="s">
        <v>2711</v>
      </c>
      <c r="C379" s="28">
        <v>1</v>
      </c>
      <c r="D379" s="29">
        <v>3.45</v>
      </c>
      <c r="E379" s="29">
        <v>3.45</v>
      </c>
      <c r="F379" s="30">
        <v>7.99</v>
      </c>
      <c r="G379" s="29">
        <v>7.99</v>
      </c>
      <c r="H379" s="28">
        <v>60423445</v>
      </c>
      <c r="I379" s="27" t="s">
        <v>75</v>
      </c>
      <c r="J379" s="31" t="s">
        <v>52</v>
      </c>
      <c r="K379" s="27" t="s">
        <v>282</v>
      </c>
      <c r="L379" s="27" t="s">
        <v>255</v>
      </c>
      <c r="M379" s="32" t="str">
        <f>HYPERLINK("http://slimages.macys.com/is/image/MCY/3663800 ")</f>
        <v xml:space="preserve">http://slimages.macys.com/is/image/MCY/3663800 </v>
      </c>
    </row>
    <row r="380" spans="1:13" ht="15.2" customHeight="1" x14ac:dyDescent="0.2">
      <c r="A380" s="26" t="s">
        <v>11030</v>
      </c>
      <c r="B380" s="27" t="s">
        <v>11031</v>
      </c>
      <c r="C380" s="28">
        <v>1</v>
      </c>
      <c r="D380" s="29">
        <v>63.37</v>
      </c>
      <c r="E380" s="29">
        <v>63.37</v>
      </c>
      <c r="F380" s="30">
        <v>169</v>
      </c>
      <c r="G380" s="29">
        <v>169</v>
      </c>
      <c r="H380" s="28">
        <v>7056926</v>
      </c>
      <c r="I380" s="27" t="s">
        <v>271</v>
      </c>
      <c r="J380" s="31" t="s">
        <v>8334</v>
      </c>
      <c r="K380" s="27" t="s">
        <v>462</v>
      </c>
      <c r="L380" s="27" t="s">
        <v>463</v>
      </c>
      <c r="M380" s="32"/>
    </row>
    <row r="381" spans="1:13" ht="15.2" customHeight="1" x14ac:dyDescent="0.2">
      <c r="A381" s="26" t="s">
        <v>11862</v>
      </c>
      <c r="B381" s="27" t="s">
        <v>11863</v>
      </c>
      <c r="C381" s="28">
        <v>1</v>
      </c>
      <c r="D381" s="29">
        <v>54.75</v>
      </c>
      <c r="E381" s="29">
        <v>54.75</v>
      </c>
      <c r="F381" s="30">
        <v>189</v>
      </c>
      <c r="G381" s="29">
        <v>189</v>
      </c>
      <c r="H381" s="28">
        <v>56712</v>
      </c>
      <c r="I381" s="27"/>
      <c r="J381" s="31" t="s">
        <v>230</v>
      </c>
      <c r="K381" s="27" t="s">
        <v>24</v>
      </c>
      <c r="L381" s="27" t="s">
        <v>1972</v>
      </c>
      <c r="M381" s="32"/>
    </row>
    <row r="382" spans="1:13" ht="15.2" customHeight="1" x14ac:dyDescent="0.2">
      <c r="A382" s="26" t="s">
        <v>8461</v>
      </c>
      <c r="B382" s="27" t="s">
        <v>8460</v>
      </c>
      <c r="C382" s="28">
        <v>1</v>
      </c>
      <c r="D382" s="29">
        <v>52.75</v>
      </c>
      <c r="E382" s="29">
        <v>52.75</v>
      </c>
      <c r="F382" s="30">
        <v>159</v>
      </c>
      <c r="G382" s="29">
        <v>159</v>
      </c>
      <c r="H382" s="28">
        <v>57051</v>
      </c>
      <c r="I382" s="27" t="s">
        <v>36</v>
      </c>
      <c r="J382" s="31" t="s">
        <v>230</v>
      </c>
      <c r="K382" s="27" t="s">
        <v>24</v>
      </c>
      <c r="L382" s="27" t="s">
        <v>1972</v>
      </c>
      <c r="M382" s="32"/>
    </row>
    <row r="383" spans="1:13" ht="15.2" customHeight="1" x14ac:dyDescent="0.2">
      <c r="A383" s="26" t="s">
        <v>11864</v>
      </c>
      <c r="B383" s="27" t="s">
        <v>11865</v>
      </c>
      <c r="C383" s="28">
        <v>1</v>
      </c>
      <c r="D383" s="29">
        <v>34</v>
      </c>
      <c r="E383" s="29">
        <v>34</v>
      </c>
      <c r="F383" s="30">
        <v>109</v>
      </c>
      <c r="G383" s="29">
        <v>109</v>
      </c>
      <c r="H383" s="28" t="s">
        <v>11866</v>
      </c>
      <c r="I383" s="27" t="s">
        <v>661</v>
      </c>
      <c r="J383" s="31" t="s">
        <v>230</v>
      </c>
      <c r="K383" s="27" t="s">
        <v>24</v>
      </c>
      <c r="L383" s="27" t="s">
        <v>25</v>
      </c>
      <c r="M383" s="32"/>
    </row>
    <row r="384" spans="1:13" ht="15.2" customHeight="1" x14ac:dyDescent="0.2">
      <c r="A384" s="26" t="s">
        <v>11867</v>
      </c>
      <c r="B384" s="27" t="s">
        <v>11868</v>
      </c>
      <c r="C384" s="28">
        <v>1</v>
      </c>
      <c r="D384" s="29">
        <v>33.369999999999997</v>
      </c>
      <c r="E384" s="29">
        <v>33.369999999999997</v>
      </c>
      <c r="F384" s="30">
        <v>89</v>
      </c>
      <c r="G384" s="29">
        <v>89</v>
      </c>
      <c r="H384" s="28">
        <v>7026076</v>
      </c>
      <c r="I384" s="27" t="s">
        <v>189</v>
      </c>
      <c r="J384" s="31" t="s">
        <v>2420</v>
      </c>
      <c r="K384" s="27" t="s">
        <v>462</v>
      </c>
      <c r="L384" s="27" t="s">
        <v>463</v>
      </c>
      <c r="M384" s="32"/>
    </row>
    <row r="385" spans="1:13" ht="15.2" customHeight="1" x14ac:dyDescent="0.2">
      <c r="A385" s="26" t="s">
        <v>955</v>
      </c>
      <c r="B385" s="27" t="s">
        <v>956</v>
      </c>
      <c r="C385" s="28">
        <v>1</v>
      </c>
      <c r="D385" s="29">
        <v>32</v>
      </c>
      <c r="E385" s="29">
        <v>32</v>
      </c>
      <c r="F385" s="30">
        <v>109</v>
      </c>
      <c r="G385" s="29">
        <v>109</v>
      </c>
      <c r="H385" s="28" t="s">
        <v>957</v>
      </c>
      <c r="I385" s="27" t="s">
        <v>59</v>
      </c>
      <c r="J385" s="31" t="s">
        <v>216</v>
      </c>
      <c r="K385" s="27" t="s">
        <v>24</v>
      </c>
      <c r="L385" s="27" t="s">
        <v>650</v>
      </c>
      <c r="M385" s="32"/>
    </row>
    <row r="386" spans="1:13" ht="15.2" customHeight="1" x14ac:dyDescent="0.2">
      <c r="A386" s="26" t="s">
        <v>11869</v>
      </c>
      <c r="B386" s="27" t="s">
        <v>7700</v>
      </c>
      <c r="C386" s="28">
        <v>1</v>
      </c>
      <c r="D386" s="29">
        <v>26.25</v>
      </c>
      <c r="E386" s="29">
        <v>26.25</v>
      </c>
      <c r="F386" s="30">
        <v>79</v>
      </c>
      <c r="G386" s="29">
        <v>79</v>
      </c>
      <c r="H386" s="28" t="s">
        <v>7701</v>
      </c>
      <c r="I386" s="27" t="s">
        <v>152</v>
      </c>
      <c r="J386" s="31"/>
      <c r="K386" s="27" t="s">
        <v>24</v>
      </c>
      <c r="L386" s="27" t="s">
        <v>67</v>
      </c>
      <c r="M386" s="32"/>
    </row>
    <row r="387" spans="1:13" ht="15.2" customHeight="1" x14ac:dyDescent="0.2">
      <c r="A387" s="26" t="s">
        <v>10624</v>
      </c>
      <c r="B387" s="27" t="s">
        <v>10625</v>
      </c>
      <c r="C387" s="28">
        <v>1</v>
      </c>
      <c r="D387" s="29">
        <v>26</v>
      </c>
      <c r="E387" s="29">
        <v>26</v>
      </c>
      <c r="F387" s="30">
        <v>79</v>
      </c>
      <c r="G387" s="29">
        <v>79</v>
      </c>
      <c r="H387" s="28" t="s">
        <v>467</v>
      </c>
      <c r="I387" s="27" t="s">
        <v>468</v>
      </c>
      <c r="J387" s="31" t="s">
        <v>23</v>
      </c>
      <c r="K387" s="27" t="s">
        <v>24</v>
      </c>
      <c r="L387" s="27" t="s">
        <v>25</v>
      </c>
      <c r="M387" s="32"/>
    </row>
    <row r="388" spans="1:13" ht="15.2" customHeight="1" x14ac:dyDescent="0.2">
      <c r="A388" s="26" t="s">
        <v>3046</v>
      </c>
      <c r="B388" s="27" t="s">
        <v>3047</v>
      </c>
      <c r="C388" s="28">
        <v>1</v>
      </c>
      <c r="D388" s="29">
        <v>26</v>
      </c>
      <c r="E388" s="29">
        <v>26</v>
      </c>
      <c r="F388" s="30">
        <v>79</v>
      </c>
      <c r="G388" s="29">
        <v>79</v>
      </c>
      <c r="H388" s="28" t="s">
        <v>467</v>
      </c>
      <c r="I388" s="27" t="s">
        <v>468</v>
      </c>
      <c r="J388" s="31" t="s">
        <v>230</v>
      </c>
      <c r="K388" s="27" t="s">
        <v>24</v>
      </c>
      <c r="L388" s="27" t="s">
        <v>25</v>
      </c>
      <c r="M388" s="32"/>
    </row>
    <row r="389" spans="1:13" ht="15.2" customHeight="1" x14ac:dyDescent="0.2">
      <c r="A389" s="26" t="s">
        <v>469</v>
      </c>
      <c r="B389" s="27" t="s">
        <v>470</v>
      </c>
      <c r="C389" s="28">
        <v>1</v>
      </c>
      <c r="D389" s="29">
        <v>26</v>
      </c>
      <c r="E389" s="29">
        <v>26</v>
      </c>
      <c r="F389" s="30">
        <v>79</v>
      </c>
      <c r="G389" s="29">
        <v>79</v>
      </c>
      <c r="H389" s="28" t="s">
        <v>467</v>
      </c>
      <c r="I389" s="27" t="s">
        <v>468</v>
      </c>
      <c r="J389" s="31" t="s">
        <v>216</v>
      </c>
      <c r="K389" s="27" t="s">
        <v>24</v>
      </c>
      <c r="L389" s="27" t="s">
        <v>25</v>
      </c>
      <c r="M389" s="32"/>
    </row>
    <row r="390" spans="1:13" ht="15.2" customHeight="1" x14ac:dyDescent="0.2">
      <c r="A390" s="26" t="s">
        <v>3044</v>
      </c>
      <c r="B390" s="27" t="s">
        <v>3045</v>
      </c>
      <c r="C390" s="28">
        <v>1</v>
      </c>
      <c r="D390" s="29">
        <v>26</v>
      </c>
      <c r="E390" s="29">
        <v>26</v>
      </c>
      <c r="F390" s="30">
        <v>79</v>
      </c>
      <c r="G390" s="29">
        <v>79</v>
      </c>
      <c r="H390" s="28" t="s">
        <v>467</v>
      </c>
      <c r="I390" s="27" t="s">
        <v>468</v>
      </c>
      <c r="J390" s="31" t="s">
        <v>69</v>
      </c>
      <c r="K390" s="27" t="s">
        <v>24</v>
      </c>
      <c r="L390" s="27" t="s">
        <v>25</v>
      </c>
      <c r="M390" s="32"/>
    </row>
    <row r="391" spans="1:13" ht="15.2" customHeight="1" x14ac:dyDescent="0.2">
      <c r="A391" s="26" t="s">
        <v>9763</v>
      </c>
      <c r="B391" s="27" t="s">
        <v>9764</v>
      </c>
      <c r="C391" s="28">
        <v>2</v>
      </c>
      <c r="D391" s="29">
        <v>26</v>
      </c>
      <c r="E391" s="29">
        <v>52</v>
      </c>
      <c r="F391" s="30">
        <v>79</v>
      </c>
      <c r="G391" s="29">
        <v>158</v>
      </c>
      <c r="H391" s="28" t="s">
        <v>467</v>
      </c>
      <c r="I391" s="27" t="s">
        <v>468</v>
      </c>
      <c r="J391" s="31" t="s">
        <v>234</v>
      </c>
      <c r="K391" s="27" t="s">
        <v>24</v>
      </c>
      <c r="L391" s="27" t="s">
        <v>25</v>
      </c>
      <c r="M391" s="32"/>
    </row>
    <row r="392" spans="1:13" ht="15.2" customHeight="1" x14ac:dyDescent="0.2">
      <c r="A392" s="26" t="s">
        <v>2719</v>
      </c>
      <c r="B392" s="27" t="s">
        <v>2720</v>
      </c>
      <c r="C392" s="28">
        <v>1</v>
      </c>
      <c r="D392" s="29">
        <v>23</v>
      </c>
      <c r="E392" s="29">
        <v>23</v>
      </c>
      <c r="F392" s="30">
        <v>59.5</v>
      </c>
      <c r="G392" s="29">
        <v>59.5</v>
      </c>
      <c r="H392" s="28" t="s">
        <v>1606</v>
      </c>
      <c r="I392" s="27" t="s">
        <v>152</v>
      </c>
      <c r="J392" s="31" t="s">
        <v>71</v>
      </c>
      <c r="K392" s="27" t="s">
        <v>17</v>
      </c>
      <c r="L392" s="27" t="s">
        <v>18</v>
      </c>
      <c r="M392" s="32"/>
    </row>
    <row r="393" spans="1:13" ht="15.2" customHeight="1" x14ac:dyDescent="0.2">
      <c r="A393" s="26" t="s">
        <v>3058</v>
      </c>
      <c r="B393" s="27" t="s">
        <v>3059</v>
      </c>
      <c r="C393" s="28">
        <v>1</v>
      </c>
      <c r="D393" s="29">
        <v>21.5</v>
      </c>
      <c r="E393" s="29">
        <v>21.5</v>
      </c>
      <c r="F393" s="30">
        <v>69</v>
      </c>
      <c r="G393" s="29">
        <v>69</v>
      </c>
      <c r="H393" s="28" t="s">
        <v>3060</v>
      </c>
      <c r="I393" s="27" t="s">
        <v>4</v>
      </c>
      <c r="J393" s="31" t="s">
        <v>21</v>
      </c>
      <c r="K393" s="27" t="s">
        <v>24</v>
      </c>
      <c r="L393" s="27" t="s">
        <v>999</v>
      </c>
      <c r="M393" s="32"/>
    </row>
    <row r="394" spans="1:13" ht="15.2" customHeight="1" x14ac:dyDescent="0.2">
      <c r="A394" s="26" t="s">
        <v>10626</v>
      </c>
      <c r="B394" s="27" t="s">
        <v>10627</v>
      </c>
      <c r="C394" s="28">
        <v>1</v>
      </c>
      <c r="D394" s="29">
        <v>21.5</v>
      </c>
      <c r="E394" s="29">
        <v>21.5</v>
      </c>
      <c r="F394" s="30">
        <v>69</v>
      </c>
      <c r="G394" s="29">
        <v>69</v>
      </c>
      <c r="H394" s="28" t="s">
        <v>3060</v>
      </c>
      <c r="I394" s="27" t="s">
        <v>4</v>
      </c>
      <c r="J394" s="31" t="s">
        <v>71</v>
      </c>
      <c r="K394" s="27" t="s">
        <v>24</v>
      </c>
      <c r="L394" s="27" t="s">
        <v>999</v>
      </c>
      <c r="M394" s="32"/>
    </row>
    <row r="395" spans="1:13" ht="15.2" customHeight="1" x14ac:dyDescent="0.2">
      <c r="A395" s="26" t="s">
        <v>11870</v>
      </c>
      <c r="B395" s="27" t="s">
        <v>11871</v>
      </c>
      <c r="C395" s="28">
        <v>1</v>
      </c>
      <c r="D395" s="29">
        <v>21.5</v>
      </c>
      <c r="E395" s="29">
        <v>21.5</v>
      </c>
      <c r="F395" s="30">
        <v>69</v>
      </c>
      <c r="G395" s="29">
        <v>69</v>
      </c>
      <c r="H395" s="28" t="s">
        <v>968</v>
      </c>
      <c r="I395" s="27" t="s">
        <v>49</v>
      </c>
      <c r="J395" s="31" t="s">
        <v>5</v>
      </c>
      <c r="K395" s="27" t="s">
        <v>24</v>
      </c>
      <c r="L395" s="27" t="s">
        <v>25</v>
      </c>
      <c r="M395" s="32"/>
    </row>
    <row r="396" spans="1:13" ht="15.2" customHeight="1" x14ac:dyDescent="0.2">
      <c r="A396" s="26" t="s">
        <v>11872</v>
      </c>
      <c r="B396" s="27" t="s">
        <v>11873</v>
      </c>
      <c r="C396" s="28">
        <v>1</v>
      </c>
      <c r="D396" s="29">
        <v>21</v>
      </c>
      <c r="E396" s="29">
        <v>21</v>
      </c>
      <c r="F396" s="30">
        <v>69</v>
      </c>
      <c r="G396" s="29">
        <v>69</v>
      </c>
      <c r="H396" s="28" t="s">
        <v>1106</v>
      </c>
      <c r="I396" s="27" t="s">
        <v>248</v>
      </c>
      <c r="J396" s="31" t="s">
        <v>214</v>
      </c>
      <c r="K396" s="27" t="s">
        <v>24</v>
      </c>
      <c r="L396" s="27" t="s">
        <v>155</v>
      </c>
      <c r="M396" s="32"/>
    </row>
    <row r="397" spans="1:13" ht="15.2" customHeight="1" x14ac:dyDescent="0.2">
      <c r="A397" s="26" t="s">
        <v>973</v>
      </c>
      <c r="B397" s="27" t="s">
        <v>974</v>
      </c>
      <c r="C397" s="28">
        <v>1</v>
      </c>
      <c r="D397" s="29">
        <v>19.5</v>
      </c>
      <c r="E397" s="29">
        <v>19.5</v>
      </c>
      <c r="F397" s="30">
        <v>49.99</v>
      </c>
      <c r="G397" s="29">
        <v>49.99</v>
      </c>
      <c r="H397" s="28" t="s">
        <v>975</v>
      </c>
      <c r="I397" s="27" t="s">
        <v>36</v>
      </c>
      <c r="J397" s="31" t="s">
        <v>52</v>
      </c>
      <c r="K397" s="27" t="s">
        <v>70</v>
      </c>
      <c r="L397" s="27" t="s">
        <v>485</v>
      </c>
      <c r="M397" s="32"/>
    </row>
    <row r="398" spans="1:13" ht="15.2" customHeight="1" x14ac:dyDescent="0.2">
      <c r="A398" s="26" t="s">
        <v>6073</v>
      </c>
      <c r="B398" s="27" t="s">
        <v>6074</v>
      </c>
      <c r="C398" s="28">
        <v>1</v>
      </c>
      <c r="D398" s="29">
        <v>19</v>
      </c>
      <c r="E398" s="29">
        <v>19</v>
      </c>
      <c r="F398" s="30">
        <v>49.5</v>
      </c>
      <c r="G398" s="29">
        <v>49.5</v>
      </c>
      <c r="H398" s="28" t="s">
        <v>1614</v>
      </c>
      <c r="I398" s="27" t="s">
        <v>144</v>
      </c>
      <c r="J398" s="31" t="s">
        <v>71</v>
      </c>
      <c r="K398" s="27" t="s">
        <v>17</v>
      </c>
      <c r="L398" s="27" t="s">
        <v>18</v>
      </c>
      <c r="M398" s="32"/>
    </row>
    <row r="399" spans="1:13" ht="15.2" customHeight="1" x14ac:dyDescent="0.2">
      <c r="A399" s="26" t="s">
        <v>11874</v>
      </c>
      <c r="B399" s="27" t="s">
        <v>1616</v>
      </c>
      <c r="C399" s="28">
        <v>1</v>
      </c>
      <c r="D399" s="29">
        <v>18.75</v>
      </c>
      <c r="E399" s="29">
        <v>18.75</v>
      </c>
      <c r="F399" s="30">
        <v>59</v>
      </c>
      <c r="G399" s="29">
        <v>59</v>
      </c>
      <c r="H399" s="28" t="s">
        <v>1127</v>
      </c>
      <c r="I399" s="27" t="s">
        <v>36</v>
      </c>
      <c r="J399" s="31"/>
      <c r="K399" s="27" t="s">
        <v>37</v>
      </c>
      <c r="L399" s="27" t="s">
        <v>38</v>
      </c>
      <c r="M399" s="32"/>
    </row>
    <row r="400" spans="1:13" ht="15.2" customHeight="1" x14ac:dyDescent="0.2">
      <c r="A400" s="26" t="s">
        <v>9843</v>
      </c>
      <c r="B400" s="27" t="s">
        <v>7602</v>
      </c>
      <c r="C400" s="28">
        <v>1</v>
      </c>
      <c r="D400" s="29">
        <v>17.5</v>
      </c>
      <c r="E400" s="29">
        <v>17.5</v>
      </c>
      <c r="F400" s="30">
        <v>44.99</v>
      </c>
      <c r="G400" s="29">
        <v>44.99</v>
      </c>
      <c r="H400" s="28" t="s">
        <v>7603</v>
      </c>
      <c r="I400" s="27" t="s">
        <v>59</v>
      </c>
      <c r="J400" s="31" t="s">
        <v>21</v>
      </c>
      <c r="K400" s="27" t="s">
        <v>70</v>
      </c>
      <c r="L400" s="27" t="s">
        <v>101</v>
      </c>
      <c r="M400" s="32"/>
    </row>
    <row r="401" spans="1:13" ht="15.2" customHeight="1" x14ac:dyDescent="0.2">
      <c r="A401" s="26" t="s">
        <v>11875</v>
      </c>
      <c r="B401" s="27" t="s">
        <v>11876</v>
      </c>
      <c r="C401" s="28">
        <v>1</v>
      </c>
      <c r="D401" s="29">
        <v>17</v>
      </c>
      <c r="E401" s="29">
        <v>17</v>
      </c>
      <c r="F401" s="30">
        <v>44.5</v>
      </c>
      <c r="G401" s="29">
        <v>44.5</v>
      </c>
      <c r="H401" s="28" t="s">
        <v>501</v>
      </c>
      <c r="I401" s="27" t="s">
        <v>285</v>
      </c>
      <c r="J401" s="31" t="s">
        <v>21</v>
      </c>
      <c r="K401" s="27" t="s">
        <v>17</v>
      </c>
      <c r="L401" s="27" t="s">
        <v>18</v>
      </c>
      <c r="M401" s="32"/>
    </row>
    <row r="402" spans="1:13" ht="15.2" customHeight="1" x14ac:dyDescent="0.2">
      <c r="A402" s="26" t="s">
        <v>11877</v>
      </c>
      <c r="B402" s="27" t="s">
        <v>11878</v>
      </c>
      <c r="C402" s="28">
        <v>1</v>
      </c>
      <c r="D402" s="29">
        <v>16.5</v>
      </c>
      <c r="E402" s="29">
        <v>16.5</v>
      </c>
      <c r="F402" s="30">
        <v>49</v>
      </c>
      <c r="G402" s="29">
        <v>49</v>
      </c>
      <c r="H402" s="28" t="s">
        <v>11879</v>
      </c>
      <c r="I402" s="27" t="s">
        <v>4</v>
      </c>
      <c r="J402" s="31" t="s">
        <v>40</v>
      </c>
      <c r="K402" s="27" t="s">
        <v>510</v>
      </c>
      <c r="L402" s="27" t="s">
        <v>511</v>
      </c>
      <c r="M402" s="32"/>
    </row>
    <row r="403" spans="1:13" ht="15.2" customHeight="1" x14ac:dyDescent="0.2">
      <c r="A403" s="26" t="s">
        <v>11880</v>
      </c>
      <c r="B403" s="27" t="s">
        <v>8159</v>
      </c>
      <c r="C403" s="28">
        <v>1</v>
      </c>
      <c r="D403" s="29">
        <v>15.4</v>
      </c>
      <c r="E403" s="29">
        <v>15.4</v>
      </c>
      <c r="F403" s="30">
        <v>44</v>
      </c>
      <c r="G403" s="29">
        <v>44</v>
      </c>
      <c r="H403" s="28" t="s">
        <v>8160</v>
      </c>
      <c r="I403" s="27" t="s">
        <v>82</v>
      </c>
      <c r="J403" s="31" t="s">
        <v>40</v>
      </c>
      <c r="K403" s="27" t="s">
        <v>37</v>
      </c>
      <c r="L403" s="27" t="s">
        <v>38</v>
      </c>
      <c r="M403" s="32"/>
    </row>
    <row r="404" spans="1:13" ht="15.2" customHeight="1" x14ac:dyDescent="0.2">
      <c r="A404" s="26" t="s">
        <v>2741</v>
      </c>
      <c r="B404" s="27" t="s">
        <v>2742</v>
      </c>
      <c r="C404" s="28">
        <v>1</v>
      </c>
      <c r="D404" s="29">
        <v>15.25</v>
      </c>
      <c r="E404" s="29">
        <v>15.25</v>
      </c>
      <c r="F404" s="30">
        <v>44</v>
      </c>
      <c r="G404" s="29">
        <v>44</v>
      </c>
      <c r="H404" s="28" t="s">
        <v>2743</v>
      </c>
      <c r="I404" s="27" t="s">
        <v>36</v>
      </c>
      <c r="J404" s="31" t="s">
        <v>21</v>
      </c>
      <c r="K404" s="27" t="s">
        <v>37</v>
      </c>
      <c r="L404" s="27" t="s">
        <v>38</v>
      </c>
      <c r="M404" s="32"/>
    </row>
    <row r="405" spans="1:13" ht="15.2" customHeight="1" x14ac:dyDescent="0.2">
      <c r="A405" s="26" t="s">
        <v>11881</v>
      </c>
      <c r="B405" s="27" t="s">
        <v>11882</v>
      </c>
      <c r="C405" s="28">
        <v>1</v>
      </c>
      <c r="D405" s="29">
        <v>15.24</v>
      </c>
      <c r="E405" s="29">
        <v>15.24</v>
      </c>
      <c r="F405" s="30">
        <v>39.5</v>
      </c>
      <c r="G405" s="29">
        <v>39.5</v>
      </c>
      <c r="H405" s="28" t="s">
        <v>11883</v>
      </c>
      <c r="I405" s="27" t="s">
        <v>4</v>
      </c>
      <c r="J405" s="31" t="s">
        <v>5</v>
      </c>
      <c r="K405" s="27" t="s">
        <v>41</v>
      </c>
      <c r="L405" s="27" t="s">
        <v>68</v>
      </c>
      <c r="M405" s="32"/>
    </row>
    <row r="406" spans="1:13" ht="15.2" customHeight="1" x14ac:dyDescent="0.2">
      <c r="A406" s="26" t="s">
        <v>10342</v>
      </c>
      <c r="B406" s="27" t="s">
        <v>2468</v>
      </c>
      <c r="C406" s="28">
        <v>1</v>
      </c>
      <c r="D406" s="29">
        <v>13.5</v>
      </c>
      <c r="E406" s="29">
        <v>13.5</v>
      </c>
      <c r="F406" s="30">
        <v>29.99</v>
      </c>
      <c r="G406" s="29">
        <v>29.99</v>
      </c>
      <c r="H406" s="28" t="s">
        <v>1190</v>
      </c>
      <c r="I406" s="27" t="s">
        <v>690</v>
      </c>
      <c r="J406" s="31" t="s">
        <v>230</v>
      </c>
      <c r="K406" s="27" t="s">
        <v>200</v>
      </c>
      <c r="L406" s="27" t="s">
        <v>287</v>
      </c>
      <c r="M406" s="32"/>
    </row>
    <row r="407" spans="1:13" ht="15.2" customHeight="1" x14ac:dyDescent="0.2">
      <c r="A407" s="26" t="s">
        <v>11884</v>
      </c>
      <c r="B407" s="27" t="s">
        <v>2468</v>
      </c>
      <c r="C407" s="28">
        <v>1</v>
      </c>
      <c r="D407" s="29">
        <v>13.5</v>
      </c>
      <c r="E407" s="29">
        <v>13.5</v>
      </c>
      <c r="F407" s="30">
        <v>29.99</v>
      </c>
      <c r="G407" s="29">
        <v>29.99</v>
      </c>
      <c r="H407" s="28" t="s">
        <v>1190</v>
      </c>
      <c r="I407" s="27" t="s">
        <v>690</v>
      </c>
      <c r="J407" s="31" t="s">
        <v>216</v>
      </c>
      <c r="K407" s="27" t="s">
        <v>200</v>
      </c>
      <c r="L407" s="27" t="s">
        <v>287</v>
      </c>
      <c r="M407" s="32"/>
    </row>
    <row r="408" spans="1:13" ht="15.2" customHeight="1" x14ac:dyDescent="0.2">
      <c r="A408" s="26" t="s">
        <v>8340</v>
      </c>
      <c r="B408" s="27" t="s">
        <v>8341</v>
      </c>
      <c r="C408" s="28">
        <v>1</v>
      </c>
      <c r="D408" s="29">
        <v>12.08</v>
      </c>
      <c r="E408" s="29">
        <v>12.08</v>
      </c>
      <c r="F408" s="30">
        <v>27.99</v>
      </c>
      <c r="G408" s="29">
        <v>27.99</v>
      </c>
      <c r="H408" s="28" t="s">
        <v>558</v>
      </c>
      <c r="I408" s="27" t="s">
        <v>280</v>
      </c>
      <c r="J408" s="31" t="s">
        <v>71</v>
      </c>
      <c r="K408" s="27" t="s">
        <v>224</v>
      </c>
      <c r="L408" s="27" t="s">
        <v>237</v>
      </c>
      <c r="M408" s="32"/>
    </row>
    <row r="409" spans="1:13" ht="15.2" customHeight="1" x14ac:dyDescent="0.2">
      <c r="A409" s="26" t="s">
        <v>8869</v>
      </c>
      <c r="B409" s="27" t="s">
        <v>8870</v>
      </c>
      <c r="C409" s="28">
        <v>1</v>
      </c>
      <c r="D409" s="29">
        <v>12</v>
      </c>
      <c r="E409" s="29">
        <v>12</v>
      </c>
      <c r="F409" s="30">
        <v>28.99</v>
      </c>
      <c r="G409" s="29">
        <v>28.99</v>
      </c>
      <c r="H409" s="28" t="s">
        <v>3578</v>
      </c>
      <c r="I409" s="27" t="s">
        <v>94</v>
      </c>
      <c r="J409" s="31" t="s">
        <v>5</v>
      </c>
      <c r="K409" s="27" t="s">
        <v>70</v>
      </c>
      <c r="L409" s="27" t="s">
        <v>1079</v>
      </c>
      <c r="M409" s="32"/>
    </row>
    <row r="410" spans="1:13" ht="15.2" customHeight="1" x14ac:dyDescent="0.2">
      <c r="A410" s="26" t="s">
        <v>8342</v>
      </c>
      <c r="B410" s="27" t="s">
        <v>8343</v>
      </c>
      <c r="C410" s="28">
        <v>1</v>
      </c>
      <c r="D410" s="29">
        <v>12</v>
      </c>
      <c r="E410" s="29">
        <v>12</v>
      </c>
      <c r="F410" s="30">
        <v>39</v>
      </c>
      <c r="G410" s="29">
        <v>39</v>
      </c>
      <c r="H410" s="28" t="s">
        <v>8344</v>
      </c>
      <c r="I410" s="27" t="s">
        <v>4</v>
      </c>
      <c r="J410" s="31" t="s">
        <v>40</v>
      </c>
      <c r="K410" s="27" t="s">
        <v>154</v>
      </c>
      <c r="L410" s="27" t="s">
        <v>155</v>
      </c>
      <c r="M410" s="32"/>
    </row>
    <row r="411" spans="1:13" ht="15.2" customHeight="1" x14ac:dyDescent="0.2">
      <c r="A411" s="26" t="s">
        <v>5298</v>
      </c>
      <c r="B411" s="27" t="s">
        <v>5299</v>
      </c>
      <c r="C411" s="28">
        <v>1</v>
      </c>
      <c r="D411" s="29">
        <v>11</v>
      </c>
      <c r="E411" s="29">
        <v>11</v>
      </c>
      <c r="F411" s="30">
        <v>25.99</v>
      </c>
      <c r="G411" s="29">
        <v>25.99</v>
      </c>
      <c r="H411" s="28" t="s">
        <v>5300</v>
      </c>
      <c r="I411" s="27" t="s">
        <v>144</v>
      </c>
      <c r="J411" s="31" t="s">
        <v>21</v>
      </c>
      <c r="K411" s="27" t="s">
        <v>200</v>
      </c>
      <c r="L411" s="27" t="s">
        <v>804</v>
      </c>
      <c r="M411" s="32"/>
    </row>
    <row r="412" spans="1:13" ht="15.2" customHeight="1" x14ac:dyDescent="0.2">
      <c r="A412" s="26" t="s">
        <v>11885</v>
      </c>
      <c r="B412" s="27" t="s">
        <v>11886</v>
      </c>
      <c r="C412" s="28">
        <v>1</v>
      </c>
      <c r="D412" s="29">
        <v>10.5</v>
      </c>
      <c r="E412" s="29">
        <v>10.5</v>
      </c>
      <c r="F412" s="30">
        <v>25.99</v>
      </c>
      <c r="G412" s="29">
        <v>25.99</v>
      </c>
      <c r="H412" s="28" t="s">
        <v>11887</v>
      </c>
      <c r="I412" s="27" t="s">
        <v>146</v>
      </c>
      <c r="J412" s="31" t="s">
        <v>71</v>
      </c>
      <c r="K412" s="27" t="s">
        <v>200</v>
      </c>
      <c r="L412" s="27" t="s">
        <v>804</v>
      </c>
      <c r="M412" s="32"/>
    </row>
    <row r="413" spans="1:13" ht="15.2" customHeight="1" x14ac:dyDescent="0.2">
      <c r="A413" s="26" t="s">
        <v>11888</v>
      </c>
      <c r="B413" s="27" t="s">
        <v>11889</v>
      </c>
      <c r="C413" s="28">
        <v>1</v>
      </c>
      <c r="D413" s="29">
        <v>10.5</v>
      </c>
      <c r="E413" s="29">
        <v>10.5</v>
      </c>
      <c r="F413" s="30">
        <v>24.99</v>
      </c>
      <c r="G413" s="29">
        <v>24.99</v>
      </c>
      <c r="H413" s="28" t="s">
        <v>11582</v>
      </c>
      <c r="I413" s="27" t="s">
        <v>374</v>
      </c>
      <c r="J413" s="31" t="s">
        <v>71</v>
      </c>
      <c r="K413" s="27" t="s">
        <v>196</v>
      </c>
      <c r="L413" s="27" t="s">
        <v>225</v>
      </c>
      <c r="M413" s="32"/>
    </row>
    <row r="414" spans="1:13" ht="15.2" customHeight="1" x14ac:dyDescent="0.2">
      <c r="A414" s="26" t="s">
        <v>11890</v>
      </c>
      <c r="B414" s="27" t="s">
        <v>11891</v>
      </c>
      <c r="C414" s="28">
        <v>1</v>
      </c>
      <c r="D414" s="29">
        <v>10.5</v>
      </c>
      <c r="E414" s="29">
        <v>10.5</v>
      </c>
      <c r="F414" s="30">
        <v>24.99</v>
      </c>
      <c r="G414" s="29">
        <v>24.99</v>
      </c>
      <c r="H414" s="28" t="s">
        <v>8430</v>
      </c>
      <c r="I414" s="27" t="s">
        <v>1280</v>
      </c>
      <c r="J414" s="31" t="s">
        <v>5</v>
      </c>
      <c r="K414" s="27" t="s">
        <v>196</v>
      </c>
      <c r="L414" s="27" t="s">
        <v>225</v>
      </c>
      <c r="M414" s="32"/>
    </row>
    <row r="415" spans="1:13" ht="15.2" customHeight="1" x14ac:dyDescent="0.2">
      <c r="A415" s="26" t="s">
        <v>11892</v>
      </c>
      <c r="B415" s="27" t="s">
        <v>11893</v>
      </c>
      <c r="C415" s="28">
        <v>1</v>
      </c>
      <c r="D415" s="29">
        <v>10.5</v>
      </c>
      <c r="E415" s="29">
        <v>10.5</v>
      </c>
      <c r="F415" s="30">
        <v>22.99</v>
      </c>
      <c r="G415" s="29">
        <v>22.99</v>
      </c>
      <c r="H415" s="28" t="s">
        <v>11894</v>
      </c>
      <c r="I415" s="27" t="s">
        <v>59</v>
      </c>
      <c r="J415" s="31" t="s">
        <v>69</v>
      </c>
      <c r="K415" s="27" t="s">
        <v>200</v>
      </c>
      <c r="L415" s="27" t="s">
        <v>1196</v>
      </c>
      <c r="M415" s="32"/>
    </row>
    <row r="416" spans="1:13" ht="15.2" customHeight="1" x14ac:dyDescent="0.2">
      <c r="A416" s="26" t="s">
        <v>2024</v>
      </c>
      <c r="B416" s="27" t="s">
        <v>2025</v>
      </c>
      <c r="C416" s="28">
        <v>1</v>
      </c>
      <c r="D416" s="29">
        <v>10.5</v>
      </c>
      <c r="E416" s="29">
        <v>10.5</v>
      </c>
      <c r="F416" s="30">
        <v>24.99</v>
      </c>
      <c r="G416" s="29">
        <v>24.99</v>
      </c>
      <c r="H416" s="28" t="s">
        <v>1043</v>
      </c>
      <c r="I416" s="27" t="s">
        <v>238</v>
      </c>
      <c r="J416" s="31" t="s">
        <v>71</v>
      </c>
      <c r="K416" s="27" t="s">
        <v>224</v>
      </c>
      <c r="L416" s="27" t="s">
        <v>239</v>
      </c>
      <c r="M416" s="32"/>
    </row>
    <row r="417" spans="1:13" ht="15.2" customHeight="1" x14ac:dyDescent="0.2">
      <c r="A417" s="26" t="s">
        <v>2766</v>
      </c>
      <c r="B417" s="27" t="s">
        <v>2767</v>
      </c>
      <c r="C417" s="28">
        <v>1</v>
      </c>
      <c r="D417" s="29">
        <v>10.5</v>
      </c>
      <c r="E417" s="29">
        <v>10.5</v>
      </c>
      <c r="F417" s="30">
        <v>24.99</v>
      </c>
      <c r="G417" s="29">
        <v>24.99</v>
      </c>
      <c r="H417" s="28" t="s">
        <v>1043</v>
      </c>
      <c r="I417" s="27" t="s">
        <v>238</v>
      </c>
      <c r="J417" s="31" t="s">
        <v>40</v>
      </c>
      <c r="K417" s="27" t="s">
        <v>224</v>
      </c>
      <c r="L417" s="27" t="s">
        <v>239</v>
      </c>
      <c r="M417" s="32"/>
    </row>
    <row r="418" spans="1:13" ht="15.2" customHeight="1" x14ac:dyDescent="0.2">
      <c r="A418" s="26" t="s">
        <v>9393</v>
      </c>
      <c r="B418" s="27" t="s">
        <v>9394</v>
      </c>
      <c r="C418" s="28">
        <v>1</v>
      </c>
      <c r="D418" s="29">
        <v>10.5</v>
      </c>
      <c r="E418" s="29">
        <v>10.5</v>
      </c>
      <c r="F418" s="30">
        <v>24.99</v>
      </c>
      <c r="G418" s="29">
        <v>24.99</v>
      </c>
      <c r="H418" s="28" t="s">
        <v>1043</v>
      </c>
      <c r="I418" s="27" t="s">
        <v>4</v>
      </c>
      <c r="J418" s="31" t="s">
        <v>52</v>
      </c>
      <c r="K418" s="27" t="s">
        <v>224</v>
      </c>
      <c r="L418" s="27" t="s">
        <v>239</v>
      </c>
      <c r="M418" s="32"/>
    </row>
    <row r="419" spans="1:13" ht="15.2" customHeight="1" x14ac:dyDescent="0.2">
      <c r="A419" s="26" t="s">
        <v>2517</v>
      </c>
      <c r="B419" s="27" t="s">
        <v>2518</v>
      </c>
      <c r="C419" s="28">
        <v>1</v>
      </c>
      <c r="D419" s="29">
        <v>8.9</v>
      </c>
      <c r="E419" s="29">
        <v>8.9</v>
      </c>
      <c r="F419" s="30">
        <v>19.989999999999998</v>
      </c>
      <c r="G419" s="29">
        <v>19.989999999999998</v>
      </c>
      <c r="H419" s="28" t="s">
        <v>1362</v>
      </c>
      <c r="I419" s="27" t="s">
        <v>248</v>
      </c>
      <c r="J419" s="31" t="s">
        <v>52</v>
      </c>
      <c r="K419" s="27" t="s">
        <v>224</v>
      </c>
      <c r="L419" s="27" t="s">
        <v>276</v>
      </c>
      <c r="M419" s="32"/>
    </row>
    <row r="420" spans="1:13" ht="15.2" customHeight="1" x14ac:dyDescent="0.2">
      <c r="A420" s="26" t="s">
        <v>6370</v>
      </c>
      <c r="B420" s="27" t="s">
        <v>6371</v>
      </c>
      <c r="C420" s="28">
        <v>1</v>
      </c>
      <c r="D420" s="29">
        <v>8.9</v>
      </c>
      <c r="E420" s="29">
        <v>8.9</v>
      </c>
      <c r="F420" s="30">
        <v>19.989999999999998</v>
      </c>
      <c r="G420" s="29">
        <v>19.989999999999998</v>
      </c>
      <c r="H420" s="28" t="s">
        <v>1362</v>
      </c>
      <c r="I420" s="27" t="s">
        <v>248</v>
      </c>
      <c r="J420" s="31" t="s">
        <v>5</v>
      </c>
      <c r="K420" s="27" t="s">
        <v>224</v>
      </c>
      <c r="L420" s="27" t="s">
        <v>276</v>
      </c>
      <c r="M420" s="32"/>
    </row>
    <row r="421" spans="1:13" ht="15.2" customHeight="1" x14ac:dyDescent="0.2">
      <c r="A421" s="26" t="s">
        <v>11895</v>
      </c>
      <c r="B421" s="27" t="s">
        <v>1064</v>
      </c>
      <c r="C421" s="28">
        <v>1</v>
      </c>
      <c r="D421" s="29">
        <v>8.25</v>
      </c>
      <c r="E421" s="29">
        <v>8.25</v>
      </c>
      <c r="F421" s="30">
        <v>19.989999999999998</v>
      </c>
      <c r="G421" s="29">
        <v>19.989999999999998</v>
      </c>
      <c r="H421" s="28" t="s">
        <v>1065</v>
      </c>
      <c r="I421" s="27" t="s">
        <v>26</v>
      </c>
      <c r="J421" s="31" t="s">
        <v>71</v>
      </c>
      <c r="K421" s="27" t="s">
        <v>196</v>
      </c>
      <c r="L421" s="27" t="s">
        <v>256</v>
      </c>
      <c r="M421" s="32"/>
    </row>
    <row r="422" spans="1:13" ht="15.2" customHeight="1" x14ac:dyDescent="0.2">
      <c r="A422" s="26" t="s">
        <v>1683</v>
      </c>
      <c r="B422" s="27" t="s">
        <v>1684</v>
      </c>
      <c r="C422" s="28">
        <v>1</v>
      </c>
      <c r="D422" s="29">
        <v>8.25</v>
      </c>
      <c r="E422" s="29">
        <v>8.25</v>
      </c>
      <c r="F422" s="30">
        <v>22.99</v>
      </c>
      <c r="G422" s="29">
        <v>22.99</v>
      </c>
      <c r="H422" s="28" t="s">
        <v>1680</v>
      </c>
      <c r="I422" s="27" t="s">
        <v>1</v>
      </c>
      <c r="J422" s="31" t="s">
        <v>205</v>
      </c>
      <c r="K422" s="27" t="s">
        <v>200</v>
      </c>
      <c r="L422" s="27" t="s">
        <v>1201</v>
      </c>
      <c r="M422" s="32"/>
    </row>
    <row r="423" spans="1:13" ht="15.2" customHeight="1" x14ac:dyDescent="0.2">
      <c r="A423" s="26" t="s">
        <v>5520</v>
      </c>
      <c r="B423" s="27" t="s">
        <v>2067</v>
      </c>
      <c r="C423" s="28">
        <v>1</v>
      </c>
      <c r="D423" s="29">
        <v>6.3</v>
      </c>
      <c r="E423" s="29">
        <v>6.3</v>
      </c>
      <c r="F423" s="30">
        <v>14.99</v>
      </c>
      <c r="G423" s="29">
        <v>14.99</v>
      </c>
      <c r="H423" s="28" t="s">
        <v>2068</v>
      </c>
      <c r="I423" s="27" t="s">
        <v>82</v>
      </c>
      <c r="J423" s="31" t="s">
        <v>40</v>
      </c>
      <c r="K423" s="27" t="s">
        <v>159</v>
      </c>
      <c r="L423" s="27" t="s">
        <v>160</v>
      </c>
      <c r="M423" s="32"/>
    </row>
    <row r="424" spans="1:13" ht="15.2" customHeight="1" x14ac:dyDescent="0.2">
      <c r="A424" s="26" t="s">
        <v>9846</v>
      </c>
      <c r="B424" s="27" t="s">
        <v>2067</v>
      </c>
      <c r="C424" s="28">
        <v>1</v>
      </c>
      <c r="D424" s="29">
        <v>6.3</v>
      </c>
      <c r="E424" s="29">
        <v>6.3</v>
      </c>
      <c r="F424" s="30">
        <v>14.99</v>
      </c>
      <c r="G424" s="29">
        <v>14.99</v>
      </c>
      <c r="H424" s="28" t="s">
        <v>2068</v>
      </c>
      <c r="I424" s="27" t="s">
        <v>82</v>
      </c>
      <c r="J424" s="31" t="s">
        <v>71</v>
      </c>
      <c r="K424" s="27" t="s">
        <v>159</v>
      </c>
      <c r="L424" s="27" t="s">
        <v>160</v>
      </c>
      <c r="M424" s="32"/>
    </row>
    <row r="425" spans="1:13" ht="15.2" customHeight="1" x14ac:dyDescent="0.2">
      <c r="A425" s="26" t="s">
        <v>1706</v>
      </c>
      <c r="B425" s="27" t="s">
        <v>1702</v>
      </c>
      <c r="C425" s="28">
        <v>1</v>
      </c>
      <c r="D425" s="29">
        <v>5.75</v>
      </c>
      <c r="E425" s="29">
        <v>5.75</v>
      </c>
      <c r="F425" s="30">
        <v>12.99</v>
      </c>
      <c r="G425" s="29">
        <v>12.99</v>
      </c>
      <c r="H425" s="28" t="s">
        <v>1703</v>
      </c>
      <c r="I425" s="27" t="s">
        <v>248</v>
      </c>
      <c r="J425" s="31" t="s">
        <v>52</v>
      </c>
      <c r="K425" s="27" t="s">
        <v>282</v>
      </c>
      <c r="L425" s="27" t="s">
        <v>386</v>
      </c>
      <c r="M425" s="32"/>
    </row>
    <row r="426" spans="1:13" ht="15.2" customHeight="1" x14ac:dyDescent="0.2">
      <c r="A426" s="26" t="s">
        <v>1698</v>
      </c>
      <c r="B426" s="27" t="s">
        <v>1699</v>
      </c>
      <c r="C426" s="28">
        <v>2</v>
      </c>
      <c r="D426" s="29">
        <v>5.75</v>
      </c>
      <c r="E426" s="29">
        <v>11.5</v>
      </c>
      <c r="F426" s="30">
        <v>12.99</v>
      </c>
      <c r="G426" s="29">
        <v>25.98</v>
      </c>
      <c r="H426" s="28" t="s">
        <v>1700</v>
      </c>
      <c r="I426" s="27" t="s">
        <v>82</v>
      </c>
      <c r="J426" s="31" t="s">
        <v>5</v>
      </c>
      <c r="K426" s="27" t="s">
        <v>282</v>
      </c>
      <c r="L426" s="27" t="s">
        <v>386</v>
      </c>
      <c r="M426" s="32"/>
    </row>
    <row r="427" spans="1:13" ht="15.2" customHeight="1" x14ac:dyDescent="0.2">
      <c r="A427" s="26" t="s">
        <v>1707</v>
      </c>
      <c r="B427" s="27" t="s">
        <v>1702</v>
      </c>
      <c r="C427" s="28">
        <v>1</v>
      </c>
      <c r="D427" s="29">
        <v>5.75</v>
      </c>
      <c r="E427" s="29">
        <v>5.75</v>
      </c>
      <c r="F427" s="30">
        <v>12.99</v>
      </c>
      <c r="G427" s="29">
        <v>12.99</v>
      </c>
      <c r="H427" s="28" t="s">
        <v>1703</v>
      </c>
      <c r="I427" s="27" t="s">
        <v>248</v>
      </c>
      <c r="J427" s="31" t="s">
        <v>21</v>
      </c>
      <c r="K427" s="27" t="s">
        <v>282</v>
      </c>
      <c r="L427" s="27" t="s">
        <v>386</v>
      </c>
      <c r="M427" s="32"/>
    </row>
    <row r="428" spans="1:13" ht="15.2" customHeight="1" x14ac:dyDescent="0.2">
      <c r="A428" s="26" t="s">
        <v>1704</v>
      </c>
      <c r="B428" s="27" t="s">
        <v>1702</v>
      </c>
      <c r="C428" s="28">
        <v>1</v>
      </c>
      <c r="D428" s="29">
        <v>5.75</v>
      </c>
      <c r="E428" s="29">
        <v>5.75</v>
      </c>
      <c r="F428" s="30">
        <v>12.99</v>
      </c>
      <c r="G428" s="29">
        <v>12.99</v>
      </c>
      <c r="H428" s="28" t="s">
        <v>1703</v>
      </c>
      <c r="I428" s="27" t="s">
        <v>248</v>
      </c>
      <c r="J428" s="31" t="s">
        <v>71</v>
      </c>
      <c r="K428" s="27" t="s">
        <v>282</v>
      </c>
      <c r="L428" s="27" t="s">
        <v>386</v>
      </c>
      <c r="M428" s="32"/>
    </row>
    <row r="429" spans="1:13" ht="15.2" customHeight="1" x14ac:dyDescent="0.2">
      <c r="A429" s="26" t="s">
        <v>1701</v>
      </c>
      <c r="B429" s="27" t="s">
        <v>1702</v>
      </c>
      <c r="C429" s="28">
        <v>1</v>
      </c>
      <c r="D429" s="29">
        <v>5.75</v>
      </c>
      <c r="E429" s="29">
        <v>5.75</v>
      </c>
      <c r="F429" s="30">
        <v>12.99</v>
      </c>
      <c r="G429" s="29">
        <v>12.99</v>
      </c>
      <c r="H429" s="28" t="s">
        <v>1703</v>
      </c>
      <c r="I429" s="27" t="s">
        <v>248</v>
      </c>
      <c r="J429" s="31" t="s">
        <v>5</v>
      </c>
      <c r="K429" s="27" t="s">
        <v>282</v>
      </c>
      <c r="L429" s="27" t="s">
        <v>386</v>
      </c>
      <c r="M429" s="32"/>
    </row>
    <row r="430" spans="1:13" ht="15.2" customHeight="1" x14ac:dyDescent="0.2">
      <c r="A430" s="26" t="s">
        <v>7828</v>
      </c>
      <c r="B430" s="27" t="s">
        <v>7829</v>
      </c>
      <c r="C430" s="28">
        <v>1</v>
      </c>
      <c r="D430" s="29">
        <v>5</v>
      </c>
      <c r="E430" s="29">
        <v>5</v>
      </c>
      <c r="F430" s="30">
        <v>12.99</v>
      </c>
      <c r="G430" s="29">
        <v>12.99</v>
      </c>
      <c r="H430" s="28" t="s">
        <v>1075</v>
      </c>
      <c r="I430" s="27" t="s">
        <v>36</v>
      </c>
      <c r="J430" s="31" t="s">
        <v>5</v>
      </c>
      <c r="K430" s="27" t="s">
        <v>282</v>
      </c>
      <c r="L430" s="27" t="s">
        <v>325</v>
      </c>
      <c r="M430" s="32"/>
    </row>
    <row r="431" spans="1:13" ht="15.2" customHeight="1" x14ac:dyDescent="0.2">
      <c r="A431" s="26" t="s">
        <v>8750</v>
      </c>
      <c r="B431" s="27" t="s">
        <v>7829</v>
      </c>
      <c r="C431" s="28">
        <v>8</v>
      </c>
      <c r="D431" s="29">
        <v>5</v>
      </c>
      <c r="E431" s="29">
        <v>40</v>
      </c>
      <c r="F431" s="30">
        <v>12.99</v>
      </c>
      <c r="G431" s="29">
        <v>103.92</v>
      </c>
      <c r="H431" s="28" t="s">
        <v>1075</v>
      </c>
      <c r="I431" s="27" t="s">
        <v>36</v>
      </c>
      <c r="J431" s="31" t="s">
        <v>21</v>
      </c>
      <c r="K431" s="27" t="s">
        <v>282</v>
      </c>
      <c r="L431" s="27" t="s">
        <v>325</v>
      </c>
      <c r="M431" s="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80"/>
  <sheetViews>
    <sheetView workbookViewId="0">
      <selection activeCell="B18" sqref="B18"/>
    </sheetView>
  </sheetViews>
  <sheetFormatPr defaultRowHeight="15.2" customHeight="1" x14ac:dyDescent="0.2"/>
  <cols>
    <col min="1" max="1" width="14.85546875" style="1" bestFit="1" customWidth="1"/>
    <col min="2" max="2" width="71.5703125" style="1" bestFit="1" customWidth="1"/>
    <col min="3" max="3" width="6.42578125" style="1" bestFit="1" customWidth="1"/>
    <col min="4" max="4" width="7.5703125" style="1" bestFit="1" customWidth="1"/>
    <col min="5" max="5" width="9.5703125" style="1" bestFit="1" customWidth="1"/>
    <col min="6" max="6" width="7.5703125" style="1" bestFit="1" customWidth="1"/>
    <col min="7" max="7" width="11.140625" style="1" bestFit="1" customWidth="1"/>
    <col min="8" max="8" width="22.7109375" style="1" bestFit="1" customWidth="1"/>
    <col min="9" max="9" width="14.7109375" style="1" bestFit="1" customWidth="1"/>
    <col min="10" max="10" width="12.85546875" style="1" bestFit="1" customWidth="1"/>
    <col min="11" max="11" width="16.42578125" style="1" bestFit="1" customWidth="1"/>
    <col min="12" max="12" width="43.7109375" style="1" bestFit="1" customWidth="1"/>
    <col min="13" max="13" width="49.42578125" style="1" bestFit="1" customWidth="1"/>
    <col min="14" max="16384" width="9.140625" style="1"/>
  </cols>
  <sheetData>
    <row r="1" spans="1:13" ht="15.2" customHeight="1" x14ac:dyDescent="0.2">
      <c r="A1" s="25" t="s">
        <v>0</v>
      </c>
      <c r="B1" s="25" t="s">
        <v>11929</v>
      </c>
      <c r="C1" s="25" t="s">
        <v>11915</v>
      </c>
      <c r="D1" s="25" t="s">
        <v>11927</v>
      </c>
      <c r="E1" s="25" t="s">
        <v>11928</v>
      </c>
      <c r="F1" s="25" t="s">
        <v>11919</v>
      </c>
      <c r="G1" s="25" t="s">
        <v>11920</v>
      </c>
      <c r="H1" s="25" t="s">
        <v>11921</v>
      </c>
      <c r="I1" s="25" t="s">
        <v>11922</v>
      </c>
      <c r="J1" s="25" t="s">
        <v>11923</v>
      </c>
      <c r="K1" s="25" t="s">
        <v>11924</v>
      </c>
      <c r="L1" s="25" t="s">
        <v>11925</v>
      </c>
      <c r="M1" s="25" t="s">
        <v>11926</v>
      </c>
    </row>
    <row r="2" spans="1:13" ht="15.2" customHeight="1" x14ac:dyDescent="0.2">
      <c r="A2" s="26" t="s">
        <v>3099</v>
      </c>
      <c r="B2" s="27" t="s">
        <v>3100</v>
      </c>
      <c r="C2" s="28">
        <v>1</v>
      </c>
      <c r="D2" s="29">
        <v>29</v>
      </c>
      <c r="E2" s="29">
        <v>29</v>
      </c>
      <c r="F2" s="30">
        <v>99</v>
      </c>
      <c r="G2" s="29">
        <v>99</v>
      </c>
      <c r="H2" s="28" t="s">
        <v>2074</v>
      </c>
      <c r="I2" s="27" t="s">
        <v>4</v>
      </c>
      <c r="J2" s="31" t="s">
        <v>234</v>
      </c>
      <c r="K2" s="27" t="s">
        <v>24</v>
      </c>
      <c r="L2" s="27" t="s">
        <v>25</v>
      </c>
      <c r="M2" s="32" t="str">
        <f>HYPERLINK("http://slimages.macys.com/is/image/MCY/1772879 ")</f>
        <v xml:space="preserve">http://slimages.macys.com/is/image/MCY/1772879 </v>
      </c>
    </row>
    <row r="3" spans="1:13" ht="15.2" customHeight="1" x14ac:dyDescent="0.2">
      <c r="A3" s="26" t="s">
        <v>657</v>
      </c>
      <c r="B3" s="27" t="s">
        <v>658</v>
      </c>
      <c r="C3" s="28">
        <v>1</v>
      </c>
      <c r="D3" s="29">
        <v>27.49</v>
      </c>
      <c r="E3" s="29">
        <v>27.49</v>
      </c>
      <c r="F3" s="30">
        <v>79.5</v>
      </c>
      <c r="G3" s="29">
        <v>79.5</v>
      </c>
      <c r="H3" s="28" t="s">
        <v>659</v>
      </c>
      <c r="I3" s="27" t="s">
        <v>10</v>
      </c>
      <c r="J3" s="31" t="s">
        <v>14</v>
      </c>
      <c r="K3" s="27" t="s">
        <v>12</v>
      </c>
      <c r="L3" s="27" t="s">
        <v>13</v>
      </c>
      <c r="M3" s="32" t="str">
        <f>HYPERLINK("http://slimages.macys.com/is/image/MCY/3743153 ")</f>
        <v xml:space="preserve">http://slimages.macys.com/is/image/MCY/3743153 </v>
      </c>
    </row>
    <row r="4" spans="1:13" ht="15.2" customHeight="1" x14ac:dyDescent="0.2">
      <c r="A4" s="26" t="s">
        <v>3101</v>
      </c>
      <c r="B4" s="27" t="s">
        <v>3102</v>
      </c>
      <c r="C4" s="28">
        <v>1</v>
      </c>
      <c r="D4" s="29">
        <v>26.8</v>
      </c>
      <c r="E4" s="29">
        <v>26.8</v>
      </c>
      <c r="F4" s="30">
        <v>79.5</v>
      </c>
      <c r="G4" s="29">
        <v>79.5</v>
      </c>
      <c r="H4" s="28" t="s">
        <v>662</v>
      </c>
      <c r="I4" s="27" t="s">
        <v>10</v>
      </c>
      <c r="J4" s="31"/>
      <c r="K4" s="27" t="s">
        <v>12</v>
      </c>
      <c r="L4" s="27" t="s">
        <v>13</v>
      </c>
      <c r="M4" s="32" t="str">
        <f>HYPERLINK("http://slimages.macys.com/is/image/MCY/3010113 ")</f>
        <v xml:space="preserve">http://slimages.macys.com/is/image/MCY/3010113 </v>
      </c>
    </row>
    <row r="5" spans="1:13" ht="15.2" customHeight="1" x14ac:dyDescent="0.2">
      <c r="A5" s="26" t="s">
        <v>3103</v>
      </c>
      <c r="B5" s="27" t="s">
        <v>3104</v>
      </c>
      <c r="C5" s="28">
        <v>1</v>
      </c>
      <c r="D5" s="29">
        <v>26.47</v>
      </c>
      <c r="E5" s="29">
        <v>26.47</v>
      </c>
      <c r="F5" s="30">
        <v>74.5</v>
      </c>
      <c r="G5" s="29">
        <v>74.5</v>
      </c>
      <c r="H5" s="28" t="s">
        <v>664</v>
      </c>
      <c r="I5" s="27" t="s">
        <v>10</v>
      </c>
      <c r="J5" s="31"/>
      <c r="K5" s="27" t="s">
        <v>12</v>
      </c>
      <c r="L5" s="27" t="s">
        <v>13</v>
      </c>
      <c r="M5" s="32" t="str">
        <f>HYPERLINK("http://slimages.macys.com/is/image/MCY/3979547 ")</f>
        <v xml:space="preserve">http://slimages.macys.com/is/image/MCY/3979547 </v>
      </c>
    </row>
    <row r="6" spans="1:13" ht="15.2" customHeight="1" x14ac:dyDescent="0.2">
      <c r="A6" s="26" t="s">
        <v>666</v>
      </c>
      <c r="B6" s="27" t="s">
        <v>667</v>
      </c>
      <c r="C6" s="28">
        <v>1</v>
      </c>
      <c r="D6" s="29">
        <v>25.37</v>
      </c>
      <c r="E6" s="29">
        <v>25.37</v>
      </c>
      <c r="F6" s="30">
        <v>69.5</v>
      </c>
      <c r="G6" s="29">
        <v>69.5</v>
      </c>
      <c r="H6" s="28" t="s">
        <v>668</v>
      </c>
      <c r="I6" s="27" t="s">
        <v>1</v>
      </c>
      <c r="J6" s="31" t="s">
        <v>21</v>
      </c>
      <c r="K6" s="27" t="s">
        <v>41</v>
      </c>
      <c r="L6" s="27" t="s">
        <v>45</v>
      </c>
      <c r="M6" s="32" t="str">
        <f>HYPERLINK("http://slimages.macys.com/is/image/MCY/3774615 ")</f>
        <v xml:space="preserve">http://slimages.macys.com/is/image/MCY/3774615 </v>
      </c>
    </row>
    <row r="7" spans="1:13" ht="15.2" customHeight="1" x14ac:dyDescent="0.2">
      <c r="A7" s="26" t="s">
        <v>3105</v>
      </c>
      <c r="B7" s="27" t="s">
        <v>3106</v>
      </c>
      <c r="C7" s="28">
        <v>1</v>
      </c>
      <c r="D7" s="29">
        <v>25.25</v>
      </c>
      <c r="E7" s="29">
        <v>25.25</v>
      </c>
      <c r="F7" s="30">
        <v>79</v>
      </c>
      <c r="G7" s="29">
        <v>79</v>
      </c>
      <c r="H7" s="28" t="s">
        <v>3107</v>
      </c>
      <c r="I7" s="27" t="s">
        <v>4</v>
      </c>
      <c r="J7" s="31" t="s">
        <v>5</v>
      </c>
      <c r="K7" s="27" t="s">
        <v>37</v>
      </c>
      <c r="L7" s="27" t="s">
        <v>38</v>
      </c>
      <c r="M7" s="32" t="str">
        <f>HYPERLINK("http://slimages.macys.com/is/image/MCY/3801912 ")</f>
        <v xml:space="preserve">http://slimages.macys.com/is/image/MCY/3801912 </v>
      </c>
    </row>
    <row r="8" spans="1:13" ht="15.2" customHeight="1" x14ac:dyDescent="0.2">
      <c r="A8" s="26" t="s">
        <v>3108</v>
      </c>
      <c r="B8" s="27" t="s">
        <v>3109</v>
      </c>
      <c r="C8" s="28">
        <v>1</v>
      </c>
      <c r="D8" s="29">
        <v>24.97</v>
      </c>
      <c r="E8" s="29">
        <v>24.97</v>
      </c>
      <c r="F8" s="30">
        <v>69.5</v>
      </c>
      <c r="G8" s="29">
        <v>69.5</v>
      </c>
      <c r="H8" s="28" t="s">
        <v>1093</v>
      </c>
      <c r="I8" s="27" t="s">
        <v>22</v>
      </c>
      <c r="J8" s="31" t="s">
        <v>172</v>
      </c>
      <c r="K8" s="27" t="s">
        <v>41</v>
      </c>
      <c r="L8" s="27" t="s">
        <v>45</v>
      </c>
      <c r="M8" s="32" t="str">
        <f>HYPERLINK("http://slimages.macys.com/is/image/MCY/2962546 ")</f>
        <v xml:space="preserve">http://slimages.macys.com/is/image/MCY/2962546 </v>
      </c>
    </row>
    <row r="9" spans="1:13" ht="15.2" customHeight="1" x14ac:dyDescent="0.2">
      <c r="A9" s="26" t="s">
        <v>3110</v>
      </c>
      <c r="B9" s="27" t="s">
        <v>3111</v>
      </c>
      <c r="C9" s="28">
        <v>1</v>
      </c>
      <c r="D9" s="29">
        <v>24.12</v>
      </c>
      <c r="E9" s="29">
        <v>24.12</v>
      </c>
      <c r="F9" s="30">
        <v>39.99</v>
      </c>
      <c r="G9" s="29">
        <v>39.99</v>
      </c>
      <c r="H9" s="28">
        <v>188840015</v>
      </c>
      <c r="I9" s="27" t="s">
        <v>189</v>
      </c>
      <c r="J9" s="31" t="s">
        <v>16</v>
      </c>
      <c r="K9" s="27" t="s">
        <v>2</v>
      </c>
      <c r="L9" s="27" t="s">
        <v>3</v>
      </c>
      <c r="M9" s="32" t="str">
        <f>HYPERLINK("http://slimages.macys.com/is/image/MCY/2885641 ")</f>
        <v xml:space="preserve">http://slimages.macys.com/is/image/MCY/2885641 </v>
      </c>
    </row>
    <row r="10" spans="1:13" ht="15.2" customHeight="1" x14ac:dyDescent="0.2">
      <c r="A10" s="26" t="s">
        <v>3112</v>
      </c>
      <c r="B10" s="27" t="s">
        <v>3113</v>
      </c>
      <c r="C10" s="28">
        <v>1</v>
      </c>
      <c r="D10" s="29">
        <v>23.09</v>
      </c>
      <c r="E10" s="29">
        <v>23.09</v>
      </c>
      <c r="F10" s="30">
        <v>69.5</v>
      </c>
      <c r="G10" s="29">
        <v>69.5</v>
      </c>
      <c r="H10" s="28" t="s">
        <v>671</v>
      </c>
      <c r="I10" s="27" t="s">
        <v>22</v>
      </c>
      <c r="J10" s="31" t="s">
        <v>5</v>
      </c>
      <c r="K10" s="27" t="s">
        <v>41</v>
      </c>
      <c r="L10" s="27" t="s">
        <v>656</v>
      </c>
      <c r="M10" s="32" t="str">
        <f>HYPERLINK("http://slimages.macys.com/is/image/MCY/3736743 ")</f>
        <v xml:space="preserve">http://slimages.macys.com/is/image/MCY/3736743 </v>
      </c>
    </row>
    <row r="11" spans="1:13" ht="15.2" customHeight="1" x14ac:dyDescent="0.2">
      <c r="A11" s="26" t="s">
        <v>2814</v>
      </c>
      <c r="B11" s="27" t="s">
        <v>2815</v>
      </c>
      <c r="C11" s="28">
        <v>1</v>
      </c>
      <c r="D11" s="29">
        <v>23.09</v>
      </c>
      <c r="E11" s="29">
        <v>23.09</v>
      </c>
      <c r="F11" s="30">
        <v>69.5</v>
      </c>
      <c r="G11" s="29">
        <v>69.5</v>
      </c>
      <c r="H11" s="28" t="s">
        <v>671</v>
      </c>
      <c r="I11" s="27" t="s">
        <v>22</v>
      </c>
      <c r="J11" s="31" t="s">
        <v>52</v>
      </c>
      <c r="K11" s="27" t="s">
        <v>41</v>
      </c>
      <c r="L11" s="27" t="s">
        <v>656</v>
      </c>
      <c r="M11" s="32" t="str">
        <f>HYPERLINK("http://slimages.macys.com/is/image/MCY/3736743 ")</f>
        <v xml:space="preserve">http://slimages.macys.com/is/image/MCY/3736743 </v>
      </c>
    </row>
    <row r="12" spans="1:13" ht="15.2" customHeight="1" x14ac:dyDescent="0.2">
      <c r="A12" s="26" t="s">
        <v>3114</v>
      </c>
      <c r="B12" s="27" t="s">
        <v>3115</v>
      </c>
      <c r="C12" s="28">
        <v>1</v>
      </c>
      <c r="D12" s="29">
        <v>23</v>
      </c>
      <c r="E12" s="29">
        <v>23</v>
      </c>
      <c r="F12" s="30">
        <v>59.5</v>
      </c>
      <c r="G12" s="29">
        <v>59.5</v>
      </c>
      <c r="H12" s="28" t="s">
        <v>672</v>
      </c>
      <c r="I12" s="27" t="s">
        <v>4</v>
      </c>
      <c r="J12" s="31" t="s">
        <v>40</v>
      </c>
      <c r="K12" s="27" t="s">
        <v>17</v>
      </c>
      <c r="L12" s="27" t="s">
        <v>18</v>
      </c>
      <c r="M12" s="32" t="str">
        <f>HYPERLINK("http://slimages.macys.com/is/image/MCY/3895026 ")</f>
        <v xml:space="preserve">http://slimages.macys.com/is/image/MCY/3895026 </v>
      </c>
    </row>
    <row r="13" spans="1:13" ht="15.2" customHeight="1" x14ac:dyDescent="0.2">
      <c r="A13" s="26" t="s">
        <v>3116</v>
      </c>
      <c r="B13" s="27" t="s">
        <v>3117</v>
      </c>
      <c r="C13" s="28">
        <v>1</v>
      </c>
      <c r="D13" s="29">
        <v>22.77</v>
      </c>
      <c r="E13" s="29">
        <v>22.77</v>
      </c>
      <c r="F13" s="30">
        <v>64.5</v>
      </c>
      <c r="G13" s="29">
        <v>64.5</v>
      </c>
      <c r="H13" s="28" t="s">
        <v>3118</v>
      </c>
      <c r="I13" s="27" t="s">
        <v>4</v>
      </c>
      <c r="J13" s="31" t="s">
        <v>65</v>
      </c>
      <c r="K13" s="27" t="s">
        <v>53</v>
      </c>
      <c r="L13" s="27" t="s">
        <v>54</v>
      </c>
      <c r="M13" s="32" t="str">
        <f>HYPERLINK("http://slimages.macys.com/is/image/MCY/3884440 ")</f>
        <v xml:space="preserve">http://slimages.macys.com/is/image/MCY/3884440 </v>
      </c>
    </row>
    <row r="14" spans="1:13" ht="15.2" customHeight="1" x14ac:dyDescent="0.2">
      <c r="A14" s="26" t="s">
        <v>3119</v>
      </c>
      <c r="B14" s="27" t="s">
        <v>3120</v>
      </c>
      <c r="C14" s="28">
        <v>1</v>
      </c>
      <c r="D14" s="29">
        <v>22.77</v>
      </c>
      <c r="E14" s="29">
        <v>22.77</v>
      </c>
      <c r="F14" s="30">
        <v>64.5</v>
      </c>
      <c r="G14" s="29">
        <v>64.5</v>
      </c>
      <c r="H14" s="28" t="s">
        <v>3118</v>
      </c>
      <c r="I14" s="27" t="s">
        <v>4</v>
      </c>
      <c r="J14" s="31" t="s">
        <v>40</v>
      </c>
      <c r="K14" s="27" t="s">
        <v>53</v>
      </c>
      <c r="L14" s="27" t="s">
        <v>54</v>
      </c>
      <c r="M14" s="32" t="str">
        <f>HYPERLINK("http://slimages.macys.com/is/image/MCY/3884440 ")</f>
        <v xml:space="preserve">http://slimages.macys.com/is/image/MCY/3884440 </v>
      </c>
    </row>
    <row r="15" spans="1:13" ht="15.2" customHeight="1" x14ac:dyDescent="0.2">
      <c r="A15" s="26" t="s">
        <v>3121</v>
      </c>
      <c r="B15" s="27" t="s">
        <v>3122</v>
      </c>
      <c r="C15" s="28">
        <v>3</v>
      </c>
      <c r="D15" s="29">
        <v>22.77</v>
      </c>
      <c r="E15" s="29">
        <v>68.31</v>
      </c>
      <c r="F15" s="30">
        <v>64.5</v>
      </c>
      <c r="G15" s="29">
        <v>193.5</v>
      </c>
      <c r="H15" s="28" t="s">
        <v>3118</v>
      </c>
      <c r="I15" s="27" t="s">
        <v>4</v>
      </c>
      <c r="J15" s="31" t="s">
        <v>5</v>
      </c>
      <c r="K15" s="27" t="s">
        <v>53</v>
      </c>
      <c r="L15" s="27" t="s">
        <v>54</v>
      </c>
      <c r="M15" s="32" t="str">
        <f>HYPERLINK("http://slimages.macys.com/is/image/MCY/3884440 ")</f>
        <v xml:space="preserve">http://slimages.macys.com/is/image/MCY/3884440 </v>
      </c>
    </row>
    <row r="16" spans="1:13" ht="15.2" customHeight="1" x14ac:dyDescent="0.2">
      <c r="A16" s="26" t="s">
        <v>3123</v>
      </c>
      <c r="B16" s="27" t="s">
        <v>3124</v>
      </c>
      <c r="C16" s="28">
        <v>2</v>
      </c>
      <c r="D16" s="29">
        <v>22.77</v>
      </c>
      <c r="E16" s="29">
        <v>45.54</v>
      </c>
      <c r="F16" s="30">
        <v>64.5</v>
      </c>
      <c r="G16" s="29">
        <v>129</v>
      </c>
      <c r="H16" s="28" t="s">
        <v>3118</v>
      </c>
      <c r="I16" s="27" t="s">
        <v>4</v>
      </c>
      <c r="J16" s="31" t="s">
        <v>21</v>
      </c>
      <c r="K16" s="27" t="s">
        <v>53</v>
      </c>
      <c r="L16" s="27" t="s">
        <v>54</v>
      </c>
      <c r="M16" s="32" t="str">
        <f>HYPERLINK("http://slimages.macys.com/is/image/MCY/3884440 ")</f>
        <v xml:space="preserve">http://slimages.macys.com/is/image/MCY/3884440 </v>
      </c>
    </row>
    <row r="17" spans="1:13" ht="15.2" customHeight="1" x14ac:dyDescent="0.2">
      <c r="A17" s="26" t="s">
        <v>3125</v>
      </c>
      <c r="B17" s="27" t="s">
        <v>3126</v>
      </c>
      <c r="C17" s="28">
        <v>1</v>
      </c>
      <c r="D17" s="29">
        <v>22.17</v>
      </c>
      <c r="E17" s="29">
        <v>22.17</v>
      </c>
      <c r="F17" s="30">
        <v>50.99</v>
      </c>
      <c r="G17" s="29">
        <v>50.99</v>
      </c>
      <c r="H17" s="28" t="s">
        <v>3127</v>
      </c>
      <c r="I17" s="27" t="s">
        <v>10</v>
      </c>
      <c r="J17" s="31" t="s">
        <v>205</v>
      </c>
      <c r="K17" s="27" t="s">
        <v>41</v>
      </c>
      <c r="L17" s="27" t="s">
        <v>45</v>
      </c>
      <c r="M17" s="32" t="str">
        <f>HYPERLINK("http://slimages.macys.com/is/image/MCY/3563935 ")</f>
        <v xml:space="preserve">http://slimages.macys.com/is/image/MCY/3563935 </v>
      </c>
    </row>
    <row r="18" spans="1:13" ht="15.2" customHeight="1" x14ac:dyDescent="0.2">
      <c r="A18" s="26" t="s">
        <v>3128</v>
      </c>
      <c r="B18" s="27" t="s">
        <v>3129</v>
      </c>
      <c r="C18" s="28">
        <v>1</v>
      </c>
      <c r="D18" s="29">
        <v>21.55</v>
      </c>
      <c r="E18" s="29">
        <v>21.55</v>
      </c>
      <c r="F18" s="30">
        <v>52.5</v>
      </c>
      <c r="G18" s="29">
        <v>52.5</v>
      </c>
      <c r="H18" s="28" t="s">
        <v>1735</v>
      </c>
      <c r="I18" s="27" t="s">
        <v>10</v>
      </c>
      <c r="J18" s="31" t="s">
        <v>214</v>
      </c>
      <c r="K18" s="27" t="s">
        <v>41</v>
      </c>
      <c r="L18" s="27" t="s">
        <v>45</v>
      </c>
      <c r="M18" s="32" t="str">
        <f>HYPERLINK("http://slimages.macys.com/is/image/MCY/3626088 ")</f>
        <v xml:space="preserve">http://slimages.macys.com/is/image/MCY/3626088 </v>
      </c>
    </row>
    <row r="19" spans="1:13" ht="15.2" customHeight="1" x14ac:dyDescent="0.2">
      <c r="A19" s="26" t="s">
        <v>3130</v>
      </c>
      <c r="B19" s="27" t="s">
        <v>3131</v>
      </c>
      <c r="C19" s="28">
        <v>1</v>
      </c>
      <c r="D19" s="29">
        <v>21.14</v>
      </c>
      <c r="E19" s="29">
        <v>21.14</v>
      </c>
      <c r="F19" s="30">
        <v>59.5</v>
      </c>
      <c r="G19" s="29">
        <v>59.5</v>
      </c>
      <c r="H19" s="28" t="s">
        <v>3132</v>
      </c>
      <c r="I19" s="27" t="s">
        <v>22</v>
      </c>
      <c r="J19" s="31" t="s">
        <v>30</v>
      </c>
      <c r="K19" s="27" t="s">
        <v>12</v>
      </c>
      <c r="L19" s="27" t="s">
        <v>13</v>
      </c>
      <c r="M19" s="32" t="str">
        <f>HYPERLINK("http://slimages.macys.com/is/image/MCY/3931208 ")</f>
        <v xml:space="preserve">http://slimages.macys.com/is/image/MCY/3931208 </v>
      </c>
    </row>
    <row r="20" spans="1:13" ht="15.2" customHeight="1" x14ac:dyDescent="0.2">
      <c r="A20" s="26" t="s">
        <v>1113</v>
      </c>
      <c r="B20" s="27" t="s">
        <v>1114</v>
      </c>
      <c r="C20" s="28">
        <v>1</v>
      </c>
      <c r="D20" s="29">
        <v>20.74</v>
      </c>
      <c r="E20" s="29">
        <v>20.74</v>
      </c>
      <c r="F20" s="30">
        <v>47.75</v>
      </c>
      <c r="G20" s="29">
        <v>47.75</v>
      </c>
      <c r="H20" s="28" t="s">
        <v>676</v>
      </c>
      <c r="I20" s="27" t="s">
        <v>10</v>
      </c>
      <c r="J20" s="31" t="s">
        <v>113</v>
      </c>
      <c r="K20" s="27" t="s">
        <v>41</v>
      </c>
      <c r="L20" s="27" t="s">
        <v>45</v>
      </c>
      <c r="M20" s="32" t="str">
        <f>HYPERLINK("http://slimages.macys.com/is/image/MCY/3678323 ")</f>
        <v xml:space="preserve">http://slimages.macys.com/is/image/MCY/3678323 </v>
      </c>
    </row>
    <row r="21" spans="1:13" ht="15.2" customHeight="1" x14ac:dyDescent="0.2">
      <c r="A21" s="26" t="s">
        <v>2558</v>
      </c>
      <c r="B21" s="27" t="s">
        <v>2559</v>
      </c>
      <c r="C21" s="28">
        <v>1</v>
      </c>
      <c r="D21" s="29">
        <v>20.74</v>
      </c>
      <c r="E21" s="29">
        <v>20.74</v>
      </c>
      <c r="F21" s="30">
        <v>47.75</v>
      </c>
      <c r="G21" s="29">
        <v>47.75</v>
      </c>
      <c r="H21" s="28" t="s">
        <v>676</v>
      </c>
      <c r="I21" s="27" t="s">
        <v>10</v>
      </c>
      <c r="J21" s="31" t="s">
        <v>210</v>
      </c>
      <c r="K21" s="27" t="s">
        <v>41</v>
      </c>
      <c r="L21" s="27" t="s">
        <v>45</v>
      </c>
      <c r="M21" s="32" t="str">
        <f>HYPERLINK("http://slimages.macys.com/is/image/MCY/3678323 ")</f>
        <v xml:space="preserve">http://slimages.macys.com/is/image/MCY/3678323 </v>
      </c>
    </row>
    <row r="22" spans="1:13" ht="15.2" customHeight="1" x14ac:dyDescent="0.2">
      <c r="A22" s="26" t="s">
        <v>3133</v>
      </c>
      <c r="B22" s="27" t="s">
        <v>3134</v>
      </c>
      <c r="C22" s="28">
        <v>1</v>
      </c>
      <c r="D22" s="29">
        <v>20.079999999999998</v>
      </c>
      <c r="E22" s="29">
        <v>20.079999999999998</v>
      </c>
      <c r="F22" s="30">
        <v>46.25</v>
      </c>
      <c r="G22" s="29">
        <v>46.25</v>
      </c>
      <c r="H22" s="28" t="s">
        <v>2564</v>
      </c>
      <c r="I22" s="27" t="s">
        <v>10</v>
      </c>
      <c r="J22" s="31" t="s">
        <v>216</v>
      </c>
      <c r="K22" s="27" t="s">
        <v>41</v>
      </c>
      <c r="L22" s="27" t="s">
        <v>45</v>
      </c>
      <c r="M22" s="32" t="str">
        <f>HYPERLINK("http://slimages.macys.com/is/image/MCY/3724372 ")</f>
        <v xml:space="preserve">http://slimages.macys.com/is/image/MCY/3724372 </v>
      </c>
    </row>
    <row r="23" spans="1:13" ht="15.2" customHeight="1" x14ac:dyDescent="0.2">
      <c r="A23" s="26" t="s">
        <v>3135</v>
      </c>
      <c r="B23" s="27" t="s">
        <v>3136</v>
      </c>
      <c r="C23" s="28">
        <v>1</v>
      </c>
      <c r="D23" s="29">
        <v>20.079999999999998</v>
      </c>
      <c r="E23" s="29">
        <v>20.079999999999998</v>
      </c>
      <c r="F23" s="30">
        <v>46.25</v>
      </c>
      <c r="G23" s="29">
        <v>46.25</v>
      </c>
      <c r="H23" s="28" t="s">
        <v>2564</v>
      </c>
      <c r="I23" s="27" t="s">
        <v>10</v>
      </c>
      <c r="J23" s="31" t="s">
        <v>23</v>
      </c>
      <c r="K23" s="27" t="s">
        <v>41</v>
      </c>
      <c r="L23" s="27" t="s">
        <v>45</v>
      </c>
      <c r="M23" s="32" t="str">
        <f>HYPERLINK("http://slimages.macys.com/is/image/MCY/3724372 ")</f>
        <v xml:space="preserve">http://slimages.macys.com/is/image/MCY/3724372 </v>
      </c>
    </row>
    <row r="24" spans="1:13" ht="15.2" customHeight="1" x14ac:dyDescent="0.2">
      <c r="A24" s="26" t="s">
        <v>3137</v>
      </c>
      <c r="B24" s="27" t="s">
        <v>3138</v>
      </c>
      <c r="C24" s="28">
        <v>1</v>
      </c>
      <c r="D24" s="29">
        <v>20.079999999999998</v>
      </c>
      <c r="E24" s="29">
        <v>20.079999999999998</v>
      </c>
      <c r="F24" s="30">
        <v>46.25</v>
      </c>
      <c r="G24" s="29">
        <v>46.25</v>
      </c>
      <c r="H24" s="28" t="s">
        <v>2564</v>
      </c>
      <c r="I24" s="27" t="s">
        <v>10</v>
      </c>
      <c r="J24" s="31" t="s">
        <v>205</v>
      </c>
      <c r="K24" s="27" t="s">
        <v>41</v>
      </c>
      <c r="L24" s="27" t="s">
        <v>45</v>
      </c>
      <c r="M24" s="32" t="str">
        <f>HYPERLINK("http://slimages.macys.com/is/image/MCY/3724372 ")</f>
        <v xml:space="preserve">http://slimages.macys.com/is/image/MCY/3724372 </v>
      </c>
    </row>
    <row r="25" spans="1:13" ht="15.2" customHeight="1" x14ac:dyDescent="0.2">
      <c r="A25" s="26" t="s">
        <v>3139</v>
      </c>
      <c r="B25" s="27" t="s">
        <v>3140</v>
      </c>
      <c r="C25" s="28">
        <v>1</v>
      </c>
      <c r="D25" s="29">
        <v>20</v>
      </c>
      <c r="E25" s="29">
        <v>20</v>
      </c>
      <c r="F25" s="30">
        <v>64</v>
      </c>
      <c r="G25" s="29">
        <v>64</v>
      </c>
      <c r="H25" s="28" t="s">
        <v>686</v>
      </c>
      <c r="I25" s="27" t="s">
        <v>4</v>
      </c>
      <c r="J25" s="31" t="s">
        <v>5</v>
      </c>
      <c r="K25" s="27" t="s">
        <v>24</v>
      </c>
      <c r="L25" s="27" t="s">
        <v>650</v>
      </c>
      <c r="M25" s="32" t="str">
        <f>HYPERLINK("http://slimages.macys.com/is/image/MCY/3878688 ")</f>
        <v xml:space="preserve">http://slimages.macys.com/is/image/MCY/3878688 </v>
      </c>
    </row>
    <row r="26" spans="1:13" ht="15.2" customHeight="1" x14ac:dyDescent="0.2">
      <c r="A26" s="26" t="s">
        <v>1120</v>
      </c>
      <c r="B26" s="27" t="s">
        <v>1121</v>
      </c>
      <c r="C26" s="28">
        <v>1</v>
      </c>
      <c r="D26" s="29">
        <v>19.760000000000002</v>
      </c>
      <c r="E26" s="29">
        <v>19.760000000000002</v>
      </c>
      <c r="F26" s="30">
        <v>49.99</v>
      </c>
      <c r="G26" s="29">
        <v>49.99</v>
      </c>
      <c r="H26" s="28" t="s">
        <v>1122</v>
      </c>
      <c r="I26" s="27" t="s">
        <v>4</v>
      </c>
      <c r="J26" s="31" t="s">
        <v>5</v>
      </c>
      <c r="K26" s="27" t="s">
        <v>41</v>
      </c>
      <c r="L26" s="27" t="s">
        <v>45</v>
      </c>
      <c r="M26" s="32" t="str">
        <f>HYPERLINK("http://slimages.macys.com/is/image/MCY/3672029 ")</f>
        <v xml:space="preserve">http://slimages.macys.com/is/image/MCY/3672029 </v>
      </c>
    </row>
    <row r="27" spans="1:13" ht="15.2" customHeight="1" x14ac:dyDescent="0.2">
      <c r="A27" s="26" t="s">
        <v>3141</v>
      </c>
      <c r="B27" s="27" t="s">
        <v>3142</v>
      </c>
      <c r="C27" s="28">
        <v>1</v>
      </c>
      <c r="D27" s="29">
        <v>19.5</v>
      </c>
      <c r="E27" s="29">
        <v>19.5</v>
      </c>
      <c r="F27" s="30">
        <v>59</v>
      </c>
      <c r="G27" s="29">
        <v>59</v>
      </c>
      <c r="H27" s="28" t="s">
        <v>3143</v>
      </c>
      <c r="I27" s="27" t="s">
        <v>4</v>
      </c>
      <c r="J27" s="31" t="s">
        <v>23</v>
      </c>
      <c r="K27" s="27" t="s">
        <v>24</v>
      </c>
      <c r="L27" s="27" t="s">
        <v>650</v>
      </c>
      <c r="M27" s="32" t="str">
        <f>HYPERLINK("http://slimages.macys.com/is/image/MCY/3459665 ")</f>
        <v xml:space="preserve">http://slimages.macys.com/is/image/MCY/3459665 </v>
      </c>
    </row>
    <row r="28" spans="1:13" ht="15.2" customHeight="1" x14ac:dyDescent="0.2">
      <c r="A28" s="26" t="s">
        <v>3144</v>
      </c>
      <c r="B28" s="27" t="s">
        <v>3145</v>
      </c>
      <c r="C28" s="28">
        <v>1</v>
      </c>
      <c r="D28" s="29">
        <v>18.989999999999998</v>
      </c>
      <c r="E28" s="29">
        <v>18.989999999999998</v>
      </c>
      <c r="F28" s="30">
        <v>43.5</v>
      </c>
      <c r="G28" s="29">
        <v>43.5</v>
      </c>
      <c r="H28" s="28" t="s">
        <v>1126</v>
      </c>
      <c r="I28" s="27" t="s">
        <v>22</v>
      </c>
      <c r="J28" s="31" t="s">
        <v>69</v>
      </c>
      <c r="K28" s="27" t="s">
        <v>41</v>
      </c>
      <c r="L28" s="27" t="s">
        <v>45</v>
      </c>
      <c r="M28" s="32" t="str">
        <f t="shared" ref="M28:M34" si="0">HYPERLINK("http://slimages.macys.com/is/image/MCY/3721274 ")</f>
        <v xml:space="preserve">http://slimages.macys.com/is/image/MCY/3721274 </v>
      </c>
    </row>
    <row r="29" spans="1:13" ht="15.2" customHeight="1" x14ac:dyDescent="0.2">
      <c r="A29" s="26" t="s">
        <v>1743</v>
      </c>
      <c r="B29" s="27" t="s">
        <v>1744</v>
      </c>
      <c r="C29" s="28">
        <v>2</v>
      </c>
      <c r="D29" s="29">
        <v>18.989999999999998</v>
      </c>
      <c r="E29" s="29">
        <v>37.979999999999997</v>
      </c>
      <c r="F29" s="30">
        <v>43.5</v>
      </c>
      <c r="G29" s="29">
        <v>87</v>
      </c>
      <c r="H29" s="28" t="s">
        <v>1126</v>
      </c>
      <c r="I29" s="27" t="s">
        <v>94</v>
      </c>
      <c r="J29" s="31" t="s">
        <v>234</v>
      </c>
      <c r="K29" s="27" t="s">
        <v>41</v>
      </c>
      <c r="L29" s="27" t="s">
        <v>45</v>
      </c>
      <c r="M29" s="32" t="str">
        <f t="shared" si="0"/>
        <v xml:space="preserve">http://slimages.macys.com/is/image/MCY/3721274 </v>
      </c>
    </row>
    <row r="30" spans="1:13" ht="15.2" customHeight="1" x14ac:dyDescent="0.2">
      <c r="A30" s="26" t="s">
        <v>3146</v>
      </c>
      <c r="B30" s="27" t="s">
        <v>3147</v>
      </c>
      <c r="C30" s="28">
        <v>1</v>
      </c>
      <c r="D30" s="29">
        <v>18.989999999999998</v>
      </c>
      <c r="E30" s="29">
        <v>18.989999999999998</v>
      </c>
      <c r="F30" s="30">
        <v>43.5</v>
      </c>
      <c r="G30" s="29">
        <v>43.5</v>
      </c>
      <c r="H30" s="28" t="s">
        <v>1126</v>
      </c>
      <c r="I30" s="27" t="s">
        <v>103</v>
      </c>
      <c r="J30" s="31" t="s">
        <v>234</v>
      </c>
      <c r="K30" s="27" t="s">
        <v>41</v>
      </c>
      <c r="L30" s="27" t="s">
        <v>45</v>
      </c>
      <c r="M30" s="32" t="str">
        <f t="shared" si="0"/>
        <v xml:space="preserve">http://slimages.macys.com/is/image/MCY/3721274 </v>
      </c>
    </row>
    <row r="31" spans="1:13" ht="15.2" customHeight="1" x14ac:dyDescent="0.2">
      <c r="A31" s="26" t="s">
        <v>3148</v>
      </c>
      <c r="B31" s="27" t="s">
        <v>3149</v>
      </c>
      <c r="C31" s="28">
        <v>1</v>
      </c>
      <c r="D31" s="29">
        <v>18.989999999999998</v>
      </c>
      <c r="E31" s="29">
        <v>18.989999999999998</v>
      </c>
      <c r="F31" s="30">
        <v>43.5</v>
      </c>
      <c r="G31" s="29">
        <v>43.5</v>
      </c>
      <c r="H31" s="28" t="s">
        <v>1126</v>
      </c>
      <c r="I31" s="27" t="s">
        <v>103</v>
      </c>
      <c r="J31" s="31" t="s">
        <v>216</v>
      </c>
      <c r="K31" s="27" t="s">
        <v>41</v>
      </c>
      <c r="L31" s="27" t="s">
        <v>45</v>
      </c>
      <c r="M31" s="32" t="str">
        <f t="shared" si="0"/>
        <v xml:space="preserve">http://slimages.macys.com/is/image/MCY/3721274 </v>
      </c>
    </row>
    <row r="32" spans="1:13" ht="15.2" customHeight="1" x14ac:dyDescent="0.2">
      <c r="A32" s="26" t="s">
        <v>3150</v>
      </c>
      <c r="B32" s="27" t="s">
        <v>3151</v>
      </c>
      <c r="C32" s="28">
        <v>1</v>
      </c>
      <c r="D32" s="29">
        <v>18.989999999999998</v>
      </c>
      <c r="E32" s="29">
        <v>18.989999999999998</v>
      </c>
      <c r="F32" s="30">
        <v>43.5</v>
      </c>
      <c r="G32" s="29">
        <v>43.5</v>
      </c>
      <c r="H32" s="28" t="s">
        <v>1126</v>
      </c>
      <c r="I32" s="27" t="s">
        <v>94</v>
      </c>
      <c r="J32" s="31" t="s">
        <v>23</v>
      </c>
      <c r="K32" s="27" t="s">
        <v>41</v>
      </c>
      <c r="L32" s="27" t="s">
        <v>45</v>
      </c>
      <c r="M32" s="32" t="str">
        <f t="shared" si="0"/>
        <v xml:space="preserve">http://slimages.macys.com/is/image/MCY/3721274 </v>
      </c>
    </row>
    <row r="33" spans="1:13" ht="15.2" customHeight="1" x14ac:dyDescent="0.2">
      <c r="A33" s="26" t="s">
        <v>3152</v>
      </c>
      <c r="B33" s="27" t="s">
        <v>3153</v>
      </c>
      <c r="C33" s="28">
        <v>1</v>
      </c>
      <c r="D33" s="29">
        <v>18.989999999999998</v>
      </c>
      <c r="E33" s="29">
        <v>18.989999999999998</v>
      </c>
      <c r="F33" s="30">
        <v>43.5</v>
      </c>
      <c r="G33" s="29">
        <v>43.5</v>
      </c>
      <c r="H33" s="28" t="s">
        <v>1126</v>
      </c>
      <c r="I33" s="27" t="s">
        <v>94</v>
      </c>
      <c r="J33" s="31" t="s">
        <v>216</v>
      </c>
      <c r="K33" s="27" t="s">
        <v>41</v>
      </c>
      <c r="L33" s="27" t="s">
        <v>45</v>
      </c>
      <c r="M33" s="32" t="str">
        <f t="shared" si="0"/>
        <v xml:space="preserve">http://slimages.macys.com/is/image/MCY/3721274 </v>
      </c>
    </row>
    <row r="34" spans="1:13" ht="15.2" customHeight="1" x14ac:dyDescent="0.2">
      <c r="A34" s="26" t="s">
        <v>3154</v>
      </c>
      <c r="B34" s="27" t="s">
        <v>3155</v>
      </c>
      <c r="C34" s="28">
        <v>1</v>
      </c>
      <c r="D34" s="29">
        <v>18.989999999999998</v>
      </c>
      <c r="E34" s="29">
        <v>18.989999999999998</v>
      </c>
      <c r="F34" s="30">
        <v>43.5</v>
      </c>
      <c r="G34" s="29">
        <v>43.5</v>
      </c>
      <c r="H34" s="28" t="s">
        <v>1126</v>
      </c>
      <c r="I34" s="27" t="s">
        <v>94</v>
      </c>
      <c r="J34" s="31" t="s">
        <v>69</v>
      </c>
      <c r="K34" s="27" t="s">
        <v>41</v>
      </c>
      <c r="L34" s="27" t="s">
        <v>45</v>
      </c>
      <c r="M34" s="32" t="str">
        <f t="shared" si="0"/>
        <v xml:space="preserve">http://slimages.macys.com/is/image/MCY/3721274 </v>
      </c>
    </row>
    <row r="35" spans="1:13" ht="15.2" customHeight="1" x14ac:dyDescent="0.2">
      <c r="A35" s="26" t="s">
        <v>3156</v>
      </c>
      <c r="B35" s="27" t="s">
        <v>3157</v>
      </c>
      <c r="C35" s="28">
        <v>1</v>
      </c>
      <c r="D35" s="29">
        <v>18.75</v>
      </c>
      <c r="E35" s="29">
        <v>18.75</v>
      </c>
      <c r="F35" s="30">
        <v>59</v>
      </c>
      <c r="G35" s="29">
        <v>59</v>
      </c>
      <c r="H35" s="28" t="s">
        <v>74</v>
      </c>
      <c r="I35" s="27" t="s">
        <v>75</v>
      </c>
      <c r="J35" s="31"/>
      <c r="K35" s="27" t="s">
        <v>37</v>
      </c>
      <c r="L35" s="27" t="s">
        <v>38</v>
      </c>
      <c r="M35" s="32" t="str">
        <f>HYPERLINK("http://slimages.macys.com/is/image/MCY/3937226 ")</f>
        <v xml:space="preserve">http://slimages.macys.com/is/image/MCY/3937226 </v>
      </c>
    </row>
    <row r="36" spans="1:13" ht="15.2" customHeight="1" x14ac:dyDescent="0.2">
      <c r="A36" s="26" t="s">
        <v>3158</v>
      </c>
      <c r="B36" s="27" t="s">
        <v>3159</v>
      </c>
      <c r="C36" s="28">
        <v>1</v>
      </c>
      <c r="D36" s="29">
        <v>18.75</v>
      </c>
      <c r="E36" s="29">
        <v>18.75</v>
      </c>
      <c r="F36" s="30">
        <v>49</v>
      </c>
      <c r="G36" s="29">
        <v>49</v>
      </c>
      <c r="H36" s="28" t="s">
        <v>3160</v>
      </c>
      <c r="I36" s="27" t="s">
        <v>36</v>
      </c>
      <c r="J36" s="31" t="s">
        <v>5</v>
      </c>
      <c r="K36" s="27" t="s">
        <v>37</v>
      </c>
      <c r="L36" s="27" t="s">
        <v>38</v>
      </c>
      <c r="M36" s="32" t="str">
        <f>HYPERLINK("http://slimages.macys.com/is/image/MCY/3667668 ")</f>
        <v xml:space="preserve">http://slimages.macys.com/is/image/MCY/3667668 </v>
      </c>
    </row>
    <row r="37" spans="1:13" ht="15.2" customHeight="1" x14ac:dyDescent="0.2">
      <c r="A37" s="26" t="s">
        <v>3161</v>
      </c>
      <c r="B37" s="27" t="s">
        <v>3162</v>
      </c>
      <c r="C37" s="28">
        <v>1</v>
      </c>
      <c r="D37" s="29">
        <v>18.75</v>
      </c>
      <c r="E37" s="29">
        <v>18.75</v>
      </c>
      <c r="F37" s="30">
        <v>59</v>
      </c>
      <c r="G37" s="29">
        <v>59</v>
      </c>
      <c r="H37" s="28" t="s">
        <v>74</v>
      </c>
      <c r="I37" s="27" t="s">
        <v>75</v>
      </c>
      <c r="J37" s="31"/>
      <c r="K37" s="27" t="s">
        <v>37</v>
      </c>
      <c r="L37" s="27" t="s">
        <v>38</v>
      </c>
      <c r="M37" s="32" t="str">
        <f>HYPERLINK("http://slimages.macys.com/is/image/MCY/3937226 ")</f>
        <v xml:space="preserve">http://slimages.macys.com/is/image/MCY/3937226 </v>
      </c>
    </row>
    <row r="38" spans="1:13" ht="15.2" customHeight="1" x14ac:dyDescent="0.2">
      <c r="A38" s="26" t="s">
        <v>3163</v>
      </c>
      <c r="B38" s="27" t="s">
        <v>3164</v>
      </c>
      <c r="C38" s="28">
        <v>1</v>
      </c>
      <c r="D38" s="29">
        <v>18.75</v>
      </c>
      <c r="E38" s="29">
        <v>18.75</v>
      </c>
      <c r="F38" s="30">
        <v>59</v>
      </c>
      <c r="G38" s="29">
        <v>59</v>
      </c>
      <c r="H38" s="28" t="s">
        <v>3165</v>
      </c>
      <c r="I38" s="27" t="s">
        <v>248</v>
      </c>
      <c r="J38" s="31"/>
      <c r="K38" s="27" t="s">
        <v>37</v>
      </c>
      <c r="L38" s="27" t="s">
        <v>38</v>
      </c>
      <c r="M38" s="32" t="str">
        <f>HYPERLINK("http://slimages.macys.com/is/image/MCY/3675892 ")</f>
        <v xml:space="preserve">http://slimages.macys.com/is/image/MCY/3675892 </v>
      </c>
    </row>
    <row r="39" spans="1:13" ht="15.2" customHeight="1" x14ac:dyDescent="0.2">
      <c r="A39" s="26" t="s">
        <v>72</v>
      </c>
      <c r="B39" s="27" t="s">
        <v>73</v>
      </c>
      <c r="C39" s="28">
        <v>1</v>
      </c>
      <c r="D39" s="29">
        <v>18.75</v>
      </c>
      <c r="E39" s="29">
        <v>18.75</v>
      </c>
      <c r="F39" s="30">
        <v>59</v>
      </c>
      <c r="G39" s="29">
        <v>59</v>
      </c>
      <c r="H39" s="28" t="s">
        <v>74</v>
      </c>
      <c r="I39" s="27" t="s">
        <v>75</v>
      </c>
      <c r="J39" s="31"/>
      <c r="K39" s="27" t="s">
        <v>37</v>
      </c>
      <c r="L39" s="27" t="s">
        <v>38</v>
      </c>
      <c r="M39" s="32" t="str">
        <f>HYPERLINK("http://slimages.macys.com/is/image/MCY/3937226 ")</f>
        <v xml:space="preserve">http://slimages.macys.com/is/image/MCY/3937226 </v>
      </c>
    </row>
    <row r="40" spans="1:13" ht="15.2" customHeight="1" x14ac:dyDescent="0.2">
      <c r="A40" s="26" t="s">
        <v>3166</v>
      </c>
      <c r="B40" s="27" t="s">
        <v>3167</v>
      </c>
      <c r="C40" s="28">
        <v>1</v>
      </c>
      <c r="D40" s="29">
        <v>18.75</v>
      </c>
      <c r="E40" s="29">
        <v>18.75</v>
      </c>
      <c r="F40" s="30">
        <v>59</v>
      </c>
      <c r="G40" s="29">
        <v>59</v>
      </c>
      <c r="H40" s="28" t="s">
        <v>2090</v>
      </c>
      <c r="I40" s="27" t="s">
        <v>94</v>
      </c>
      <c r="J40" s="31"/>
      <c r="K40" s="27" t="s">
        <v>37</v>
      </c>
      <c r="L40" s="27" t="s">
        <v>38</v>
      </c>
      <c r="M40" s="32" t="str">
        <f>HYPERLINK("http://slimages.macys.com/is/image/MCY/3678585 ")</f>
        <v xml:space="preserve">http://slimages.macys.com/is/image/MCY/3678585 </v>
      </c>
    </row>
    <row r="41" spans="1:13" ht="15.2" customHeight="1" x14ac:dyDescent="0.2">
      <c r="A41" s="26" t="s">
        <v>3168</v>
      </c>
      <c r="B41" s="27" t="s">
        <v>3169</v>
      </c>
      <c r="C41" s="28">
        <v>1</v>
      </c>
      <c r="D41" s="29">
        <v>18.739999999999998</v>
      </c>
      <c r="E41" s="29">
        <v>18.739999999999998</v>
      </c>
      <c r="F41" s="30">
        <v>43.5</v>
      </c>
      <c r="G41" s="29">
        <v>43.5</v>
      </c>
      <c r="H41" s="28" t="s">
        <v>1133</v>
      </c>
      <c r="I41" s="27" t="s">
        <v>4</v>
      </c>
      <c r="J41" s="31" t="s">
        <v>230</v>
      </c>
      <c r="K41" s="27" t="s">
        <v>41</v>
      </c>
      <c r="L41" s="27" t="s">
        <v>45</v>
      </c>
      <c r="M41" s="32" t="str">
        <f>HYPERLINK("http://slimages.macys.com/is/image/MCY/3678345 ")</f>
        <v xml:space="preserve">http://slimages.macys.com/is/image/MCY/3678345 </v>
      </c>
    </row>
    <row r="42" spans="1:13" ht="15.2" customHeight="1" x14ac:dyDescent="0.2">
      <c r="A42" s="26" t="s">
        <v>3170</v>
      </c>
      <c r="B42" s="27" t="s">
        <v>3171</v>
      </c>
      <c r="C42" s="28">
        <v>1</v>
      </c>
      <c r="D42" s="29">
        <v>18.5</v>
      </c>
      <c r="E42" s="29">
        <v>18.5</v>
      </c>
      <c r="F42" s="30">
        <v>39.979999999999997</v>
      </c>
      <c r="G42" s="29">
        <v>39.979999999999997</v>
      </c>
      <c r="H42" s="28" t="s">
        <v>2825</v>
      </c>
      <c r="I42" s="27" t="s">
        <v>291</v>
      </c>
      <c r="J42" s="31"/>
      <c r="K42" s="27" t="s">
        <v>37</v>
      </c>
      <c r="L42" s="27" t="s">
        <v>38</v>
      </c>
      <c r="M42" s="32" t="str">
        <f>HYPERLINK("http://slimages.macys.com/is/image/MCY/3676185 ")</f>
        <v xml:space="preserve">http://slimages.macys.com/is/image/MCY/3676185 </v>
      </c>
    </row>
    <row r="43" spans="1:13" ht="15.2" customHeight="1" x14ac:dyDescent="0.2">
      <c r="A43" s="26" t="s">
        <v>1139</v>
      </c>
      <c r="B43" s="27" t="s">
        <v>1140</v>
      </c>
      <c r="C43" s="28">
        <v>1</v>
      </c>
      <c r="D43" s="29">
        <v>18.23</v>
      </c>
      <c r="E43" s="29">
        <v>18.23</v>
      </c>
      <c r="F43" s="30">
        <v>49.99</v>
      </c>
      <c r="G43" s="29">
        <v>49.99</v>
      </c>
      <c r="H43" s="28" t="s">
        <v>79</v>
      </c>
      <c r="I43" s="27" t="s">
        <v>20</v>
      </c>
      <c r="J43" s="31" t="s">
        <v>5</v>
      </c>
      <c r="K43" s="27" t="s">
        <v>41</v>
      </c>
      <c r="L43" s="27" t="s">
        <v>80</v>
      </c>
      <c r="M43" s="32" t="str">
        <f>HYPERLINK("http://slimages.macys.com/is/image/MCY/3954963 ")</f>
        <v xml:space="preserve">http://slimages.macys.com/is/image/MCY/3954963 </v>
      </c>
    </row>
    <row r="44" spans="1:13" ht="15.2" customHeight="1" x14ac:dyDescent="0.2">
      <c r="A44" s="26" t="s">
        <v>3172</v>
      </c>
      <c r="B44" s="27" t="s">
        <v>3173</v>
      </c>
      <c r="C44" s="28">
        <v>1</v>
      </c>
      <c r="D44" s="29">
        <v>18.23</v>
      </c>
      <c r="E44" s="29">
        <v>18.23</v>
      </c>
      <c r="F44" s="30">
        <v>49.99</v>
      </c>
      <c r="G44" s="29">
        <v>49.99</v>
      </c>
      <c r="H44" s="28" t="s">
        <v>1141</v>
      </c>
      <c r="I44" s="27" t="s">
        <v>1</v>
      </c>
      <c r="J44" s="31" t="s">
        <v>5</v>
      </c>
      <c r="K44" s="27" t="s">
        <v>41</v>
      </c>
      <c r="L44" s="27" t="s">
        <v>83</v>
      </c>
      <c r="M44" s="32" t="str">
        <f>HYPERLINK("http://slimages.macys.com/is/image/MCY/3954961 ")</f>
        <v xml:space="preserve">http://slimages.macys.com/is/image/MCY/3954961 </v>
      </c>
    </row>
    <row r="45" spans="1:13" ht="15.2" customHeight="1" x14ac:dyDescent="0.2">
      <c r="A45" s="26" t="s">
        <v>95</v>
      </c>
      <c r="B45" s="27" t="s">
        <v>96</v>
      </c>
      <c r="C45" s="28">
        <v>1</v>
      </c>
      <c r="D45" s="29">
        <v>18.059999999999999</v>
      </c>
      <c r="E45" s="29">
        <v>18.059999999999999</v>
      </c>
      <c r="F45" s="30">
        <v>49.5</v>
      </c>
      <c r="G45" s="29">
        <v>49.5</v>
      </c>
      <c r="H45" s="28" t="s">
        <v>93</v>
      </c>
      <c r="I45" s="27" t="s">
        <v>94</v>
      </c>
      <c r="J45" s="31" t="s">
        <v>5</v>
      </c>
      <c r="K45" s="27" t="s">
        <v>41</v>
      </c>
      <c r="L45" s="27" t="s">
        <v>45</v>
      </c>
      <c r="M45" s="32" t="str">
        <f>HYPERLINK("http://slimages.macys.com/is/image/MCY/3954975 ")</f>
        <v xml:space="preserve">http://slimages.macys.com/is/image/MCY/3954975 </v>
      </c>
    </row>
    <row r="46" spans="1:13" ht="15.2" customHeight="1" x14ac:dyDescent="0.2">
      <c r="A46" s="26" t="s">
        <v>1749</v>
      </c>
      <c r="B46" s="27" t="s">
        <v>1750</v>
      </c>
      <c r="C46" s="28">
        <v>1</v>
      </c>
      <c r="D46" s="29">
        <v>18.059999999999999</v>
      </c>
      <c r="E46" s="29">
        <v>18.059999999999999</v>
      </c>
      <c r="F46" s="30">
        <v>49.5</v>
      </c>
      <c r="G46" s="29">
        <v>49.5</v>
      </c>
      <c r="H46" s="28" t="s">
        <v>93</v>
      </c>
      <c r="I46" s="27" t="s">
        <v>94</v>
      </c>
      <c r="J46" s="31" t="s">
        <v>21</v>
      </c>
      <c r="K46" s="27" t="s">
        <v>41</v>
      </c>
      <c r="L46" s="27" t="s">
        <v>45</v>
      </c>
      <c r="M46" s="32" t="str">
        <f>HYPERLINK("http://slimages.macys.com/is/image/MCY/3954975 ")</f>
        <v xml:space="preserve">http://slimages.macys.com/is/image/MCY/3954975 </v>
      </c>
    </row>
    <row r="47" spans="1:13" ht="15.2" customHeight="1" x14ac:dyDescent="0.2">
      <c r="A47" s="26" t="s">
        <v>3174</v>
      </c>
      <c r="B47" s="27" t="s">
        <v>3175</v>
      </c>
      <c r="C47" s="28">
        <v>1</v>
      </c>
      <c r="D47" s="29">
        <v>17.850000000000001</v>
      </c>
      <c r="E47" s="29">
        <v>17.850000000000001</v>
      </c>
      <c r="F47" s="30">
        <v>59.5</v>
      </c>
      <c r="G47" s="29">
        <v>59.5</v>
      </c>
      <c r="H47" s="28">
        <v>49022900</v>
      </c>
      <c r="I47" s="27" t="s">
        <v>238</v>
      </c>
      <c r="J47" s="31" t="s">
        <v>21</v>
      </c>
      <c r="K47" s="27" t="s">
        <v>6</v>
      </c>
      <c r="L47" s="27" t="s">
        <v>7</v>
      </c>
      <c r="M47" s="32" t="str">
        <f>HYPERLINK("http://slimages.macys.com/is/image/MCY/3939787 ")</f>
        <v xml:space="preserve">http://slimages.macys.com/is/image/MCY/3939787 </v>
      </c>
    </row>
    <row r="48" spans="1:13" ht="15.2" customHeight="1" x14ac:dyDescent="0.2">
      <c r="A48" s="26" t="s">
        <v>3176</v>
      </c>
      <c r="B48" s="27" t="s">
        <v>3177</v>
      </c>
      <c r="C48" s="28">
        <v>1</v>
      </c>
      <c r="D48" s="29">
        <v>17.670000000000002</v>
      </c>
      <c r="E48" s="29">
        <v>17.670000000000002</v>
      </c>
      <c r="F48" s="30">
        <v>49.5</v>
      </c>
      <c r="G48" s="29">
        <v>49.5</v>
      </c>
      <c r="H48" s="28" t="s">
        <v>2587</v>
      </c>
      <c r="I48" s="27" t="s">
        <v>75</v>
      </c>
      <c r="J48" s="31" t="s">
        <v>40</v>
      </c>
      <c r="K48" s="27" t="s">
        <v>53</v>
      </c>
      <c r="L48" s="27" t="s">
        <v>54</v>
      </c>
      <c r="M48" s="32" t="str">
        <f>HYPERLINK("http://slimages.macys.com/is/image/MCY/3758286 ")</f>
        <v xml:space="preserve">http://slimages.macys.com/is/image/MCY/3758286 </v>
      </c>
    </row>
    <row r="49" spans="1:13" ht="15.2" customHeight="1" x14ac:dyDescent="0.2">
      <c r="A49" s="26" t="s">
        <v>2585</v>
      </c>
      <c r="B49" s="27" t="s">
        <v>2586</v>
      </c>
      <c r="C49" s="28">
        <v>3</v>
      </c>
      <c r="D49" s="29">
        <v>17.670000000000002</v>
      </c>
      <c r="E49" s="29">
        <v>53.01</v>
      </c>
      <c r="F49" s="30">
        <v>49.5</v>
      </c>
      <c r="G49" s="29">
        <v>148.5</v>
      </c>
      <c r="H49" s="28" t="s">
        <v>2587</v>
      </c>
      <c r="I49" s="27" t="s">
        <v>75</v>
      </c>
      <c r="J49" s="31" t="s">
        <v>5</v>
      </c>
      <c r="K49" s="27" t="s">
        <v>53</v>
      </c>
      <c r="L49" s="27" t="s">
        <v>54</v>
      </c>
      <c r="M49" s="32" t="str">
        <f>HYPERLINK("http://slimages.macys.com/is/image/MCY/3758286 ")</f>
        <v xml:space="preserve">http://slimages.macys.com/is/image/MCY/3758286 </v>
      </c>
    </row>
    <row r="50" spans="1:13" ht="15.2" customHeight="1" x14ac:dyDescent="0.2">
      <c r="A50" s="26" t="s">
        <v>3178</v>
      </c>
      <c r="B50" s="27" t="s">
        <v>3179</v>
      </c>
      <c r="C50" s="28">
        <v>2</v>
      </c>
      <c r="D50" s="29">
        <v>17.670000000000002</v>
      </c>
      <c r="E50" s="29">
        <v>35.340000000000003</v>
      </c>
      <c r="F50" s="30">
        <v>49.5</v>
      </c>
      <c r="G50" s="29">
        <v>99</v>
      </c>
      <c r="H50" s="28" t="s">
        <v>2587</v>
      </c>
      <c r="I50" s="27" t="s">
        <v>75</v>
      </c>
      <c r="J50" s="31" t="s">
        <v>21</v>
      </c>
      <c r="K50" s="27" t="s">
        <v>53</v>
      </c>
      <c r="L50" s="27" t="s">
        <v>54</v>
      </c>
      <c r="M50" s="32" t="str">
        <f>HYPERLINK("http://slimages.macys.com/is/image/MCY/3758286 ")</f>
        <v xml:space="preserve">http://slimages.macys.com/is/image/MCY/3758286 </v>
      </c>
    </row>
    <row r="51" spans="1:13" ht="15.2" customHeight="1" x14ac:dyDescent="0.2">
      <c r="A51" s="26" t="s">
        <v>3180</v>
      </c>
      <c r="B51" s="27" t="s">
        <v>3181</v>
      </c>
      <c r="C51" s="28">
        <v>1</v>
      </c>
      <c r="D51" s="29">
        <v>17.670000000000002</v>
      </c>
      <c r="E51" s="29">
        <v>17.670000000000002</v>
      </c>
      <c r="F51" s="30">
        <v>49.5</v>
      </c>
      <c r="G51" s="29">
        <v>49.5</v>
      </c>
      <c r="H51" s="28" t="s">
        <v>2587</v>
      </c>
      <c r="I51" s="27" t="s">
        <v>75</v>
      </c>
      <c r="J51" s="31" t="s">
        <v>52</v>
      </c>
      <c r="K51" s="27" t="s">
        <v>53</v>
      </c>
      <c r="L51" s="27" t="s">
        <v>54</v>
      </c>
      <c r="M51" s="32" t="str">
        <f>HYPERLINK("http://slimages.macys.com/is/image/MCY/3758286 ")</f>
        <v xml:space="preserve">http://slimages.macys.com/is/image/MCY/3758286 </v>
      </c>
    </row>
    <row r="52" spans="1:13" ht="15.2" customHeight="1" x14ac:dyDescent="0.2">
      <c r="A52" s="26" t="s">
        <v>1153</v>
      </c>
      <c r="B52" s="27" t="s">
        <v>1154</v>
      </c>
      <c r="C52" s="28">
        <v>1</v>
      </c>
      <c r="D52" s="29">
        <v>17.59</v>
      </c>
      <c r="E52" s="29">
        <v>17.59</v>
      </c>
      <c r="F52" s="30">
        <v>49.5</v>
      </c>
      <c r="G52" s="29">
        <v>49.5</v>
      </c>
      <c r="H52" s="28" t="s">
        <v>698</v>
      </c>
      <c r="I52" s="27" t="s">
        <v>82</v>
      </c>
      <c r="J52" s="31" t="s">
        <v>50</v>
      </c>
      <c r="K52" s="27" t="s">
        <v>12</v>
      </c>
      <c r="L52" s="27" t="s">
        <v>90</v>
      </c>
      <c r="M52" s="32" t="str">
        <f>HYPERLINK("http://slimages.macys.com/is/image/MCY/3922404 ")</f>
        <v xml:space="preserve">http://slimages.macys.com/is/image/MCY/3922404 </v>
      </c>
    </row>
    <row r="53" spans="1:13" ht="15.2" customHeight="1" x14ac:dyDescent="0.2">
      <c r="A53" s="26" t="s">
        <v>3182</v>
      </c>
      <c r="B53" s="27" t="s">
        <v>3183</v>
      </c>
      <c r="C53" s="28">
        <v>1</v>
      </c>
      <c r="D53" s="29">
        <v>17.59</v>
      </c>
      <c r="E53" s="29">
        <v>17.59</v>
      </c>
      <c r="F53" s="30">
        <v>49.5</v>
      </c>
      <c r="G53" s="29">
        <v>49.5</v>
      </c>
      <c r="H53" s="28" t="s">
        <v>698</v>
      </c>
      <c r="I53" s="27" t="s">
        <v>22</v>
      </c>
      <c r="J53" s="31" t="s">
        <v>50</v>
      </c>
      <c r="K53" s="27" t="s">
        <v>12</v>
      </c>
      <c r="L53" s="27" t="s">
        <v>90</v>
      </c>
      <c r="M53" s="32" t="str">
        <f>HYPERLINK("http://slimages.macys.com/is/image/MCY/3922404 ")</f>
        <v xml:space="preserve">http://slimages.macys.com/is/image/MCY/3922404 </v>
      </c>
    </row>
    <row r="54" spans="1:13" ht="15.2" customHeight="1" x14ac:dyDescent="0.2">
      <c r="A54" s="26" t="s">
        <v>3184</v>
      </c>
      <c r="B54" s="27" t="s">
        <v>3185</v>
      </c>
      <c r="C54" s="28">
        <v>1</v>
      </c>
      <c r="D54" s="29">
        <v>17.25</v>
      </c>
      <c r="E54" s="29">
        <v>17.25</v>
      </c>
      <c r="F54" s="30">
        <v>49</v>
      </c>
      <c r="G54" s="29">
        <v>49</v>
      </c>
      <c r="H54" s="28" t="s">
        <v>116</v>
      </c>
      <c r="I54" s="27" t="s">
        <v>75</v>
      </c>
      <c r="J54" s="31" t="s">
        <v>40</v>
      </c>
      <c r="K54" s="27" t="s">
        <v>37</v>
      </c>
      <c r="L54" s="27" t="s">
        <v>38</v>
      </c>
      <c r="M54" s="32" t="str">
        <f>HYPERLINK("http://slimages.macys.com/is/image/MCY/3820526 ")</f>
        <v xml:space="preserve">http://slimages.macys.com/is/image/MCY/3820526 </v>
      </c>
    </row>
    <row r="55" spans="1:13" ht="15.2" customHeight="1" x14ac:dyDescent="0.2">
      <c r="A55" s="26" t="s">
        <v>3186</v>
      </c>
      <c r="B55" s="27" t="s">
        <v>3187</v>
      </c>
      <c r="C55" s="28">
        <v>1</v>
      </c>
      <c r="D55" s="29">
        <v>17.25</v>
      </c>
      <c r="E55" s="29">
        <v>17.25</v>
      </c>
      <c r="F55" s="30">
        <v>49</v>
      </c>
      <c r="G55" s="29">
        <v>49</v>
      </c>
      <c r="H55" s="28" t="s">
        <v>116</v>
      </c>
      <c r="I55" s="27" t="s">
        <v>36</v>
      </c>
      <c r="J55" s="31" t="s">
        <v>5</v>
      </c>
      <c r="K55" s="27" t="s">
        <v>37</v>
      </c>
      <c r="L55" s="27" t="s">
        <v>38</v>
      </c>
      <c r="M55" s="32" t="str">
        <f>HYPERLINK("http://slimages.macys.com/is/image/MCY/3820526 ")</f>
        <v xml:space="preserve">http://slimages.macys.com/is/image/MCY/3820526 </v>
      </c>
    </row>
    <row r="56" spans="1:13" ht="15.2" customHeight="1" x14ac:dyDescent="0.2">
      <c r="A56" s="26" t="s">
        <v>699</v>
      </c>
      <c r="B56" s="27" t="s">
        <v>700</v>
      </c>
      <c r="C56" s="28">
        <v>1</v>
      </c>
      <c r="D56" s="29">
        <v>17.25</v>
      </c>
      <c r="E56" s="29">
        <v>17.25</v>
      </c>
      <c r="F56" s="30">
        <v>49</v>
      </c>
      <c r="G56" s="29">
        <v>49</v>
      </c>
      <c r="H56" s="28" t="s">
        <v>116</v>
      </c>
      <c r="I56" s="27" t="s">
        <v>36</v>
      </c>
      <c r="J56" s="31" t="s">
        <v>40</v>
      </c>
      <c r="K56" s="27" t="s">
        <v>37</v>
      </c>
      <c r="L56" s="27" t="s">
        <v>38</v>
      </c>
      <c r="M56" s="32" t="str">
        <f>HYPERLINK("http://slimages.macys.com/is/image/MCY/3820526 ")</f>
        <v xml:space="preserve">http://slimages.macys.com/is/image/MCY/3820526 </v>
      </c>
    </row>
    <row r="57" spans="1:13" ht="15.2" customHeight="1" x14ac:dyDescent="0.2">
      <c r="A57" s="26" t="s">
        <v>3188</v>
      </c>
      <c r="B57" s="27" t="s">
        <v>3189</v>
      </c>
      <c r="C57" s="28">
        <v>1</v>
      </c>
      <c r="D57" s="29">
        <v>17.25</v>
      </c>
      <c r="E57" s="29">
        <v>17.25</v>
      </c>
      <c r="F57" s="30">
        <v>49</v>
      </c>
      <c r="G57" s="29">
        <v>49</v>
      </c>
      <c r="H57" s="28" t="s">
        <v>2828</v>
      </c>
      <c r="I57" s="27" t="s">
        <v>4</v>
      </c>
      <c r="J57" s="31" t="s">
        <v>40</v>
      </c>
      <c r="K57" s="27" t="s">
        <v>37</v>
      </c>
      <c r="L57" s="27" t="s">
        <v>38</v>
      </c>
      <c r="M57" s="32" t="str">
        <f>HYPERLINK("http://slimages.macys.com/is/image/MCY/3801775 ")</f>
        <v xml:space="preserve">http://slimages.macys.com/is/image/MCY/3801775 </v>
      </c>
    </row>
    <row r="58" spans="1:13" ht="15.2" customHeight="1" x14ac:dyDescent="0.2">
      <c r="A58" s="26" t="s">
        <v>3190</v>
      </c>
      <c r="B58" s="27" t="s">
        <v>3191</v>
      </c>
      <c r="C58" s="28">
        <v>1</v>
      </c>
      <c r="D58" s="29">
        <v>16.5</v>
      </c>
      <c r="E58" s="29">
        <v>16.5</v>
      </c>
      <c r="F58" s="30">
        <v>64</v>
      </c>
      <c r="G58" s="29">
        <v>64</v>
      </c>
      <c r="H58" s="28" t="s">
        <v>136</v>
      </c>
      <c r="I58" s="27" t="s">
        <v>4</v>
      </c>
      <c r="J58" s="31" t="s">
        <v>663</v>
      </c>
      <c r="K58" s="27" t="s">
        <v>132</v>
      </c>
      <c r="L58" s="27" t="s">
        <v>133</v>
      </c>
      <c r="M58" s="32" t="str">
        <f>HYPERLINK("http://slimages.macys.com/is/image/MCY/3927330 ")</f>
        <v xml:space="preserve">http://slimages.macys.com/is/image/MCY/3927330 </v>
      </c>
    </row>
    <row r="59" spans="1:13" ht="15.2" customHeight="1" x14ac:dyDescent="0.2">
      <c r="A59" s="26" t="s">
        <v>129</v>
      </c>
      <c r="B59" s="27" t="s">
        <v>130</v>
      </c>
      <c r="C59" s="28">
        <v>2</v>
      </c>
      <c r="D59" s="29">
        <v>16.5</v>
      </c>
      <c r="E59" s="29">
        <v>33</v>
      </c>
      <c r="F59" s="30">
        <v>59</v>
      </c>
      <c r="G59" s="29">
        <v>118</v>
      </c>
      <c r="H59" s="28" t="s">
        <v>131</v>
      </c>
      <c r="I59" s="27" t="s">
        <v>1</v>
      </c>
      <c r="J59" s="31" t="s">
        <v>14</v>
      </c>
      <c r="K59" s="27" t="s">
        <v>132</v>
      </c>
      <c r="L59" s="27" t="s">
        <v>133</v>
      </c>
      <c r="M59" s="32" t="str">
        <f>HYPERLINK("http://slimages.macys.com/is/image/MCY/3938457 ")</f>
        <v xml:space="preserve">http://slimages.macys.com/is/image/MCY/3938457 </v>
      </c>
    </row>
    <row r="60" spans="1:13" ht="15.2" customHeight="1" x14ac:dyDescent="0.2">
      <c r="A60" s="26" t="s">
        <v>3192</v>
      </c>
      <c r="B60" s="27" t="s">
        <v>3193</v>
      </c>
      <c r="C60" s="28">
        <v>1</v>
      </c>
      <c r="D60" s="29">
        <v>16.5</v>
      </c>
      <c r="E60" s="29">
        <v>16.5</v>
      </c>
      <c r="F60" s="30">
        <v>59</v>
      </c>
      <c r="G60" s="29">
        <v>59</v>
      </c>
      <c r="H60" s="28" t="s">
        <v>3194</v>
      </c>
      <c r="I60" s="27" t="s">
        <v>22</v>
      </c>
      <c r="J60" s="31" t="s">
        <v>32</v>
      </c>
      <c r="K60" s="27" t="s">
        <v>132</v>
      </c>
      <c r="L60" s="27" t="s">
        <v>254</v>
      </c>
      <c r="M60" s="32" t="str">
        <f>HYPERLINK("http://slimages.macys.com/is/image/MCY/3931857 ")</f>
        <v xml:space="preserve">http://slimages.macys.com/is/image/MCY/3931857 </v>
      </c>
    </row>
    <row r="61" spans="1:13" ht="15.2" customHeight="1" x14ac:dyDescent="0.2">
      <c r="A61" s="26" t="s">
        <v>3195</v>
      </c>
      <c r="B61" s="27" t="s">
        <v>3196</v>
      </c>
      <c r="C61" s="28">
        <v>1</v>
      </c>
      <c r="D61" s="29">
        <v>16</v>
      </c>
      <c r="E61" s="29">
        <v>16</v>
      </c>
      <c r="F61" s="30">
        <v>49.5</v>
      </c>
      <c r="G61" s="29">
        <v>49.5</v>
      </c>
      <c r="H61" s="28" t="s">
        <v>3197</v>
      </c>
      <c r="I61" s="27" t="s">
        <v>4</v>
      </c>
      <c r="J61" s="31"/>
      <c r="K61" s="27" t="s">
        <v>12</v>
      </c>
      <c r="L61" s="27" t="s">
        <v>13</v>
      </c>
      <c r="M61" s="32" t="str">
        <f>HYPERLINK("http://slimages.macys.com/is/image/MCY/3653345 ")</f>
        <v xml:space="preserve">http://slimages.macys.com/is/image/MCY/3653345 </v>
      </c>
    </row>
    <row r="62" spans="1:13" ht="15.2" customHeight="1" x14ac:dyDescent="0.2">
      <c r="A62" s="26" t="s">
        <v>3198</v>
      </c>
      <c r="B62" s="27" t="s">
        <v>3199</v>
      </c>
      <c r="C62" s="28">
        <v>1</v>
      </c>
      <c r="D62" s="29">
        <v>15.93</v>
      </c>
      <c r="E62" s="29">
        <v>15.93</v>
      </c>
      <c r="F62" s="30">
        <v>44.5</v>
      </c>
      <c r="G62" s="29">
        <v>44.5</v>
      </c>
      <c r="H62" s="28" t="s">
        <v>3200</v>
      </c>
      <c r="I62" s="27" t="s">
        <v>478</v>
      </c>
      <c r="J62" s="31" t="s">
        <v>23</v>
      </c>
      <c r="K62" s="27" t="s">
        <v>41</v>
      </c>
      <c r="L62" s="27" t="s">
        <v>45</v>
      </c>
      <c r="M62" s="32" t="str">
        <f>HYPERLINK("http://slimages.macys.com/is/image/MCY/3621394 ")</f>
        <v xml:space="preserve">http://slimages.macys.com/is/image/MCY/3621394 </v>
      </c>
    </row>
    <row r="63" spans="1:13" ht="15.2" customHeight="1" x14ac:dyDescent="0.2">
      <c r="A63" s="26" t="s">
        <v>3201</v>
      </c>
      <c r="B63" s="27" t="s">
        <v>3202</v>
      </c>
      <c r="C63" s="28">
        <v>1</v>
      </c>
      <c r="D63" s="29">
        <v>15.81</v>
      </c>
      <c r="E63" s="29">
        <v>15.81</v>
      </c>
      <c r="F63" s="30">
        <v>44.5</v>
      </c>
      <c r="G63" s="29">
        <v>44.5</v>
      </c>
      <c r="H63" s="28" t="s">
        <v>2835</v>
      </c>
      <c r="I63" s="27" t="s">
        <v>26</v>
      </c>
      <c r="J63" s="31" t="s">
        <v>50</v>
      </c>
      <c r="K63" s="27" t="s">
        <v>12</v>
      </c>
      <c r="L63" s="27" t="s">
        <v>13</v>
      </c>
      <c r="M63" s="32" t="str">
        <f>HYPERLINK("http://slimages.macys.com/is/image/MCY/3972905 ")</f>
        <v xml:space="preserve">http://slimages.macys.com/is/image/MCY/3972905 </v>
      </c>
    </row>
    <row r="64" spans="1:13" ht="15.2" customHeight="1" x14ac:dyDescent="0.2">
      <c r="A64" s="26" t="s">
        <v>3203</v>
      </c>
      <c r="B64" s="27" t="s">
        <v>3204</v>
      </c>
      <c r="C64" s="28">
        <v>1</v>
      </c>
      <c r="D64" s="29">
        <v>15.75</v>
      </c>
      <c r="E64" s="29">
        <v>15.75</v>
      </c>
      <c r="F64" s="30">
        <v>49</v>
      </c>
      <c r="G64" s="29">
        <v>49</v>
      </c>
      <c r="H64" s="28" t="s">
        <v>3205</v>
      </c>
      <c r="I64" s="27" t="s">
        <v>82</v>
      </c>
      <c r="J64" s="31" t="s">
        <v>5</v>
      </c>
      <c r="K64" s="27" t="s">
        <v>37</v>
      </c>
      <c r="L64" s="27" t="s">
        <v>38</v>
      </c>
      <c r="M64" s="32" t="str">
        <f>HYPERLINK("http://slimages.macys.com/is/image/MCY/3789248 ")</f>
        <v xml:space="preserve">http://slimages.macys.com/is/image/MCY/3789248 </v>
      </c>
    </row>
    <row r="65" spans="1:13" ht="15.2" customHeight="1" x14ac:dyDescent="0.2">
      <c r="A65" s="26" t="s">
        <v>3206</v>
      </c>
      <c r="B65" s="27" t="s">
        <v>3207</v>
      </c>
      <c r="C65" s="28">
        <v>1</v>
      </c>
      <c r="D65" s="29">
        <v>15.75</v>
      </c>
      <c r="E65" s="29">
        <v>15.75</v>
      </c>
      <c r="F65" s="30">
        <v>49</v>
      </c>
      <c r="G65" s="29">
        <v>49</v>
      </c>
      <c r="H65" s="28" t="s">
        <v>3208</v>
      </c>
      <c r="I65" s="27" t="s">
        <v>36</v>
      </c>
      <c r="J65" s="31" t="s">
        <v>71</v>
      </c>
      <c r="K65" s="27" t="s">
        <v>37</v>
      </c>
      <c r="L65" s="27" t="s">
        <v>38</v>
      </c>
      <c r="M65" s="32" t="str">
        <f>HYPERLINK("http://slimages.macys.com/is/image/MCY/3667790 ")</f>
        <v xml:space="preserve">http://slimages.macys.com/is/image/MCY/3667790 </v>
      </c>
    </row>
    <row r="66" spans="1:13" ht="15.2" customHeight="1" x14ac:dyDescent="0.2">
      <c r="A66" s="26" t="s">
        <v>3209</v>
      </c>
      <c r="B66" s="27" t="s">
        <v>3210</v>
      </c>
      <c r="C66" s="28">
        <v>1</v>
      </c>
      <c r="D66" s="29">
        <v>15.75</v>
      </c>
      <c r="E66" s="29">
        <v>15.75</v>
      </c>
      <c r="F66" s="30">
        <v>49</v>
      </c>
      <c r="G66" s="29">
        <v>49</v>
      </c>
      <c r="H66" s="28" t="s">
        <v>149</v>
      </c>
      <c r="I66" s="27" t="s">
        <v>82</v>
      </c>
      <c r="J66" s="31" t="s">
        <v>21</v>
      </c>
      <c r="K66" s="27" t="s">
        <v>37</v>
      </c>
      <c r="L66" s="27" t="s">
        <v>38</v>
      </c>
      <c r="M66" s="32" t="str">
        <f>HYPERLINK("http://slimages.macys.com/is/image/MCY/3937264 ")</f>
        <v xml:space="preserve">http://slimages.macys.com/is/image/MCY/3937264 </v>
      </c>
    </row>
    <row r="67" spans="1:13" ht="15.2" customHeight="1" x14ac:dyDescent="0.2">
      <c r="A67" s="26" t="s">
        <v>3211</v>
      </c>
      <c r="B67" s="27" t="s">
        <v>3212</v>
      </c>
      <c r="C67" s="28">
        <v>1</v>
      </c>
      <c r="D67" s="29">
        <v>15.75</v>
      </c>
      <c r="E67" s="29">
        <v>15.75</v>
      </c>
      <c r="F67" s="30">
        <v>49</v>
      </c>
      <c r="G67" s="29">
        <v>49</v>
      </c>
      <c r="H67" s="28" t="s">
        <v>145</v>
      </c>
      <c r="I67" s="27" t="s">
        <v>146</v>
      </c>
      <c r="J67" s="31" t="s">
        <v>52</v>
      </c>
      <c r="K67" s="27" t="s">
        <v>37</v>
      </c>
      <c r="L67" s="27" t="s">
        <v>38</v>
      </c>
      <c r="M67" s="32" t="str">
        <f>HYPERLINK("http://slimages.macys.com/is/image/MCY/3667805 ")</f>
        <v xml:space="preserve">http://slimages.macys.com/is/image/MCY/3667805 </v>
      </c>
    </row>
    <row r="68" spans="1:13" ht="15.2" customHeight="1" x14ac:dyDescent="0.2">
      <c r="A68" s="26" t="s">
        <v>3213</v>
      </c>
      <c r="B68" s="27" t="s">
        <v>3214</v>
      </c>
      <c r="C68" s="28">
        <v>1</v>
      </c>
      <c r="D68" s="29">
        <v>15.75</v>
      </c>
      <c r="E68" s="29">
        <v>15.75</v>
      </c>
      <c r="F68" s="30">
        <v>49</v>
      </c>
      <c r="G68" s="29">
        <v>49</v>
      </c>
      <c r="H68" s="28" t="s">
        <v>3208</v>
      </c>
      <c r="I68" s="27" t="s">
        <v>36</v>
      </c>
      <c r="J68" s="31" t="s">
        <v>21</v>
      </c>
      <c r="K68" s="27" t="s">
        <v>37</v>
      </c>
      <c r="L68" s="27" t="s">
        <v>38</v>
      </c>
      <c r="M68" s="32" t="str">
        <f>HYPERLINK("http://slimages.macys.com/is/image/MCY/3667790 ")</f>
        <v xml:space="preserve">http://slimages.macys.com/is/image/MCY/3667790 </v>
      </c>
    </row>
    <row r="69" spans="1:13" ht="15.2" customHeight="1" x14ac:dyDescent="0.2">
      <c r="A69" s="26" t="s">
        <v>3215</v>
      </c>
      <c r="B69" s="27" t="s">
        <v>3216</v>
      </c>
      <c r="C69" s="28">
        <v>1</v>
      </c>
      <c r="D69" s="29">
        <v>15</v>
      </c>
      <c r="E69" s="29">
        <v>15</v>
      </c>
      <c r="F69" s="30">
        <v>69</v>
      </c>
      <c r="G69" s="29">
        <v>69</v>
      </c>
      <c r="H69" s="28" t="s">
        <v>3217</v>
      </c>
      <c r="I69" s="27" t="s">
        <v>4</v>
      </c>
      <c r="J69" s="31" t="s">
        <v>30</v>
      </c>
      <c r="K69" s="27" t="s">
        <v>132</v>
      </c>
      <c r="L69" s="27" t="s">
        <v>493</v>
      </c>
      <c r="M69" s="32" t="str">
        <f>HYPERLINK("http://slimages.macys.com/is/image/MCY/3922158 ")</f>
        <v xml:space="preserve">http://slimages.macys.com/is/image/MCY/3922158 </v>
      </c>
    </row>
    <row r="70" spans="1:13" ht="15.2" customHeight="1" x14ac:dyDescent="0.2">
      <c r="A70" s="26" t="s">
        <v>3218</v>
      </c>
      <c r="B70" s="27" t="s">
        <v>3219</v>
      </c>
      <c r="C70" s="28">
        <v>1</v>
      </c>
      <c r="D70" s="29">
        <v>14.5</v>
      </c>
      <c r="E70" s="29">
        <v>14.5</v>
      </c>
      <c r="F70" s="30">
        <v>59</v>
      </c>
      <c r="G70" s="29">
        <v>59</v>
      </c>
      <c r="H70" s="28" t="s">
        <v>2594</v>
      </c>
      <c r="I70" s="27" t="s">
        <v>248</v>
      </c>
      <c r="J70" s="31" t="s">
        <v>14</v>
      </c>
      <c r="K70" s="27" t="s">
        <v>132</v>
      </c>
      <c r="L70" s="27" t="s">
        <v>133</v>
      </c>
      <c r="M70" s="32" t="str">
        <f>HYPERLINK("http://slimages.macys.com/is/image/MCY/3798070 ")</f>
        <v xml:space="preserve">http://slimages.macys.com/is/image/MCY/3798070 </v>
      </c>
    </row>
    <row r="71" spans="1:13" ht="15.2" customHeight="1" x14ac:dyDescent="0.2">
      <c r="A71" s="26" t="s">
        <v>3220</v>
      </c>
      <c r="B71" s="27" t="s">
        <v>3221</v>
      </c>
      <c r="C71" s="28">
        <v>1</v>
      </c>
      <c r="D71" s="29">
        <v>14.5</v>
      </c>
      <c r="E71" s="29">
        <v>14.5</v>
      </c>
      <c r="F71" s="30">
        <v>45</v>
      </c>
      <c r="G71" s="29">
        <v>45</v>
      </c>
      <c r="H71" s="28" t="s">
        <v>1768</v>
      </c>
      <c r="I71" s="27" t="s">
        <v>26</v>
      </c>
      <c r="J71" s="31" t="s">
        <v>71</v>
      </c>
      <c r="K71" s="27" t="s">
        <v>154</v>
      </c>
      <c r="L71" s="27" t="s">
        <v>155</v>
      </c>
      <c r="M71" s="32" t="str">
        <f>HYPERLINK("http://slimages.macys.com/is/image/MCY/3841161 ")</f>
        <v xml:space="preserve">http://slimages.macys.com/is/image/MCY/3841161 </v>
      </c>
    </row>
    <row r="72" spans="1:13" ht="15.2" customHeight="1" x14ac:dyDescent="0.2">
      <c r="A72" s="26" t="s">
        <v>2135</v>
      </c>
      <c r="B72" s="27" t="s">
        <v>2136</v>
      </c>
      <c r="C72" s="28">
        <v>1</v>
      </c>
      <c r="D72" s="29">
        <v>14.5</v>
      </c>
      <c r="E72" s="29">
        <v>14.5</v>
      </c>
      <c r="F72" s="30">
        <v>45</v>
      </c>
      <c r="G72" s="29">
        <v>45</v>
      </c>
      <c r="H72" s="28" t="s">
        <v>1768</v>
      </c>
      <c r="I72" s="27" t="s">
        <v>26</v>
      </c>
      <c r="J72" s="31" t="s">
        <v>5</v>
      </c>
      <c r="K72" s="27" t="s">
        <v>154</v>
      </c>
      <c r="L72" s="27" t="s">
        <v>155</v>
      </c>
      <c r="M72" s="32" t="str">
        <f>HYPERLINK("http://slimages.macys.com/is/image/MCY/3841161 ")</f>
        <v xml:space="preserve">http://slimages.macys.com/is/image/MCY/3841161 </v>
      </c>
    </row>
    <row r="73" spans="1:13" ht="15.2" customHeight="1" x14ac:dyDescent="0.2">
      <c r="A73" s="26" t="s">
        <v>3222</v>
      </c>
      <c r="B73" s="27" t="s">
        <v>3223</v>
      </c>
      <c r="C73" s="28">
        <v>1</v>
      </c>
      <c r="D73" s="29">
        <v>14.5</v>
      </c>
      <c r="E73" s="29">
        <v>14.5</v>
      </c>
      <c r="F73" s="30">
        <v>45</v>
      </c>
      <c r="G73" s="29">
        <v>45</v>
      </c>
      <c r="H73" s="28" t="s">
        <v>1768</v>
      </c>
      <c r="I73" s="27" t="s">
        <v>82</v>
      </c>
      <c r="J73" s="31" t="s">
        <v>65</v>
      </c>
      <c r="K73" s="27" t="s">
        <v>154</v>
      </c>
      <c r="L73" s="27" t="s">
        <v>155</v>
      </c>
      <c r="M73" s="32" t="str">
        <f>HYPERLINK("http://slimages.macys.com/is/image/MCY/3841161 ")</f>
        <v xml:space="preserve">http://slimages.macys.com/is/image/MCY/3841161 </v>
      </c>
    </row>
    <row r="74" spans="1:13" ht="15.2" customHeight="1" x14ac:dyDescent="0.2">
      <c r="A74" s="26" t="s">
        <v>1769</v>
      </c>
      <c r="B74" s="27" t="s">
        <v>1770</v>
      </c>
      <c r="C74" s="28">
        <v>1</v>
      </c>
      <c r="D74" s="29">
        <v>14.5</v>
      </c>
      <c r="E74" s="29">
        <v>14.5</v>
      </c>
      <c r="F74" s="30">
        <v>45</v>
      </c>
      <c r="G74" s="29">
        <v>45</v>
      </c>
      <c r="H74" s="28" t="s">
        <v>729</v>
      </c>
      <c r="I74" s="27" t="s">
        <v>82</v>
      </c>
      <c r="J74" s="31" t="s">
        <v>52</v>
      </c>
      <c r="K74" s="27" t="s">
        <v>154</v>
      </c>
      <c r="L74" s="27" t="s">
        <v>155</v>
      </c>
      <c r="M74" s="32" t="str">
        <f>HYPERLINK("http://slimages.macys.com/is/image/MCY/3801889 ")</f>
        <v xml:space="preserve">http://slimages.macys.com/is/image/MCY/3801889 </v>
      </c>
    </row>
    <row r="75" spans="1:13" ht="15.2" customHeight="1" x14ac:dyDescent="0.2">
      <c r="A75" s="26" t="s">
        <v>3224</v>
      </c>
      <c r="B75" s="27" t="s">
        <v>3225</v>
      </c>
      <c r="C75" s="28">
        <v>1</v>
      </c>
      <c r="D75" s="29">
        <v>14.5</v>
      </c>
      <c r="E75" s="29">
        <v>14.5</v>
      </c>
      <c r="F75" s="30">
        <v>45</v>
      </c>
      <c r="G75" s="29">
        <v>45</v>
      </c>
      <c r="H75" s="28" t="s">
        <v>729</v>
      </c>
      <c r="I75" s="27" t="s">
        <v>82</v>
      </c>
      <c r="J75" s="31" t="s">
        <v>71</v>
      </c>
      <c r="K75" s="27" t="s">
        <v>154</v>
      </c>
      <c r="L75" s="27" t="s">
        <v>155</v>
      </c>
      <c r="M75" s="32" t="str">
        <f>HYPERLINK("http://slimages.macys.com/is/image/MCY/3801889 ")</f>
        <v xml:space="preserve">http://slimages.macys.com/is/image/MCY/3801889 </v>
      </c>
    </row>
    <row r="76" spans="1:13" ht="15.2" customHeight="1" x14ac:dyDescent="0.2">
      <c r="A76" s="26" t="s">
        <v>3226</v>
      </c>
      <c r="B76" s="27" t="s">
        <v>3227</v>
      </c>
      <c r="C76" s="28">
        <v>1</v>
      </c>
      <c r="D76" s="29">
        <v>14.5</v>
      </c>
      <c r="E76" s="29">
        <v>14.5</v>
      </c>
      <c r="F76" s="30">
        <v>34.99</v>
      </c>
      <c r="G76" s="29">
        <v>34.99</v>
      </c>
      <c r="H76" s="28" t="s">
        <v>1179</v>
      </c>
      <c r="I76" s="27" t="s">
        <v>1</v>
      </c>
      <c r="J76" s="31" t="s">
        <v>210</v>
      </c>
      <c r="K76" s="27" t="s">
        <v>200</v>
      </c>
      <c r="L76" s="27" t="s">
        <v>133</v>
      </c>
      <c r="M76" s="32" t="str">
        <f>HYPERLINK("http://slimages.macys.com/is/image/MCY/3652528 ")</f>
        <v xml:space="preserve">http://slimages.macys.com/is/image/MCY/3652528 </v>
      </c>
    </row>
    <row r="77" spans="1:13" ht="15.2" customHeight="1" x14ac:dyDescent="0.2">
      <c r="A77" s="26" t="s">
        <v>1180</v>
      </c>
      <c r="B77" s="27" t="s">
        <v>1181</v>
      </c>
      <c r="C77" s="28">
        <v>1</v>
      </c>
      <c r="D77" s="29">
        <v>14.5</v>
      </c>
      <c r="E77" s="29">
        <v>14.5</v>
      </c>
      <c r="F77" s="30">
        <v>39.5</v>
      </c>
      <c r="G77" s="29">
        <v>39.5</v>
      </c>
      <c r="H77" s="28" t="s">
        <v>164</v>
      </c>
      <c r="I77" s="27" t="s">
        <v>4</v>
      </c>
      <c r="J77" s="31" t="s">
        <v>21</v>
      </c>
      <c r="K77" s="27" t="s">
        <v>53</v>
      </c>
      <c r="L77" s="27" t="s">
        <v>165</v>
      </c>
      <c r="M77" s="32" t="str">
        <f>HYPERLINK("http://slimages.macys.com/is/image/MCY/3954949 ")</f>
        <v xml:space="preserve">http://slimages.macys.com/is/image/MCY/3954949 </v>
      </c>
    </row>
    <row r="78" spans="1:13" ht="15.2" customHeight="1" x14ac:dyDescent="0.2">
      <c r="A78" s="26" t="s">
        <v>3228</v>
      </c>
      <c r="B78" s="27" t="s">
        <v>3229</v>
      </c>
      <c r="C78" s="28">
        <v>2</v>
      </c>
      <c r="D78" s="29">
        <v>14.5</v>
      </c>
      <c r="E78" s="29">
        <v>29</v>
      </c>
      <c r="F78" s="30">
        <v>45</v>
      </c>
      <c r="G78" s="29">
        <v>90</v>
      </c>
      <c r="H78" s="28" t="s">
        <v>1768</v>
      </c>
      <c r="I78" s="27" t="s">
        <v>26</v>
      </c>
      <c r="J78" s="31" t="s">
        <v>65</v>
      </c>
      <c r="K78" s="27" t="s">
        <v>154</v>
      </c>
      <c r="L78" s="27" t="s">
        <v>155</v>
      </c>
      <c r="M78" s="32" t="str">
        <f>HYPERLINK("http://slimages.macys.com/is/image/MCY/3841161 ")</f>
        <v xml:space="preserve">http://slimages.macys.com/is/image/MCY/3841161 </v>
      </c>
    </row>
    <row r="79" spans="1:13" ht="15.2" customHeight="1" x14ac:dyDescent="0.2">
      <c r="A79" s="26" t="s">
        <v>3230</v>
      </c>
      <c r="B79" s="27" t="s">
        <v>3231</v>
      </c>
      <c r="C79" s="28">
        <v>1</v>
      </c>
      <c r="D79" s="29">
        <v>14</v>
      </c>
      <c r="E79" s="29">
        <v>14</v>
      </c>
      <c r="F79" s="30">
        <v>34.99</v>
      </c>
      <c r="G79" s="29">
        <v>34.99</v>
      </c>
      <c r="H79" s="28" t="s">
        <v>183</v>
      </c>
      <c r="I79" s="27" t="s">
        <v>20</v>
      </c>
      <c r="J79" s="31" t="s">
        <v>71</v>
      </c>
      <c r="K79" s="27" t="s">
        <v>70</v>
      </c>
      <c r="L79" s="27" t="s">
        <v>25</v>
      </c>
      <c r="M79" s="32" t="str">
        <f>HYPERLINK("http://slimages.macys.com/is/image/MCY/3777014 ")</f>
        <v xml:space="preserve">http://slimages.macys.com/is/image/MCY/3777014 </v>
      </c>
    </row>
    <row r="80" spans="1:13" ht="15.2" customHeight="1" x14ac:dyDescent="0.2">
      <c r="A80" s="26" t="s">
        <v>3232</v>
      </c>
      <c r="B80" s="27" t="s">
        <v>3233</v>
      </c>
      <c r="C80" s="28">
        <v>1</v>
      </c>
      <c r="D80" s="29">
        <v>14</v>
      </c>
      <c r="E80" s="29">
        <v>14</v>
      </c>
      <c r="F80" s="30">
        <v>44</v>
      </c>
      <c r="G80" s="29">
        <v>44</v>
      </c>
      <c r="H80" s="28" t="s">
        <v>186</v>
      </c>
      <c r="I80" s="27" t="s">
        <v>82</v>
      </c>
      <c r="J80" s="31" t="s">
        <v>5</v>
      </c>
      <c r="K80" s="27" t="s">
        <v>37</v>
      </c>
      <c r="L80" s="27" t="s">
        <v>38</v>
      </c>
      <c r="M80" s="32" t="str">
        <f>HYPERLINK("http://slimages.macys.com/is/image/MCY/3667831 ")</f>
        <v xml:space="preserve">http://slimages.macys.com/is/image/MCY/3667831 </v>
      </c>
    </row>
    <row r="81" spans="1:13" ht="15.2" customHeight="1" x14ac:dyDescent="0.2">
      <c r="A81" s="26" t="s">
        <v>3234</v>
      </c>
      <c r="B81" s="27" t="s">
        <v>3235</v>
      </c>
      <c r="C81" s="28">
        <v>1</v>
      </c>
      <c r="D81" s="29">
        <v>13.5</v>
      </c>
      <c r="E81" s="29">
        <v>13.5</v>
      </c>
      <c r="F81" s="30">
        <v>29.99</v>
      </c>
      <c r="G81" s="29">
        <v>29.99</v>
      </c>
      <c r="H81" s="28" t="s">
        <v>739</v>
      </c>
      <c r="I81" s="27" t="s">
        <v>4</v>
      </c>
      <c r="J81" s="31" t="s">
        <v>69</v>
      </c>
      <c r="K81" s="27" t="s">
        <v>200</v>
      </c>
      <c r="L81" s="27" t="s">
        <v>133</v>
      </c>
      <c r="M81" s="32" t="str">
        <f>HYPERLINK("http://slimages.macys.com/is/image/MCY/3866347 ")</f>
        <v xml:space="preserve">http://slimages.macys.com/is/image/MCY/3866347 </v>
      </c>
    </row>
    <row r="82" spans="1:13" ht="15.2" customHeight="1" x14ac:dyDescent="0.2">
      <c r="A82" s="26" t="s">
        <v>3236</v>
      </c>
      <c r="B82" s="27" t="s">
        <v>3237</v>
      </c>
      <c r="C82" s="28">
        <v>1</v>
      </c>
      <c r="D82" s="29">
        <v>13.5</v>
      </c>
      <c r="E82" s="29">
        <v>13.5</v>
      </c>
      <c r="F82" s="30">
        <v>29.99</v>
      </c>
      <c r="G82" s="29">
        <v>29.99</v>
      </c>
      <c r="H82" s="28" t="s">
        <v>739</v>
      </c>
      <c r="I82" s="27" t="s">
        <v>207</v>
      </c>
      <c r="J82" s="31" t="s">
        <v>214</v>
      </c>
      <c r="K82" s="27" t="s">
        <v>200</v>
      </c>
      <c r="L82" s="27" t="s">
        <v>133</v>
      </c>
      <c r="M82" s="32" t="str">
        <f>HYPERLINK("http://slimages.macys.com/is/image/MCY/3866347 ")</f>
        <v xml:space="preserve">http://slimages.macys.com/is/image/MCY/3866347 </v>
      </c>
    </row>
    <row r="83" spans="1:13" ht="15.2" customHeight="1" x14ac:dyDescent="0.2">
      <c r="A83" s="26" t="s">
        <v>3238</v>
      </c>
      <c r="B83" s="27" t="s">
        <v>3239</v>
      </c>
      <c r="C83" s="28">
        <v>1</v>
      </c>
      <c r="D83" s="29">
        <v>13.5</v>
      </c>
      <c r="E83" s="29">
        <v>13.5</v>
      </c>
      <c r="F83" s="30">
        <v>29.99</v>
      </c>
      <c r="G83" s="29">
        <v>29.99</v>
      </c>
      <c r="H83" s="28" t="s">
        <v>739</v>
      </c>
      <c r="I83" s="27" t="s">
        <v>4</v>
      </c>
      <c r="J83" s="31" t="s">
        <v>216</v>
      </c>
      <c r="K83" s="27" t="s">
        <v>200</v>
      </c>
      <c r="L83" s="27" t="s">
        <v>133</v>
      </c>
      <c r="M83" s="32" t="str">
        <f>HYPERLINK("http://slimages.macys.com/is/image/MCY/3866347 ")</f>
        <v xml:space="preserve">http://slimages.macys.com/is/image/MCY/3866347 </v>
      </c>
    </row>
    <row r="84" spans="1:13" ht="15.2" customHeight="1" x14ac:dyDescent="0.2">
      <c r="A84" s="26" t="s">
        <v>1188</v>
      </c>
      <c r="B84" s="27" t="s">
        <v>1189</v>
      </c>
      <c r="C84" s="28">
        <v>1</v>
      </c>
      <c r="D84" s="29">
        <v>13.5</v>
      </c>
      <c r="E84" s="29">
        <v>13.5</v>
      </c>
      <c r="F84" s="30">
        <v>29.99</v>
      </c>
      <c r="G84" s="29">
        <v>29.99</v>
      </c>
      <c r="H84" s="28" t="s">
        <v>739</v>
      </c>
      <c r="I84" s="27" t="s">
        <v>4</v>
      </c>
      <c r="J84" s="31" t="s">
        <v>113</v>
      </c>
      <c r="K84" s="27" t="s">
        <v>200</v>
      </c>
      <c r="L84" s="27" t="s">
        <v>133</v>
      </c>
      <c r="M84" s="32" t="str">
        <f>HYPERLINK("http://slimages.macys.com/is/image/MCY/3866347 ")</f>
        <v xml:space="preserve">http://slimages.macys.com/is/image/MCY/3866347 </v>
      </c>
    </row>
    <row r="85" spans="1:13" ht="15.2" customHeight="1" x14ac:dyDescent="0.2">
      <c r="A85" s="26" t="s">
        <v>3240</v>
      </c>
      <c r="B85" s="27" t="s">
        <v>3241</v>
      </c>
      <c r="C85" s="28">
        <v>1</v>
      </c>
      <c r="D85" s="29">
        <v>13</v>
      </c>
      <c r="E85" s="29">
        <v>13</v>
      </c>
      <c r="F85" s="30">
        <v>29.99</v>
      </c>
      <c r="G85" s="29">
        <v>29.99</v>
      </c>
      <c r="H85" s="28" t="s">
        <v>1206</v>
      </c>
      <c r="I85" s="27" t="s">
        <v>4</v>
      </c>
      <c r="J85" s="31" t="s">
        <v>234</v>
      </c>
      <c r="K85" s="27" t="s">
        <v>200</v>
      </c>
      <c r="L85" s="27" t="s">
        <v>133</v>
      </c>
      <c r="M85" s="32" t="str">
        <f>HYPERLINK("http://slimages.macys.com/is/image/MCY/3874256 ")</f>
        <v xml:space="preserve">http://slimages.macys.com/is/image/MCY/3874256 </v>
      </c>
    </row>
    <row r="86" spans="1:13" ht="15.2" customHeight="1" x14ac:dyDescent="0.2">
      <c r="A86" s="26" t="s">
        <v>3242</v>
      </c>
      <c r="B86" s="27" t="s">
        <v>3243</v>
      </c>
      <c r="C86" s="28">
        <v>1</v>
      </c>
      <c r="D86" s="29">
        <v>13</v>
      </c>
      <c r="E86" s="29">
        <v>13</v>
      </c>
      <c r="F86" s="30">
        <v>29.99</v>
      </c>
      <c r="G86" s="29">
        <v>29.99</v>
      </c>
      <c r="H86" s="28" t="s">
        <v>3244</v>
      </c>
      <c r="I86" s="27" t="s">
        <v>29</v>
      </c>
      <c r="J86" s="31" t="s">
        <v>69</v>
      </c>
      <c r="K86" s="27" t="s">
        <v>200</v>
      </c>
      <c r="L86" s="27" t="s">
        <v>747</v>
      </c>
      <c r="M86" s="32" t="str">
        <f>HYPERLINK("http://slimages.macys.com/is/image/MCY/3955897 ")</f>
        <v xml:space="preserve">http://slimages.macys.com/is/image/MCY/3955897 </v>
      </c>
    </row>
    <row r="87" spans="1:13" ht="15.2" customHeight="1" x14ac:dyDescent="0.2">
      <c r="A87" s="26" t="s">
        <v>3245</v>
      </c>
      <c r="B87" s="27" t="s">
        <v>3246</v>
      </c>
      <c r="C87" s="28">
        <v>1</v>
      </c>
      <c r="D87" s="29">
        <v>13</v>
      </c>
      <c r="E87" s="29">
        <v>13</v>
      </c>
      <c r="F87" s="30">
        <v>29.99</v>
      </c>
      <c r="G87" s="29">
        <v>29.99</v>
      </c>
      <c r="H87" s="28" t="s">
        <v>750</v>
      </c>
      <c r="I87" s="27" t="s">
        <v>29</v>
      </c>
      <c r="J87" s="31" t="s">
        <v>205</v>
      </c>
      <c r="K87" s="27" t="s">
        <v>200</v>
      </c>
      <c r="L87" s="27" t="s">
        <v>747</v>
      </c>
      <c r="M87" s="32" t="str">
        <f>HYPERLINK("http://slimages.macys.com/is/image/MCY/3955888 ")</f>
        <v xml:space="preserve">http://slimages.macys.com/is/image/MCY/3955888 </v>
      </c>
    </row>
    <row r="88" spans="1:13" ht="15.2" customHeight="1" x14ac:dyDescent="0.2">
      <c r="A88" s="26" t="s">
        <v>3247</v>
      </c>
      <c r="B88" s="27" t="s">
        <v>3248</v>
      </c>
      <c r="C88" s="28">
        <v>1</v>
      </c>
      <c r="D88" s="29">
        <v>12.65</v>
      </c>
      <c r="E88" s="29">
        <v>12.65</v>
      </c>
      <c r="F88" s="30">
        <v>29.99</v>
      </c>
      <c r="G88" s="29">
        <v>29.99</v>
      </c>
      <c r="H88" s="28" t="s">
        <v>3249</v>
      </c>
      <c r="I88" s="27" t="s">
        <v>1</v>
      </c>
      <c r="J88" s="31" t="s">
        <v>210</v>
      </c>
      <c r="K88" s="27" t="s">
        <v>200</v>
      </c>
      <c r="L88" s="27" t="s">
        <v>765</v>
      </c>
      <c r="M88" s="32" t="str">
        <f>HYPERLINK("http://slimages.macys.com/is/image/MCY/3797883 ")</f>
        <v xml:space="preserve">http://slimages.macys.com/is/image/MCY/3797883 </v>
      </c>
    </row>
    <row r="89" spans="1:13" ht="15.2" customHeight="1" x14ac:dyDescent="0.2">
      <c r="A89" s="26" t="s">
        <v>3250</v>
      </c>
      <c r="B89" s="27" t="s">
        <v>3251</v>
      </c>
      <c r="C89" s="28">
        <v>1</v>
      </c>
      <c r="D89" s="29">
        <v>12.5</v>
      </c>
      <c r="E89" s="29">
        <v>12.5</v>
      </c>
      <c r="F89" s="30">
        <v>29.99</v>
      </c>
      <c r="G89" s="29">
        <v>29.99</v>
      </c>
      <c r="H89" s="28" t="s">
        <v>2168</v>
      </c>
      <c r="I89" s="27" t="s">
        <v>207</v>
      </c>
      <c r="J89" s="31" t="s">
        <v>69</v>
      </c>
      <c r="K89" s="27" t="s">
        <v>200</v>
      </c>
      <c r="L89" s="27" t="s">
        <v>133</v>
      </c>
      <c r="M89" s="32" t="str">
        <f>HYPERLINK("http://slimages.macys.com/is/image/MCY/3874242 ")</f>
        <v xml:space="preserve">http://slimages.macys.com/is/image/MCY/3874242 </v>
      </c>
    </row>
    <row r="90" spans="1:13" ht="15.2" customHeight="1" x14ac:dyDescent="0.2">
      <c r="A90" s="26" t="s">
        <v>2173</v>
      </c>
      <c r="B90" s="27" t="s">
        <v>2174</v>
      </c>
      <c r="C90" s="28">
        <v>1</v>
      </c>
      <c r="D90" s="29">
        <v>12.5</v>
      </c>
      <c r="E90" s="29">
        <v>12.5</v>
      </c>
      <c r="F90" s="30">
        <v>29.99</v>
      </c>
      <c r="G90" s="29">
        <v>29.99</v>
      </c>
      <c r="H90" s="28" t="s">
        <v>772</v>
      </c>
      <c r="I90" s="27" t="s">
        <v>4</v>
      </c>
      <c r="J90" s="31" t="s">
        <v>210</v>
      </c>
      <c r="K90" s="27" t="s">
        <v>200</v>
      </c>
      <c r="L90" s="27" t="s">
        <v>133</v>
      </c>
      <c r="M90" s="32" t="str">
        <f>HYPERLINK("http://slimages.macys.com/is/image/MCY/3873065 ")</f>
        <v xml:space="preserve">http://slimages.macys.com/is/image/MCY/3873065 </v>
      </c>
    </row>
    <row r="91" spans="1:13" ht="15.2" customHeight="1" x14ac:dyDescent="0.2">
      <c r="A91" s="26" t="s">
        <v>770</v>
      </c>
      <c r="B91" s="27" t="s">
        <v>771</v>
      </c>
      <c r="C91" s="28">
        <v>2</v>
      </c>
      <c r="D91" s="29">
        <v>12.5</v>
      </c>
      <c r="E91" s="29">
        <v>25</v>
      </c>
      <c r="F91" s="30">
        <v>29.99</v>
      </c>
      <c r="G91" s="29">
        <v>59.98</v>
      </c>
      <c r="H91" s="28" t="s">
        <v>772</v>
      </c>
      <c r="I91" s="27" t="s">
        <v>4</v>
      </c>
      <c r="J91" s="31" t="s">
        <v>230</v>
      </c>
      <c r="K91" s="27" t="s">
        <v>200</v>
      </c>
      <c r="L91" s="27" t="s">
        <v>133</v>
      </c>
      <c r="M91" s="32" t="str">
        <f>HYPERLINK("http://slimages.macys.com/is/image/MCY/3873065 ")</f>
        <v xml:space="preserve">http://slimages.macys.com/is/image/MCY/3873065 </v>
      </c>
    </row>
    <row r="92" spans="1:13" ht="15.2" customHeight="1" x14ac:dyDescent="0.2">
      <c r="A92" s="26" t="s">
        <v>2177</v>
      </c>
      <c r="B92" s="27" t="s">
        <v>2178</v>
      </c>
      <c r="C92" s="28">
        <v>1</v>
      </c>
      <c r="D92" s="29">
        <v>12.5</v>
      </c>
      <c r="E92" s="29">
        <v>12.5</v>
      </c>
      <c r="F92" s="30">
        <v>29.99</v>
      </c>
      <c r="G92" s="29">
        <v>29.99</v>
      </c>
      <c r="H92" s="28" t="s">
        <v>772</v>
      </c>
      <c r="I92" s="27" t="s">
        <v>4</v>
      </c>
      <c r="J92" s="31" t="s">
        <v>69</v>
      </c>
      <c r="K92" s="27" t="s">
        <v>200</v>
      </c>
      <c r="L92" s="27" t="s">
        <v>133</v>
      </c>
      <c r="M92" s="32" t="str">
        <f>HYPERLINK("http://slimages.macys.com/is/image/MCY/3873065 ")</f>
        <v xml:space="preserve">http://slimages.macys.com/is/image/MCY/3873065 </v>
      </c>
    </row>
    <row r="93" spans="1:13" ht="15.2" customHeight="1" x14ac:dyDescent="0.2">
      <c r="A93" s="26" t="s">
        <v>3252</v>
      </c>
      <c r="B93" s="27" t="s">
        <v>3253</v>
      </c>
      <c r="C93" s="28">
        <v>1</v>
      </c>
      <c r="D93" s="29">
        <v>12.5</v>
      </c>
      <c r="E93" s="29">
        <v>12.5</v>
      </c>
      <c r="F93" s="30">
        <v>29.99</v>
      </c>
      <c r="G93" s="29">
        <v>29.99</v>
      </c>
      <c r="H93" s="28" t="s">
        <v>3254</v>
      </c>
      <c r="I93" s="27" t="s">
        <v>29</v>
      </c>
      <c r="J93" s="31" t="s">
        <v>210</v>
      </c>
      <c r="K93" s="27" t="s">
        <v>200</v>
      </c>
      <c r="L93" s="27" t="s">
        <v>2223</v>
      </c>
      <c r="M93" s="32" t="str">
        <f>HYPERLINK("http://slimages.macys.com/is/image/MCY/3768568 ")</f>
        <v xml:space="preserve">http://slimages.macys.com/is/image/MCY/3768568 </v>
      </c>
    </row>
    <row r="94" spans="1:13" ht="15.2" customHeight="1" x14ac:dyDescent="0.2">
      <c r="A94" s="26" t="s">
        <v>2171</v>
      </c>
      <c r="B94" s="27" t="s">
        <v>2172</v>
      </c>
      <c r="C94" s="28">
        <v>1</v>
      </c>
      <c r="D94" s="29">
        <v>12.5</v>
      </c>
      <c r="E94" s="29">
        <v>12.5</v>
      </c>
      <c r="F94" s="30">
        <v>29.99</v>
      </c>
      <c r="G94" s="29">
        <v>29.99</v>
      </c>
      <c r="H94" s="28" t="s">
        <v>772</v>
      </c>
      <c r="I94" s="27" t="s">
        <v>4</v>
      </c>
      <c r="J94" s="31" t="s">
        <v>113</v>
      </c>
      <c r="K94" s="27" t="s">
        <v>200</v>
      </c>
      <c r="L94" s="27" t="s">
        <v>133</v>
      </c>
      <c r="M94" s="32" t="str">
        <f>HYPERLINK("http://slimages.macys.com/is/image/MCY/3873065 ")</f>
        <v xml:space="preserve">http://slimages.macys.com/is/image/MCY/3873065 </v>
      </c>
    </row>
    <row r="95" spans="1:13" ht="15.2" customHeight="1" x14ac:dyDescent="0.2">
      <c r="A95" s="26" t="s">
        <v>3255</v>
      </c>
      <c r="B95" s="27" t="s">
        <v>3256</v>
      </c>
      <c r="C95" s="28">
        <v>1</v>
      </c>
      <c r="D95" s="29">
        <v>12.5</v>
      </c>
      <c r="E95" s="29">
        <v>12.5</v>
      </c>
      <c r="F95" s="30">
        <v>49</v>
      </c>
      <c r="G95" s="29">
        <v>49</v>
      </c>
      <c r="H95" s="28" t="s">
        <v>1223</v>
      </c>
      <c r="I95" s="27" t="s">
        <v>82</v>
      </c>
      <c r="J95" s="31" t="s">
        <v>21</v>
      </c>
      <c r="K95" s="27" t="s">
        <v>154</v>
      </c>
      <c r="L95" s="27" t="s">
        <v>155</v>
      </c>
      <c r="M95" s="32" t="str">
        <f>HYPERLINK("http://slimages.macys.com/is/image/MCY/3852652 ")</f>
        <v xml:space="preserve">http://slimages.macys.com/is/image/MCY/3852652 </v>
      </c>
    </row>
    <row r="96" spans="1:13" ht="15.2" customHeight="1" x14ac:dyDescent="0.2">
      <c r="A96" s="26" t="s">
        <v>3257</v>
      </c>
      <c r="B96" s="27" t="s">
        <v>3258</v>
      </c>
      <c r="C96" s="28">
        <v>1</v>
      </c>
      <c r="D96" s="29">
        <v>12.5</v>
      </c>
      <c r="E96" s="29">
        <v>12.5</v>
      </c>
      <c r="F96" s="30">
        <v>39</v>
      </c>
      <c r="G96" s="29">
        <v>39</v>
      </c>
      <c r="H96" s="28" t="s">
        <v>206</v>
      </c>
      <c r="I96" s="27"/>
      <c r="J96" s="31" t="s">
        <v>65</v>
      </c>
      <c r="K96" s="27" t="s">
        <v>154</v>
      </c>
      <c r="L96" s="27" t="s">
        <v>155</v>
      </c>
      <c r="M96" s="32" t="str">
        <f>HYPERLINK("http://slimages.macys.com/is/image/MCY/3718873 ")</f>
        <v xml:space="preserve">http://slimages.macys.com/is/image/MCY/3718873 </v>
      </c>
    </row>
    <row r="97" spans="1:13" ht="15.2" customHeight="1" x14ac:dyDescent="0.2">
      <c r="A97" s="26" t="s">
        <v>2604</v>
      </c>
      <c r="B97" s="27" t="s">
        <v>2605</v>
      </c>
      <c r="C97" s="28">
        <v>1</v>
      </c>
      <c r="D97" s="29">
        <v>12.5</v>
      </c>
      <c r="E97" s="29">
        <v>12.5</v>
      </c>
      <c r="F97" s="30">
        <v>29.99</v>
      </c>
      <c r="G97" s="29">
        <v>29.99</v>
      </c>
      <c r="H97" s="28" t="s">
        <v>772</v>
      </c>
      <c r="I97" s="27" t="s">
        <v>4</v>
      </c>
      <c r="J97" s="31" t="s">
        <v>216</v>
      </c>
      <c r="K97" s="27" t="s">
        <v>200</v>
      </c>
      <c r="L97" s="27" t="s">
        <v>133</v>
      </c>
      <c r="M97" s="32" t="str">
        <f>HYPERLINK("http://slimages.macys.com/is/image/MCY/3873065 ")</f>
        <v xml:space="preserve">http://slimages.macys.com/is/image/MCY/3873065 </v>
      </c>
    </row>
    <row r="98" spans="1:13" ht="15.2" customHeight="1" x14ac:dyDescent="0.2">
      <c r="A98" s="26" t="s">
        <v>3259</v>
      </c>
      <c r="B98" s="27" t="s">
        <v>3260</v>
      </c>
      <c r="C98" s="28">
        <v>1</v>
      </c>
      <c r="D98" s="29">
        <v>12.28</v>
      </c>
      <c r="E98" s="29">
        <v>12.28</v>
      </c>
      <c r="F98" s="30">
        <v>24.99</v>
      </c>
      <c r="G98" s="29">
        <v>24.99</v>
      </c>
      <c r="H98" s="28">
        <v>267210001</v>
      </c>
      <c r="I98" s="27" t="s">
        <v>144</v>
      </c>
      <c r="J98" s="31" t="s">
        <v>2420</v>
      </c>
      <c r="K98" s="27" t="s">
        <v>2</v>
      </c>
      <c r="L98" s="27" t="s">
        <v>3</v>
      </c>
      <c r="M98" s="32" t="str">
        <f>HYPERLINK("http://slimages.macys.com/is/image/MCY/3807533 ")</f>
        <v xml:space="preserve">http://slimages.macys.com/is/image/MCY/3807533 </v>
      </c>
    </row>
    <row r="99" spans="1:13" ht="15.2" customHeight="1" x14ac:dyDescent="0.2">
      <c r="A99" s="26" t="s">
        <v>3261</v>
      </c>
      <c r="B99" s="27" t="s">
        <v>3262</v>
      </c>
      <c r="C99" s="28">
        <v>1</v>
      </c>
      <c r="D99" s="29">
        <v>12</v>
      </c>
      <c r="E99" s="29">
        <v>12</v>
      </c>
      <c r="F99" s="30">
        <v>29.99</v>
      </c>
      <c r="G99" s="29">
        <v>29.99</v>
      </c>
      <c r="H99" s="28" t="s">
        <v>3263</v>
      </c>
      <c r="I99" s="27" t="s">
        <v>10</v>
      </c>
      <c r="J99" s="31" t="s">
        <v>216</v>
      </c>
      <c r="K99" s="27" t="s">
        <v>200</v>
      </c>
      <c r="L99" s="27" t="s">
        <v>552</v>
      </c>
      <c r="M99" s="32" t="str">
        <f>HYPERLINK("http://slimages.macys.com/is/image/MCY/3826713 ")</f>
        <v xml:space="preserve">http://slimages.macys.com/is/image/MCY/3826713 </v>
      </c>
    </row>
    <row r="100" spans="1:13" ht="15.2" customHeight="1" x14ac:dyDescent="0.2">
      <c r="A100" s="26" t="s">
        <v>3264</v>
      </c>
      <c r="B100" s="27" t="s">
        <v>3265</v>
      </c>
      <c r="C100" s="28">
        <v>1</v>
      </c>
      <c r="D100" s="29">
        <v>12</v>
      </c>
      <c r="E100" s="29">
        <v>12</v>
      </c>
      <c r="F100" s="30">
        <v>29.99</v>
      </c>
      <c r="G100" s="29">
        <v>29.99</v>
      </c>
      <c r="H100" s="28" t="s">
        <v>1233</v>
      </c>
      <c r="I100" s="27" t="s">
        <v>29</v>
      </c>
      <c r="J100" s="31" t="s">
        <v>205</v>
      </c>
      <c r="K100" s="27" t="s">
        <v>200</v>
      </c>
      <c r="L100" s="27" t="s">
        <v>552</v>
      </c>
      <c r="M100" s="32" t="str">
        <f>HYPERLINK("http://slimages.macys.com/is/image/MCY/3777681 ")</f>
        <v xml:space="preserve">http://slimages.macys.com/is/image/MCY/3777681 </v>
      </c>
    </row>
    <row r="101" spans="1:13" ht="15.2" customHeight="1" x14ac:dyDescent="0.2">
      <c r="A101" s="26" t="s">
        <v>3266</v>
      </c>
      <c r="B101" s="27" t="s">
        <v>3267</v>
      </c>
      <c r="C101" s="28">
        <v>1</v>
      </c>
      <c r="D101" s="29">
        <v>12</v>
      </c>
      <c r="E101" s="29">
        <v>12</v>
      </c>
      <c r="F101" s="30">
        <v>29.99</v>
      </c>
      <c r="G101" s="29">
        <v>29.99</v>
      </c>
      <c r="H101" s="28" t="s">
        <v>213</v>
      </c>
      <c r="I101" s="27" t="s">
        <v>4</v>
      </c>
      <c r="J101" s="31" t="s">
        <v>210</v>
      </c>
      <c r="K101" s="27" t="s">
        <v>200</v>
      </c>
      <c r="L101" s="27" t="s">
        <v>201</v>
      </c>
      <c r="M101" s="32" t="str">
        <f>HYPERLINK("http://slimages.macys.com/is/image/MCY/3755436 ")</f>
        <v xml:space="preserve">http://slimages.macys.com/is/image/MCY/3755436 </v>
      </c>
    </row>
    <row r="102" spans="1:13" ht="15.2" customHeight="1" x14ac:dyDescent="0.2">
      <c r="A102" s="26" t="s">
        <v>3268</v>
      </c>
      <c r="B102" s="27" t="s">
        <v>3269</v>
      </c>
      <c r="C102" s="28">
        <v>1</v>
      </c>
      <c r="D102" s="29">
        <v>12</v>
      </c>
      <c r="E102" s="29">
        <v>12</v>
      </c>
      <c r="F102" s="30">
        <v>29.99</v>
      </c>
      <c r="G102" s="29">
        <v>29.99</v>
      </c>
      <c r="H102" s="28" t="s">
        <v>1233</v>
      </c>
      <c r="I102" s="27" t="s">
        <v>29</v>
      </c>
      <c r="J102" s="31" t="s">
        <v>234</v>
      </c>
      <c r="K102" s="27" t="s">
        <v>200</v>
      </c>
      <c r="L102" s="27" t="s">
        <v>552</v>
      </c>
      <c r="M102" s="32" t="str">
        <f>HYPERLINK("http://slimages.macys.com/is/image/MCY/3777681 ")</f>
        <v xml:space="preserve">http://slimages.macys.com/is/image/MCY/3777681 </v>
      </c>
    </row>
    <row r="103" spans="1:13" ht="15.2" customHeight="1" x14ac:dyDescent="0.2">
      <c r="A103" s="26" t="s">
        <v>3270</v>
      </c>
      <c r="B103" s="27" t="s">
        <v>3271</v>
      </c>
      <c r="C103" s="28">
        <v>1</v>
      </c>
      <c r="D103" s="29">
        <v>11.89</v>
      </c>
      <c r="E103" s="29">
        <v>11.89</v>
      </c>
      <c r="F103" s="30">
        <v>27.99</v>
      </c>
      <c r="G103" s="29">
        <v>27.99</v>
      </c>
      <c r="H103" s="28" t="s">
        <v>778</v>
      </c>
      <c r="I103" s="27" t="s">
        <v>4</v>
      </c>
      <c r="J103" s="31" t="s">
        <v>71</v>
      </c>
      <c r="K103" s="27" t="s">
        <v>224</v>
      </c>
      <c r="L103" s="27" t="s">
        <v>237</v>
      </c>
      <c r="M103" s="32" t="str">
        <f t="shared" ref="M103:M109" si="1">HYPERLINK("http://slimages.macys.com/is/image/MCY/3910851 ")</f>
        <v xml:space="preserve">http://slimages.macys.com/is/image/MCY/3910851 </v>
      </c>
    </row>
    <row r="104" spans="1:13" ht="15.2" customHeight="1" x14ac:dyDescent="0.2">
      <c r="A104" s="26" t="s">
        <v>3272</v>
      </c>
      <c r="B104" s="27" t="s">
        <v>3273</v>
      </c>
      <c r="C104" s="28">
        <v>1</v>
      </c>
      <c r="D104" s="29">
        <v>11.89</v>
      </c>
      <c r="E104" s="29">
        <v>11.89</v>
      </c>
      <c r="F104" s="30">
        <v>27.99</v>
      </c>
      <c r="G104" s="29">
        <v>27.99</v>
      </c>
      <c r="H104" s="28" t="s">
        <v>778</v>
      </c>
      <c r="I104" s="27" t="s">
        <v>29</v>
      </c>
      <c r="J104" s="31" t="s">
        <v>5</v>
      </c>
      <c r="K104" s="27" t="s">
        <v>224</v>
      </c>
      <c r="L104" s="27" t="s">
        <v>237</v>
      </c>
      <c r="M104" s="32" t="str">
        <f t="shared" si="1"/>
        <v xml:space="preserve">http://slimages.macys.com/is/image/MCY/3910851 </v>
      </c>
    </row>
    <row r="105" spans="1:13" ht="15.2" customHeight="1" x14ac:dyDescent="0.2">
      <c r="A105" s="26" t="s">
        <v>3274</v>
      </c>
      <c r="B105" s="27" t="s">
        <v>3275</v>
      </c>
      <c r="C105" s="28">
        <v>1</v>
      </c>
      <c r="D105" s="29">
        <v>11.89</v>
      </c>
      <c r="E105" s="29">
        <v>11.89</v>
      </c>
      <c r="F105" s="30">
        <v>27.99</v>
      </c>
      <c r="G105" s="29">
        <v>27.99</v>
      </c>
      <c r="H105" s="28" t="s">
        <v>778</v>
      </c>
      <c r="I105" s="27" t="s">
        <v>280</v>
      </c>
      <c r="J105" s="31" t="s">
        <v>21</v>
      </c>
      <c r="K105" s="27" t="s">
        <v>224</v>
      </c>
      <c r="L105" s="27" t="s">
        <v>237</v>
      </c>
      <c r="M105" s="32" t="str">
        <f t="shared" si="1"/>
        <v xml:space="preserve">http://slimages.macys.com/is/image/MCY/3910851 </v>
      </c>
    </row>
    <row r="106" spans="1:13" ht="15.2" customHeight="1" x14ac:dyDescent="0.2">
      <c r="A106" s="26" t="s">
        <v>3276</v>
      </c>
      <c r="B106" s="27" t="s">
        <v>3277</v>
      </c>
      <c r="C106" s="28">
        <v>10</v>
      </c>
      <c r="D106" s="29">
        <v>11.89</v>
      </c>
      <c r="E106" s="29">
        <v>118.9</v>
      </c>
      <c r="F106" s="30">
        <v>27.99</v>
      </c>
      <c r="G106" s="29">
        <v>279.89999999999998</v>
      </c>
      <c r="H106" s="28" t="s">
        <v>778</v>
      </c>
      <c r="I106" s="27" t="s">
        <v>29</v>
      </c>
      <c r="J106" s="31" t="s">
        <v>40</v>
      </c>
      <c r="K106" s="27" t="s">
        <v>224</v>
      </c>
      <c r="L106" s="27" t="s">
        <v>237</v>
      </c>
      <c r="M106" s="32" t="str">
        <f t="shared" si="1"/>
        <v xml:space="preserve">http://slimages.macys.com/is/image/MCY/3910851 </v>
      </c>
    </row>
    <row r="107" spans="1:13" ht="15.2" customHeight="1" x14ac:dyDescent="0.2">
      <c r="A107" s="26" t="s">
        <v>3278</v>
      </c>
      <c r="B107" s="27" t="s">
        <v>3279</v>
      </c>
      <c r="C107" s="28">
        <v>13</v>
      </c>
      <c r="D107" s="29">
        <v>11.89</v>
      </c>
      <c r="E107" s="29">
        <v>154.57</v>
      </c>
      <c r="F107" s="30">
        <v>27.99</v>
      </c>
      <c r="G107" s="29">
        <v>363.87</v>
      </c>
      <c r="H107" s="28" t="s">
        <v>778</v>
      </c>
      <c r="I107" s="27" t="s">
        <v>280</v>
      </c>
      <c r="J107" s="31" t="s">
        <v>71</v>
      </c>
      <c r="K107" s="27" t="s">
        <v>224</v>
      </c>
      <c r="L107" s="27" t="s">
        <v>237</v>
      </c>
      <c r="M107" s="32" t="str">
        <f t="shared" si="1"/>
        <v xml:space="preserve">http://slimages.macys.com/is/image/MCY/3910851 </v>
      </c>
    </row>
    <row r="108" spans="1:13" ht="15.2" customHeight="1" x14ac:dyDescent="0.2">
      <c r="A108" s="26" t="s">
        <v>1244</v>
      </c>
      <c r="B108" s="27" t="s">
        <v>1245</v>
      </c>
      <c r="C108" s="28">
        <v>19</v>
      </c>
      <c r="D108" s="29">
        <v>11.89</v>
      </c>
      <c r="E108" s="29">
        <v>225.91</v>
      </c>
      <c r="F108" s="30">
        <v>27.99</v>
      </c>
      <c r="G108" s="29">
        <v>531.80999999999995</v>
      </c>
      <c r="H108" s="28" t="s">
        <v>778</v>
      </c>
      <c r="I108" s="27" t="s">
        <v>238</v>
      </c>
      <c r="J108" s="31" t="s">
        <v>21</v>
      </c>
      <c r="K108" s="27" t="s">
        <v>224</v>
      </c>
      <c r="L108" s="27" t="s">
        <v>237</v>
      </c>
      <c r="M108" s="32" t="str">
        <f t="shared" si="1"/>
        <v xml:space="preserve">http://slimages.macys.com/is/image/MCY/3910851 </v>
      </c>
    </row>
    <row r="109" spans="1:13" ht="15.2" customHeight="1" x14ac:dyDescent="0.2">
      <c r="A109" s="26" t="s">
        <v>776</v>
      </c>
      <c r="B109" s="27" t="s">
        <v>777</v>
      </c>
      <c r="C109" s="28">
        <v>3</v>
      </c>
      <c r="D109" s="29">
        <v>11.89</v>
      </c>
      <c r="E109" s="29">
        <v>35.67</v>
      </c>
      <c r="F109" s="30">
        <v>27.99</v>
      </c>
      <c r="G109" s="29">
        <v>83.97</v>
      </c>
      <c r="H109" s="28" t="s">
        <v>778</v>
      </c>
      <c r="I109" s="27" t="s">
        <v>238</v>
      </c>
      <c r="J109" s="31" t="s">
        <v>40</v>
      </c>
      <c r="K109" s="27" t="s">
        <v>224</v>
      </c>
      <c r="L109" s="27" t="s">
        <v>237</v>
      </c>
      <c r="M109" s="32" t="str">
        <f t="shared" si="1"/>
        <v xml:space="preserve">http://slimages.macys.com/is/image/MCY/3910851 </v>
      </c>
    </row>
    <row r="110" spans="1:13" ht="15.2" customHeight="1" x14ac:dyDescent="0.2">
      <c r="A110" s="26" t="s">
        <v>3280</v>
      </c>
      <c r="B110" s="27" t="s">
        <v>3281</v>
      </c>
      <c r="C110" s="28">
        <v>4</v>
      </c>
      <c r="D110" s="29">
        <v>11.65</v>
      </c>
      <c r="E110" s="29">
        <v>46.6</v>
      </c>
      <c r="F110" s="30">
        <v>27.99</v>
      </c>
      <c r="G110" s="29">
        <v>111.96</v>
      </c>
      <c r="H110" s="28" t="s">
        <v>3282</v>
      </c>
      <c r="I110" s="27" t="s">
        <v>82</v>
      </c>
      <c r="J110" s="31" t="s">
        <v>40</v>
      </c>
      <c r="K110" s="27" t="s">
        <v>159</v>
      </c>
      <c r="L110" s="27" t="s">
        <v>160</v>
      </c>
      <c r="M110" s="32" t="str">
        <f>HYPERLINK("http://slimages.macys.com/is/image/MCY/3899787 ")</f>
        <v xml:space="preserve">http://slimages.macys.com/is/image/MCY/3899787 </v>
      </c>
    </row>
    <row r="111" spans="1:13" ht="15.2" customHeight="1" x14ac:dyDescent="0.2">
      <c r="A111" s="26" t="s">
        <v>2613</v>
      </c>
      <c r="B111" s="27" t="s">
        <v>2614</v>
      </c>
      <c r="C111" s="28">
        <v>1</v>
      </c>
      <c r="D111" s="29">
        <v>11.65</v>
      </c>
      <c r="E111" s="29">
        <v>11.65</v>
      </c>
      <c r="F111" s="30">
        <v>27.99</v>
      </c>
      <c r="G111" s="29">
        <v>27.99</v>
      </c>
      <c r="H111" s="28" t="s">
        <v>2610</v>
      </c>
      <c r="I111" s="27" t="s">
        <v>4</v>
      </c>
      <c r="J111" s="31" t="s">
        <v>21</v>
      </c>
      <c r="K111" s="27" t="s">
        <v>159</v>
      </c>
      <c r="L111" s="27" t="s">
        <v>160</v>
      </c>
      <c r="M111" s="32" t="str">
        <f>HYPERLINK("http://slimages.macys.com/is/image/MCY/3913107 ")</f>
        <v xml:space="preserve">http://slimages.macys.com/is/image/MCY/3913107 </v>
      </c>
    </row>
    <row r="112" spans="1:13" ht="15.2" customHeight="1" x14ac:dyDescent="0.2">
      <c r="A112" s="26" t="s">
        <v>779</v>
      </c>
      <c r="B112" s="27" t="s">
        <v>780</v>
      </c>
      <c r="C112" s="28">
        <v>1</v>
      </c>
      <c r="D112" s="29">
        <v>11.5</v>
      </c>
      <c r="E112" s="29">
        <v>11.5</v>
      </c>
      <c r="F112" s="30">
        <v>29.99</v>
      </c>
      <c r="G112" s="29">
        <v>29.99</v>
      </c>
      <c r="H112" s="28" t="s">
        <v>233</v>
      </c>
      <c r="I112" s="27" t="s">
        <v>4</v>
      </c>
      <c r="J112" s="31" t="s">
        <v>69</v>
      </c>
      <c r="K112" s="27" t="s">
        <v>200</v>
      </c>
      <c r="L112" s="27" t="s">
        <v>201</v>
      </c>
      <c r="M112" s="32" t="str">
        <f>HYPERLINK("http://slimages.macys.com/is/image/MCY/3899544 ")</f>
        <v xml:space="preserve">http://slimages.macys.com/is/image/MCY/3899544 </v>
      </c>
    </row>
    <row r="113" spans="1:13" ht="15.2" customHeight="1" x14ac:dyDescent="0.2">
      <c r="A113" s="26" t="s">
        <v>3283</v>
      </c>
      <c r="B113" s="27" t="s">
        <v>3284</v>
      </c>
      <c r="C113" s="28">
        <v>1</v>
      </c>
      <c r="D113" s="29">
        <v>11.5</v>
      </c>
      <c r="E113" s="29">
        <v>11.5</v>
      </c>
      <c r="F113" s="30">
        <v>29.99</v>
      </c>
      <c r="G113" s="29">
        <v>29.99</v>
      </c>
      <c r="H113" s="28" t="s">
        <v>233</v>
      </c>
      <c r="I113" s="27" t="s">
        <v>26</v>
      </c>
      <c r="J113" s="31" t="s">
        <v>23</v>
      </c>
      <c r="K113" s="27" t="s">
        <v>200</v>
      </c>
      <c r="L113" s="27" t="s">
        <v>201</v>
      </c>
      <c r="M113" s="32" t="str">
        <f>HYPERLINK("http://slimages.macys.com/is/image/MCY/3899624 ")</f>
        <v xml:space="preserve">http://slimages.macys.com/is/image/MCY/3899624 </v>
      </c>
    </row>
    <row r="114" spans="1:13" ht="15.2" customHeight="1" x14ac:dyDescent="0.2">
      <c r="A114" s="26" t="s">
        <v>2615</v>
      </c>
      <c r="B114" s="27" t="s">
        <v>2616</v>
      </c>
      <c r="C114" s="28">
        <v>2</v>
      </c>
      <c r="D114" s="29">
        <v>11.5</v>
      </c>
      <c r="E114" s="29">
        <v>23</v>
      </c>
      <c r="F114" s="30">
        <v>29.99</v>
      </c>
      <c r="G114" s="29">
        <v>59.98</v>
      </c>
      <c r="H114" s="28" t="s">
        <v>233</v>
      </c>
      <c r="I114" s="27" t="s">
        <v>26</v>
      </c>
      <c r="J114" s="31" t="s">
        <v>234</v>
      </c>
      <c r="K114" s="27" t="s">
        <v>200</v>
      </c>
      <c r="L114" s="27" t="s">
        <v>201</v>
      </c>
      <c r="M114" s="32" t="str">
        <f>HYPERLINK("http://slimages.macys.com/is/image/MCY/3899624 ")</f>
        <v xml:space="preserve">http://slimages.macys.com/is/image/MCY/3899624 </v>
      </c>
    </row>
    <row r="115" spans="1:13" ht="15.2" customHeight="1" x14ac:dyDescent="0.2">
      <c r="A115" s="26" t="s">
        <v>3285</v>
      </c>
      <c r="B115" s="27" t="s">
        <v>3286</v>
      </c>
      <c r="C115" s="28">
        <v>1</v>
      </c>
      <c r="D115" s="29">
        <v>11.5</v>
      </c>
      <c r="E115" s="29">
        <v>11.5</v>
      </c>
      <c r="F115" s="30">
        <v>39</v>
      </c>
      <c r="G115" s="29">
        <v>39</v>
      </c>
      <c r="H115" s="28" t="s">
        <v>3287</v>
      </c>
      <c r="I115" s="27" t="s">
        <v>4</v>
      </c>
      <c r="J115" s="31" t="s">
        <v>21</v>
      </c>
      <c r="K115" s="27" t="s">
        <v>154</v>
      </c>
      <c r="L115" s="27" t="s">
        <v>155</v>
      </c>
      <c r="M115" s="32" t="str">
        <f>HYPERLINK("http://slimages.macys.com/is/image/MCY/3672972 ")</f>
        <v xml:space="preserve">http://slimages.macys.com/is/image/MCY/3672972 </v>
      </c>
    </row>
    <row r="116" spans="1:13" ht="15.2" customHeight="1" x14ac:dyDescent="0.2">
      <c r="A116" s="26" t="s">
        <v>231</v>
      </c>
      <c r="B116" s="27" t="s">
        <v>232</v>
      </c>
      <c r="C116" s="28">
        <v>2</v>
      </c>
      <c r="D116" s="29">
        <v>11.5</v>
      </c>
      <c r="E116" s="29">
        <v>23</v>
      </c>
      <c r="F116" s="30">
        <v>29.99</v>
      </c>
      <c r="G116" s="29">
        <v>59.98</v>
      </c>
      <c r="H116" s="28" t="s">
        <v>233</v>
      </c>
      <c r="I116" s="27" t="s">
        <v>4</v>
      </c>
      <c r="J116" s="31" t="s">
        <v>234</v>
      </c>
      <c r="K116" s="27" t="s">
        <v>200</v>
      </c>
      <c r="L116" s="27" t="s">
        <v>201</v>
      </c>
      <c r="M116" s="32" t="str">
        <f>HYPERLINK("http://slimages.macys.com/is/image/MCY/3899544 ")</f>
        <v xml:space="preserve">http://slimages.macys.com/is/image/MCY/3899544 </v>
      </c>
    </row>
    <row r="117" spans="1:13" ht="15.2" customHeight="1" x14ac:dyDescent="0.2">
      <c r="A117" s="26" t="s">
        <v>3288</v>
      </c>
      <c r="B117" s="27" t="s">
        <v>3289</v>
      </c>
      <c r="C117" s="28">
        <v>1</v>
      </c>
      <c r="D117" s="29">
        <v>11.5</v>
      </c>
      <c r="E117" s="29">
        <v>11.5</v>
      </c>
      <c r="F117" s="30">
        <v>27.99</v>
      </c>
      <c r="G117" s="29">
        <v>27.99</v>
      </c>
      <c r="H117" s="28" t="s">
        <v>223</v>
      </c>
      <c r="I117" s="27" t="s">
        <v>59</v>
      </c>
      <c r="J117" s="31" t="s">
        <v>40</v>
      </c>
      <c r="K117" s="27" t="s">
        <v>224</v>
      </c>
      <c r="L117" s="27" t="s">
        <v>225</v>
      </c>
      <c r="M117" s="32" t="str">
        <f>HYPERLINK("http://slimages.macys.com/is/image/MCY/3777812 ")</f>
        <v xml:space="preserve">http://slimages.macys.com/is/image/MCY/3777812 </v>
      </c>
    </row>
    <row r="118" spans="1:13" ht="15.2" customHeight="1" x14ac:dyDescent="0.2">
      <c r="A118" s="26" t="s">
        <v>3290</v>
      </c>
      <c r="B118" s="27" t="s">
        <v>3291</v>
      </c>
      <c r="C118" s="28">
        <v>1</v>
      </c>
      <c r="D118" s="29">
        <v>11.5</v>
      </c>
      <c r="E118" s="29">
        <v>11.5</v>
      </c>
      <c r="F118" s="30">
        <v>29.99</v>
      </c>
      <c r="G118" s="29">
        <v>29.99</v>
      </c>
      <c r="H118" s="28" t="s">
        <v>233</v>
      </c>
      <c r="I118" s="27" t="s">
        <v>4</v>
      </c>
      <c r="J118" s="31" t="s">
        <v>214</v>
      </c>
      <c r="K118" s="27" t="s">
        <v>200</v>
      </c>
      <c r="L118" s="27" t="s">
        <v>201</v>
      </c>
      <c r="M118" s="32" t="str">
        <f>HYPERLINK("http://slimages.macys.com/is/image/MCY/3899544 ")</f>
        <v xml:space="preserve">http://slimages.macys.com/is/image/MCY/3899544 </v>
      </c>
    </row>
    <row r="119" spans="1:13" ht="15.2" customHeight="1" x14ac:dyDescent="0.2">
      <c r="A119" s="26" t="s">
        <v>1267</v>
      </c>
      <c r="B119" s="27" t="s">
        <v>1268</v>
      </c>
      <c r="C119" s="28">
        <v>1</v>
      </c>
      <c r="D119" s="29">
        <v>11.5</v>
      </c>
      <c r="E119" s="29">
        <v>11.5</v>
      </c>
      <c r="F119" s="30">
        <v>29.99</v>
      </c>
      <c r="G119" s="29">
        <v>29.99</v>
      </c>
      <c r="H119" s="28" t="s">
        <v>233</v>
      </c>
      <c r="I119" s="27" t="s">
        <v>26</v>
      </c>
      <c r="J119" s="31" t="s">
        <v>69</v>
      </c>
      <c r="K119" s="27" t="s">
        <v>200</v>
      </c>
      <c r="L119" s="27" t="s">
        <v>201</v>
      </c>
      <c r="M119" s="32" t="str">
        <f>HYPERLINK("http://slimages.macys.com/is/image/MCY/3899624 ")</f>
        <v xml:space="preserve">http://slimages.macys.com/is/image/MCY/3899624 </v>
      </c>
    </row>
    <row r="120" spans="1:13" ht="15.2" customHeight="1" x14ac:dyDescent="0.2">
      <c r="A120" s="26" t="s">
        <v>3292</v>
      </c>
      <c r="B120" s="27" t="s">
        <v>3293</v>
      </c>
      <c r="C120" s="28">
        <v>1</v>
      </c>
      <c r="D120" s="29">
        <v>11.5</v>
      </c>
      <c r="E120" s="29">
        <v>11.5</v>
      </c>
      <c r="F120" s="30">
        <v>29.99</v>
      </c>
      <c r="G120" s="29">
        <v>29.99</v>
      </c>
      <c r="H120" s="28" t="s">
        <v>233</v>
      </c>
      <c r="I120" s="27" t="s">
        <v>26</v>
      </c>
      <c r="J120" s="31" t="s">
        <v>113</v>
      </c>
      <c r="K120" s="27" t="s">
        <v>200</v>
      </c>
      <c r="L120" s="27" t="s">
        <v>201</v>
      </c>
      <c r="M120" s="32" t="str">
        <f>HYPERLINK("http://slimages.macys.com/is/image/MCY/3899624 ")</f>
        <v xml:space="preserve">http://slimages.macys.com/is/image/MCY/3899624 </v>
      </c>
    </row>
    <row r="121" spans="1:13" ht="15.2" customHeight="1" x14ac:dyDescent="0.2">
      <c r="A121" s="26" t="s">
        <v>1265</v>
      </c>
      <c r="B121" s="27" t="s">
        <v>1266</v>
      </c>
      <c r="C121" s="28">
        <v>1</v>
      </c>
      <c r="D121" s="29">
        <v>11.5</v>
      </c>
      <c r="E121" s="29">
        <v>11.5</v>
      </c>
      <c r="F121" s="30">
        <v>29.99</v>
      </c>
      <c r="G121" s="29">
        <v>29.99</v>
      </c>
      <c r="H121" s="28" t="s">
        <v>233</v>
      </c>
      <c r="I121" s="27" t="s">
        <v>26</v>
      </c>
      <c r="J121" s="31" t="s">
        <v>216</v>
      </c>
      <c r="K121" s="27" t="s">
        <v>200</v>
      </c>
      <c r="L121" s="27" t="s">
        <v>201</v>
      </c>
      <c r="M121" s="32" t="str">
        <f>HYPERLINK("http://slimages.macys.com/is/image/MCY/3899624 ")</f>
        <v xml:space="preserve">http://slimages.macys.com/is/image/MCY/3899624 </v>
      </c>
    </row>
    <row r="122" spans="1:13" ht="15.2" customHeight="1" x14ac:dyDescent="0.2">
      <c r="A122" s="26" t="s">
        <v>3294</v>
      </c>
      <c r="B122" s="27" t="s">
        <v>3295</v>
      </c>
      <c r="C122" s="28">
        <v>2</v>
      </c>
      <c r="D122" s="29">
        <v>11.41</v>
      </c>
      <c r="E122" s="29">
        <v>22.82</v>
      </c>
      <c r="F122" s="30">
        <v>29.5</v>
      </c>
      <c r="G122" s="29">
        <v>59</v>
      </c>
      <c r="H122" s="28" t="s">
        <v>3296</v>
      </c>
      <c r="I122" s="27" t="s">
        <v>4</v>
      </c>
      <c r="J122" s="31" t="s">
        <v>32</v>
      </c>
      <c r="K122" s="27" t="s">
        <v>12</v>
      </c>
      <c r="L122" s="27" t="s">
        <v>3297</v>
      </c>
      <c r="M122" s="32" t="str">
        <f>HYPERLINK("http://slimages.macys.com/is/image/MCY/3959123 ")</f>
        <v xml:space="preserve">http://slimages.macys.com/is/image/MCY/3959123 </v>
      </c>
    </row>
    <row r="123" spans="1:13" ht="15.2" customHeight="1" x14ac:dyDescent="0.2">
      <c r="A123" s="26" t="s">
        <v>3298</v>
      </c>
      <c r="B123" s="27" t="s">
        <v>3299</v>
      </c>
      <c r="C123" s="28">
        <v>1</v>
      </c>
      <c r="D123" s="29">
        <v>11.41</v>
      </c>
      <c r="E123" s="29">
        <v>11.41</v>
      </c>
      <c r="F123" s="30">
        <v>29.5</v>
      </c>
      <c r="G123" s="29">
        <v>29.5</v>
      </c>
      <c r="H123" s="28" t="s">
        <v>3296</v>
      </c>
      <c r="I123" s="27" t="s">
        <v>4</v>
      </c>
      <c r="J123" s="31" t="s">
        <v>50</v>
      </c>
      <c r="K123" s="27" t="s">
        <v>12</v>
      </c>
      <c r="L123" s="27" t="s">
        <v>3297</v>
      </c>
      <c r="M123" s="32" t="str">
        <f>HYPERLINK("http://slimages.macys.com/is/image/MCY/3959123 ")</f>
        <v xml:space="preserve">http://slimages.macys.com/is/image/MCY/3959123 </v>
      </c>
    </row>
    <row r="124" spans="1:13" ht="15.2" customHeight="1" x14ac:dyDescent="0.2">
      <c r="A124" s="26" t="s">
        <v>3300</v>
      </c>
      <c r="B124" s="27" t="s">
        <v>3301</v>
      </c>
      <c r="C124" s="28">
        <v>1</v>
      </c>
      <c r="D124" s="29">
        <v>11.41</v>
      </c>
      <c r="E124" s="29">
        <v>11.41</v>
      </c>
      <c r="F124" s="30">
        <v>29.5</v>
      </c>
      <c r="G124" s="29">
        <v>29.5</v>
      </c>
      <c r="H124" s="28" t="s">
        <v>3296</v>
      </c>
      <c r="I124" s="27" t="s">
        <v>4</v>
      </c>
      <c r="J124" s="31"/>
      <c r="K124" s="27" t="s">
        <v>12</v>
      </c>
      <c r="L124" s="27" t="s">
        <v>3297</v>
      </c>
      <c r="M124" s="32" t="str">
        <f>HYPERLINK("http://slimages.macys.com/is/image/MCY/3959123 ")</f>
        <v xml:space="preserve">http://slimages.macys.com/is/image/MCY/3959123 </v>
      </c>
    </row>
    <row r="125" spans="1:13" ht="15.2" customHeight="1" x14ac:dyDescent="0.2">
      <c r="A125" s="26" t="s">
        <v>3302</v>
      </c>
      <c r="B125" s="27" t="s">
        <v>3303</v>
      </c>
      <c r="C125" s="28">
        <v>1</v>
      </c>
      <c r="D125" s="29">
        <v>10.76</v>
      </c>
      <c r="E125" s="29">
        <v>10.76</v>
      </c>
      <c r="F125" s="30">
        <v>29.5</v>
      </c>
      <c r="G125" s="29">
        <v>29.5</v>
      </c>
      <c r="H125" s="28" t="s">
        <v>3304</v>
      </c>
      <c r="I125" s="27" t="s">
        <v>22</v>
      </c>
      <c r="J125" s="31" t="s">
        <v>52</v>
      </c>
      <c r="K125" s="27" t="s">
        <v>41</v>
      </c>
      <c r="L125" s="27" t="s">
        <v>45</v>
      </c>
      <c r="M125" s="32" t="str">
        <f>HYPERLINK("http://slimages.macys.com/is/image/MCY/3700884 ")</f>
        <v xml:space="preserve">http://slimages.macys.com/is/image/MCY/3700884 </v>
      </c>
    </row>
    <row r="126" spans="1:13" ht="15.2" customHeight="1" x14ac:dyDescent="0.2">
      <c r="A126" s="26" t="s">
        <v>3305</v>
      </c>
      <c r="B126" s="27" t="s">
        <v>3306</v>
      </c>
      <c r="C126" s="28">
        <v>1</v>
      </c>
      <c r="D126" s="29">
        <v>10.75</v>
      </c>
      <c r="E126" s="29">
        <v>10.75</v>
      </c>
      <c r="F126" s="30">
        <v>26.99</v>
      </c>
      <c r="G126" s="29">
        <v>26.99</v>
      </c>
      <c r="H126" s="28" t="s">
        <v>3307</v>
      </c>
      <c r="I126" s="27" t="s">
        <v>59</v>
      </c>
      <c r="J126" s="31" t="s">
        <v>40</v>
      </c>
      <c r="K126" s="27" t="s">
        <v>70</v>
      </c>
      <c r="L126" s="27" t="s">
        <v>250</v>
      </c>
      <c r="M126" s="32" t="str">
        <f>HYPERLINK("http://slimages.macys.com/is/image/MCY/3817465 ")</f>
        <v xml:space="preserve">http://slimages.macys.com/is/image/MCY/3817465 </v>
      </c>
    </row>
    <row r="127" spans="1:13" ht="15.2" customHeight="1" x14ac:dyDescent="0.2">
      <c r="A127" s="26" t="s">
        <v>3308</v>
      </c>
      <c r="B127" s="27" t="s">
        <v>3309</v>
      </c>
      <c r="C127" s="28">
        <v>3</v>
      </c>
      <c r="D127" s="29">
        <v>10.65</v>
      </c>
      <c r="E127" s="29">
        <v>31.95</v>
      </c>
      <c r="F127" s="30">
        <v>27.99</v>
      </c>
      <c r="G127" s="29">
        <v>83.97</v>
      </c>
      <c r="H127" s="28" t="s">
        <v>1290</v>
      </c>
      <c r="I127" s="27" t="s">
        <v>82</v>
      </c>
      <c r="J127" s="31" t="s">
        <v>21</v>
      </c>
      <c r="K127" s="27" t="s">
        <v>224</v>
      </c>
      <c r="L127" s="27" t="s">
        <v>237</v>
      </c>
      <c r="M127" s="32" t="str">
        <f>HYPERLINK("http://slimages.macys.com/is/image/MCY/3787610 ")</f>
        <v xml:space="preserve">http://slimages.macys.com/is/image/MCY/3787610 </v>
      </c>
    </row>
    <row r="128" spans="1:13" ht="15.2" customHeight="1" x14ac:dyDescent="0.2">
      <c r="A128" s="26" t="s">
        <v>3310</v>
      </c>
      <c r="B128" s="27" t="s">
        <v>3311</v>
      </c>
      <c r="C128" s="28">
        <v>2</v>
      </c>
      <c r="D128" s="29">
        <v>10.65</v>
      </c>
      <c r="E128" s="29">
        <v>21.3</v>
      </c>
      <c r="F128" s="30">
        <v>27.99</v>
      </c>
      <c r="G128" s="29">
        <v>55.98</v>
      </c>
      <c r="H128" s="28" t="s">
        <v>1290</v>
      </c>
      <c r="I128" s="27" t="s">
        <v>82</v>
      </c>
      <c r="J128" s="31" t="s">
        <v>40</v>
      </c>
      <c r="K128" s="27" t="s">
        <v>224</v>
      </c>
      <c r="L128" s="27" t="s">
        <v>237</v>
      </c>
      <c r="M128" s="32" t="str">
        <f>HYPERLINK("http://slimages.macys.com/is/image/MCY/3787610 ")</f>
        <v xml:space="preserve">http://slimages.macys.com/is/image/MCY/3787610 </v>
      </c>
    </row>
    <row r="129" spans="1:13" ht="15.2" customHeight="1" x14ac:dyDescent="0.2">
      <c r="A129" s="26" t="s">
        <v>3312</v>
      </c>
      <c r="B129" s="27" t="s">
        <v>3313</v>
      </c>
      <c r="C129" s="28">
        <v>1</v>
      </c>
      <c r="D129" s="29">
        <v>10.65</v>
      </c>
      <c r="E129" s="29">
        <v>10.65</v>
      </c>
      <c r="F129" s="30">
        <v>27.99</v>
      </c>
      <c r="G129" s="29">
        <v>27.99</v>
      </c>
      <c r="H129" s="28" t="s">
        <v>1290</v>
      </c>
      <c r="I129" s="27" t="s">
        <v>82</v>
      </c>
      <c r="J129" s="31" t="s">
        <v>71</v>
      </c>
      <c r="K129" s="27" t="s">
        <v>224</v>
      </c>
      <c r="L129" s="27" t="s">
        <v>237</v>
      </c>
      <c r="M129" s="32" t="str">
        <f>HYPERLINK("http://slimages.macys.com/is/image/MCY/3787610 ")</f>
        <v xml:space="preserve">http://slimages.macys.com/is/image/MCY/3787610 </v>
      </c>
    </row>
    <row r="130" spans="1:13" ht="15.2" customHeight="1" x14ac:dyDescent="0.2">
      <c r="A130" s="26" t="s">
        <v>3314</v>
      </c>
      <c r="B130" s="27" t="s">
        <v>3315</v>
      </c>
      <c r="C130" s="28">
        <v>2</v>
      </c>
      <c r="D130" s="29">
        <v>10.6</v>
      </c>
      <c r="E130" s="29">
        <v>21.2</v>
      </c>
      <c r="F130" s="30">
        <v>24.99</v>
      </c>
      <c r="G130" s="29">
        <v>49.98</v>
      </c>
      <c r="H130" s="28" t="s">
        <v>247</v>
      </c>
      <c r="I130" s="27" t="s">
        <v>248</v>
      </c>
      <c r="J130" s="31" t="s">
        <v>52</v>
      </c>
      <c r="K130" s="27" t="s">
        <v>208</v>
      </c>
      <c r="L130" s="27" t="s">
        <v>197</v>
      </c>
      <c r="M130" s="32" t="str">
        <f>HYPERLINK("http://slimages.macys.com/is/image/MCY/3899669 ")</f>
        <v xml:space="preserve">http://slimages.macys.com/is/image/MCY/3899669 </v>
      </c>
    </row>
    <row r="131" spans="1:13" ht="15.2" customHeight="1" x14ac:dyDescent="0.2">
      <c r="A131" s="26" t="s">
        <v>245</v>
      </c>
      <c r="B131" s="27" t="s">
        <v>246</v>
      </c>
      <c r="C131" s="28">
        <v>3</v>
      </c>
      <c r="D131" s="29">
        <v>10.6</v>
      </c>
      <c r="E131" s="29">
        <v>31.8</v>
      </c>
      <c r="F131" s="30">
        <v>24.99</v>
      </c>
      <c r="G131" s="29">
        <v>74.97</v>
      </c>
      <c r="H131" s="28" t="s">
        <v>247</v>
      </c>
      <c r="I131" s="27" t="s">
        <v>248</v>
      </c>
      <c r="J131" s="31" t="s">
        <v>5</v>
      </c>
      <c r="K131" s="27" t="s">
        <v>208</v>
      </c>
      <c r="L131" s="27" t="s">
        <v>197</v>
      </c>
      <c r="M131" s="32" t="str">
        <f>HYPERLINK("http://slimages.macys.com/is/image/MCY/3899669 ")</f>
        <v xml:space="preserve">http://slimages.macys.com/is/image/MCY/3899669 </v>
      </c>
    </row>
    <row r="132" spans="1:13" ht="15.2" customHeight="1" x14ac:dyDescent="0.2">
      <c r="A132" s="26" t="s">
        <v>3316</v>
      </c>
      <c r="B132" s="27" t="s">
        <v>3317</v>
      </c>
      <c r="C132" s="28">
        <v>1</v>
      </c>
      <c r="D132" s="29">
        <v>10.5</v>
      </c>
      <c r="E132" s="29">
        <v>10.5</v>
      </c>
      <c r="F132" s="30">
        <v>25.99</v>
      </c>
      <c r="G132" s="29">
        <v>25.99</v>
      </c>
      <c r="H132" s="28" t="s">
        <v>1305</v>
      </c>
      <c r="I132" s="27" t="s">
        <v>207</v>
      </c>
      <c r="J132" s="31" t="s">
        <v>23</v>
      </c>
      <c r="K132" s="27" t="s">
        <v>200</v>
      </c>
      <c r="L132" s="27" t="s">
        <v>133</v>
      </c>
      <c r="M132" s="32" t="str">
        <f>HYPERLINK("http://slimages.macys.com/is/image/MCY/3773860 ")</f>
        <v xml:space="preserve">http://slimages.macys.com/is/image/MCY/3773860 </v>
      </c>
    </row>
    <row r="133" spans="1:13" ht="15.2" customHeight="1" x14ac:dyDescent="0.2">
      <c r="A133" s="26" t="s">
        <v>3318</v>
      </c>
      <c r="B133" s="27" t="s">
        <v>3319</v>
      </c>
      <c r="C133" s="28">
        <v>1</v>
      </c>
      <c r="D133" s="29">
        <v>10.5</v>
      </c>
      <c r="E133" s="29">
        <v>10.5</v>
      </c>
      <c r="F133" s="30">
        <v>27.99</v>
      </c>
      <c r="G133" s="29">
        <v>27.99</v>
      </c>
      <c r="H133" s="28" t="s">
        <v>790</v>
      </c>
      <c r="I133" s="27"/>
      <c r="J133" s="31" t="s">
        <v>71</v>
      </c>
      <c r="K133" s="27" t="s">
        <v>224</v>
      </c>
      <c r="L133" s="27" t="s">
        <v>239</v>
      </c>
      <c r="M133" s="32" t="str">
        <f>HYPERLINK("http://slimages.macys.com/is/image/MCY/3910853 ")</f>
        <v xml:space="preserve">http://slimages.macys.com/is/image/MCY/3910853 </v>
      </c>
    </row>
    <row r="134" spans="1:13" ht="15.2" customHeight="1" x14ac:dyDescent="0.2">
      <c r="A134" s="26" t="s">
        <v>2621</v>
      </c>
      <c r="B134" s="27" t="s">
        <v>2622</v>
      </c>
      <c r="C134" s="28">
        <v>1</v>
      </c>
      <c r="D134" s="29">
        <v>10.5</v>
      </c>
      <c r="E134" s="29">
        <v>10.5</v>
      </c>
      <c r="F134" s="30">
        <v>25.99</v>
      </c>
      <c r="G134" s="29">
        <v>25.99</v>
      </c>
      <c r="H134" s="28" t="s">
        <v>1305</v>
      </c>
      <c r="I134" s="27" t="s">
        <v>94</v>
      </c>
      <c r="J134" s="31" t="s">
        <v>230</v>
      </c>
      <c r="K134" s="27" t="s">
        <v>200</v>
      </c>
      <c r="L134" s="27" t="s">
        <v>133</v>
      </c>
      <c r="M134" s="32" t="str">
        <f>HYPERLINK("http://slimages.macys.com/is/image/MCY/3773860 ")</f>
        <v xml:space="preserve">http://slimages.macys.com/is/image/MCY/3773860 </v>
      </c>
    </row>
    <row r="135" spans="1:13" ht="15.2" customHeight="1" x14ac:dyDescent="0.2">
      <c r="A135" s="26" t="s">
        <v>3320</v>
      </c>
      <c r="B135" s="27" t="s">
        <v>3321</v>
      </c>
      <c r="C135" s="28">
        <v>1</v>
      </c>
      <c r="D135" s="29">
        <v>10.5</v>
      </c>
      <c r="E135" s="29">
        <v>10.5</v>
      </c>
      <c r="F135" s="30">
        <v>25.99</v>
      </c>
      <c r="G135" s="29">
        <v>25.99</v>
      </c>
      <c r="H135" s="28" t="s">
        <v>1305</v>
      </c>
      <c r="I135" s="27" t="s">
        <v>94</v>
      </c>
      <c r="J135" s="31" t="s">
        <v>205</v>
      </c>
      <c r="K135" s="27" t="s">
        <v>200</v>
      </c>
      <c r="L135" s="27" t="s">
        <v>133</v>
      </c>
      <c r="M135" s="32" t="str">
        <f>HYPERLINK("http://slimages.macys.com/is/image/MCY/3773860 ")</f>
        <v xml:space="preserve">http://slimages.macys.com/is/image/MCY/3773860 </v>
      </c>
    </row>
    <row r="136" spans="1:13" ht="15.2" customHeight="1" x14ac:dyDescent="0.2">
      <c r="A136" s="26" t="s">
        <v>3322</v>
      </c>
      <c r="B136" s="27" t="s">
        <v>3323</v>
      </c>
      <c r="C136" s="28">
        <v>9</v>
      </c>
      <c r="D136" s="29">
        <v>10.5</v>
      </c>
      <c r="E136" s="29">
        <v>94.5</v>
      </c>
      <c r="F136" s="30">
        <v>27.99</v>
      </c>
      <c r="G136" s="29">
        <v>251.91</v>
      </c>
      <c r="H136" s="28" t="s">
        <v>790</v>
      </c>
      <c r="I136" s="27" t="s">
        <v>29</v>
      </c>
      <c r="J136" s="31" t="s">
        <v>5</v>
      </c>
      <c r="K136" s="27" t="s">
        <v>224</v>
      </c>
      <c r="L136" s="27" t="s">
        <v>239</v>
      </c>
      <c r="M136" s="32" t="str">
        <f>HYPERLINK("http://slimages.macys.com/is/image/MCY/3910853 ")</f>
        <v xml:space="preserve">http://slimages.macys.com/is/image/MCY/3910853 </v>
      </c>
    </row>
    <row r="137" spans="1:13" ht="15.2" customHeight="1" x14ac:dyDescent="0.2">
      <c r="A137" s="26" t="s">
        <v>3324</v>
      </c>
      <c r="B137" s="27" t="s">
        <v>3325</v>
      </c>
      <c r="C137" s="28">
        <v>1</v>
      </c>
      <c r="D137" s="29">
        <v>10.5</v>
      </c>
      <c r="E137" s="29">
        <v>10.5</v>
      </c>
      <c r="F137" s="30">
        <v>27.99</v>
      </c>
      <c r="G137" s="29">
        <v>27.99</v>
      </c>
      <c r="H137" s="28" t="s">
        <v>790</v>
      </c>
      <c r="I137" s="27"/>
      <c r="J137" s="31" t="s">
        <v>21</v>
      </c>
      <c r="K137" s="27" t="s">
        <v>224</v>
      </c>
      <c r="L137" s="27" t="s">
        <v>239</v>
      </c>
      <c r="M137" s="32" t="str">
        <f>HYPERLINK("http://slimages.macys.com/is/image/MCY/3910853 ")</f>
        <v xml:space="preserve">http://slimages.macys.com/is/image/MCY/3910853 </v>
      </c>
    </row>
    <row r="138" spans="1:13" ht="15.2" customHeight="1" x14ac:dyDescent="0.2">
      <c r="A138" s="26" t="s">
        <v>3326</v>
      </c>
      <c r="B138" s="27" t="s">
        <v>3327</v>
      </c>
      <c r="C138" s="28">
        <v>4</v>
      </c>
      <c r="D138" s="29">
        <v>10.5</v>
      </c>
      <c r="E138" s="29">
        <v>42</v>
      </c>
      <c r="F138" s="30">
        <v>27.99</v>
      </c>
      <c r="G138" s="29">
        <v>111.96</v>
      </c>
      <c r="H138" s="28" t="s">
        <v>790</v>
      </c>
      <c r="I138" s="27" t="s">
        <v>4</v>
      </c>
      <c r="J138" s="31" t="s">
        <v>40</v>
      </c>
      <c r="K138" s="27" t="s">
        <v>224</v>
      </c>
      <c r="L138" s="27" t="s">
        <v>239</v>
      </c>
      <c r="M138" s="32" t="str">
        <f>HYPERLINK("http://slimages.macys.com/is/image/MCY/3910858 ")</f>
        <v xml:space="preserve">http://slimages.macys.com/is/image/MCY/3910858 </v>
      </c>
    </row>
    <row r="139" spans="1:13" ht="15.2" customHeight="1" x14ac:dyDescent="0.2">
      <c r="A139" s="26" t="s">
        <v>3328</v>
      </c>
      <c r="B139" s="27" t="s">
        <v>3329</v>
      </c>
      <c r="C139" s="28">
        <v>1</v>
      </c>
      <c r="D139" s="29">
        <v>10.5</v>
      </c>
      <c r="E139" s="29">
        <v>10.5</v>
      </c>
      <c r="F139" s="30">
        <v>27.99</v>
      </c>
      <c r="G139" s="29">
        <v>27.99</v>
      </c>
      <c r="H139" s="28" t="s">
        <v>790</v>
      </c>
      <c r="I139" s="27" t="s">
        <v>285</v>
      </c>
      <c r="J139" s="31" t="s">
        <v>52</v>
      </c>
      <c r="K139" s="27" t="s">
        <v>224</v>
      </c>
      <c r="L139" s="27" t="s">
        <v>239</v>
      </c>
      <c r="M139" s="32" t="str">
        <f>HYPERLINK("http://slimages.macys.com/is/image/MCY/3910858 ")</f>
        <v xml:space="preserve">http://slimages.macys.com/is/image/MCY/3910858 </v>
      </c>
    </row>
    <row r="140" spans="1:13" ht="15.2" customHeight="1" x14ac:dyDescent="0.2">
      <c r="A140" s="26" t="s">
        <v>1301</v>
      </c>
      <c r="B140" s="27" t="s">
        <v>1302</v>
      </c>
      <c r="C140" s="28">
        <v>1</v>
      </c>
      <c r="D140" s="29">
        <v>10.5</v>
      </c>
      <c r="E140" s="29">
        <v>10.5</v>
      </c>
      <c r="F140" s="30">
        <v>27.99</v>
      </c>
      <c r="G140" s="29">
        <v>27.99</v>
      </c>
      <c r="H140" s="28" t="s">
        <v>790</v>
      </c>
      <c r="I140" s="27" t="s">
        <v>189</v>
      </c>
      <c r="J140" s="31" t="s">
        <v>5</v>
      </c>
      <c r="K140" s="27" t="s">
        <v>224</v>
      </c>
      <c r="L140" s="27" t="s">
        <v>239</v>
      </c>
      <c r="M140" s="32" t="str">
        <f>HYPERLINK("http://slimages.macys.com/is/image/MCY/3910853 ")</f>
        <v xml:space="preserve">http://slimages.macys.com/is/image/MCY/3910853 </v>
      </c>
    </row>
    <row r="141" spans="1:13" ht="15.2" customHeight="1" x14ac:dyDescent="0.2">
      <c r="A141" s="26" t="s">
        <v>3330</v>
      </c>
      <c r="B141" s="27" t="s">
        <v>3331</v>
      </c>
      <c r="C141" s="28">
        <v>1</v>
      </c>
      <c r="D141" s="29">
        <v>10.5</v>
      </c>
      <c r="E141" s="29">
        <v>10.5</v>
      </c>
      <c r="F141" s="30">
        <v>27.99</v>
      </c>
      <c r="G141" s="29">
        <v>27.99</v>
      </c>
      <c r="H141" s="28" t="s">
        <v>790</v>
      </c>
      <c r="I141" s="27" t="s">
        <v>285</v>
      </c>
      <c r="J141" s="31" t="s">
        <v>71</v>
      </c>
      <c r="K141" s="27" t="s">
        <v>224</v>
      </c>
      <c r="L141" s="27" t="s">
        <v>239</v>
      </c>
      <c r="M141" s="32" t="str">
        <f>HYPERLINK("http://slimages.macys.com/is/image/MCY/3910858 ")</f>
        <v xml:space="preserve">http://slimages.macys.com/is/image/MCY/3910858 </v>
      </c>
    </row>
    <row r="142" spans="1:13" ht="15.2" customHeight="1" x14ac:dyDescent="0.2">
      <c r="A142" s="26" t="s">
        <v>3332</v>
      </c>
      <c r="B142" s="27" t="s">
        <v>3333</v>
      </c>
      <c r="C142" s="28">
        <v>1</v>
      </c>
      <c r="D142" s="29">
        <v>10.5</v>
      </c>
      <c r="E142" s="29">
        <v>10.5</v>
      </c>
      <c r="F142" s="30">
        <v>27.99</v>
      </c>
      <c r="G142" s="29">
        <v>27.99</v>
      </c>
      <c r="H142" s="28" t="s">
        <v>790</v>
      </c>
      <c r="I142" s="27" t="s">
        <v>189</v>
      </c>
      <c r="J142" s="31" t="s">
        <v>40</v>
      </c>
      <c r="K142" s="27" t="s">
        <v>224</v>
      </c>
      <c r="L142" s="27" t="s">
        <v>239</v>
      </c>
      <c r="M142" s="32" t="str">
        <f>HYPERLINK("http://slimages.macys.com/is/image/MCY/3910858 ")</f>
        <v xml:space="preserve">http://slimages.macys.com/is/image/MCY/3910858 </v>
      </c>
    </row>
    <row r="143" spans="1:13" ht="15.2" customHeight="1" x14ac:dyDescent="0.2">
      <c r="A143" s="26" t="s">
        <v>3334</v>
      </c>
      <c r="B143" s="27" t="s">
        <v>3335</v>
      </c>
      <c r="C143" s="28">
        <v>1</v>
      </c>
      <c r="D143" s="29">
        <v>10.5</v>
      </c>
      <c r="E143" s="29">
        <v>10.5</v>
      </c>
      <c r="F143" s="30">
        <v>27.99</v>
      </c>
      <c r="G143" s="29">
        <v>27.99</v>
      </c>
      <c r="H143" s="28" t="s">
        <v>790</v>
      </c>
      <c r="I143" s="27" t="s">
        <v>285</v>
      </c>
      <c r="J143" s="31" t="s">
        <v>5</v>
      </c>
      <c r="K143" s="27" t="s">
        <v>224</v>
      </c>
      <c r="L143" s="27" t="s">
        <v>239</v>
      </c>
      <c r="M143" s="32" t="str">
        <f>HYPERLINK("http://slimages.macys.com/is/image/MCY/3910858 ")</f>
        <v xml:space="preserve">http://slimages.macys.com/is/image/MCY/3910858 </v>
      </c>
    </row>
    <row r="144" spans="1:13" ht="15.2" customHeight="1" x14ac:dyDescent="0.2">
      <c r="A144" s="26" t="s">
        <v>3336</v>
      </c>
      <c r="B144" s="27" t="s">
        <v>3337</v>
      </c>
      <c r="C144" s="28">
        <v>1</v>
      </c>
      <c r="D144" s="29">
        <v>10.5</v>
      </c>
      <c r="E144" s="29">
        <v>10.5</v>
      </c>
      <c r="F144" s="30">
        <v>27.99</v>
      </c>
      <c r="G144" s="29">
        <v>27.99</v>
      </c>
      <c r="H144" s="28" t="s">
        <v>790</v>
      </c>
      <c r="I144" s="27" t="s">
        <v>189</v>
      </c>
      <c r="J144" s="31" t="s">
        <v>40</v>
      </c>
      <c r="K144" s="27" t="s">
        <v>224</v>
      </c>
      <c r="L144" s="27" t="s">
        <v>239</v>
      </c>
      <c r="M144" s="32" t="str">
        <f>HYPERLINK("http://slimages.macys.com/is/image/MCY/3910853 ")</f>
        <v xml:space="preserve">http://slimages.macys.com/is/image/MCY/3910853 </v>
      </c>
    </row>
    <row r="145" spans="1:13" ht="15.2" customHeight="1" x14ac:dyDescent="0.2">
      <c r="A145" s="26" t="s">
        <v>1308</v>
      </c>
      <c r="B145" s="27" t="s">
        <v>1309</v>
      </c>
      <c r="C145" s="28">
        <v>1</v>
      </c>
      <c r="D145" s="29">
        <v>10.5</v>
      </c>
      <c r="E145" s="29">
        <v>10.5</v>
      </c>
      <c r="F145" s="30">
        <v>27.99</v>
      </c>
      <c r="G145" s="29">
        <v>27.99</v>
      </c>
      <c r="H145" s="28" t="s">
        <v>790</v>
      </c>
      <c r="I145" s="27" t="s">
        <v>189</v>
      </c>
      <c r="J145" s="31" t="s">
        <v>71</v>
      </c>
      <c r="K145" s="27" t="s">
        <v>224</v>
      </c>
      <c r="L145" s="27" t="s">
        <v>239</v>
      </c>
      <c r="M145" s="32" t="str">
        <f>HYPERLINK("http://slimages.macys.com/is/image/MCY/3910858 ")</f>
        <v xml:space="preserve">http://slimages.macys.com/is/image/MCY/3910858 </v>
      </c>
    </row>
    <row r="146" spans="1:13" ht="15.2" customHeight="1" x14ac:dyDescent="0.2">
      <c r="A146" s="26" t="s">
        <v>788</v>
      </c>
      <c r="B146" s="27" t="s">
        <v>789</v>
      </c>
      <c r="C146" s="28">
        <v>1</v>
      </c>
      <c r="D146" s="29">
        <v>10.5</v>
      </c>
      <c r="E146" s="29">
        <v>10.5</v>
      </c>
      <c r="F146" s="30">
        <v>27.99</v>
      </c>
      <c r="G146" s="29">
        <v>27.99</v>
      </c>
      <c r="H146" s="28" t="s">
        <v>790</v>
      </c>
      <c r="I146" s="27" t="s">
        <v>189</v>
      </c>
      <c r="J146" s="31" t="s">
        <v>71</v>
      </c>
      <c r="K146" s="27" t="s">
        <v>224</v>
      </c>
      <c r="L146" s="27" t="s">
        <v>239</v>
      </c>
      <c r="M146" s="32" t="str">
        <f>HYPERLINK("http://slimages.macys.com/is/image/MCY/3910853 ")</f>
        <v xml:space="preserve">http://slimages.macys.com/is/image/MCY/3910853 </v>
      </c>
    </row>
    <row r="147" spans="1:13" ht="15.2" customHeight="1" x14ac:dyDescent="0.2">
      <c r="A147" s="26" t="s">
        <v>3338</v>
      </c>
      <c r="B147" s="27" t="s">
        <v>3339</v>
      </c>
      <c r="C147" s="28">
        <v>1</v>
      </c>
      <c r="D147" s="29">
        <v>10.49</v>
      </c>
      <c r="E147" s="29">
        <v>10.49</v>
      </c>
      <c r="F147" s="30">
        <v>29.5</v>
      </c>
      <c r="G147" s="29">
        <v>29.5</v>
      </c>
      <c r="H147" s="28" t="s">
        <v>261</v>
      </c>
      <c r="I147" s="27" t="s">
        <v>4</v>
      </c>
      <c r="J147" s="31" t="s">
        <v>52</v>
      </c>
      <c r="K147" s="27" t="s">
        <v>53</v>
      </c>
      <c r="L147" s="27" t="s">
        <v>165</v>
      </c>
      <c r="M147" s="32" t="str">
        <f>HYPERLINK("http://slimages.macys.com/is/image/MCY/3789872 ")</f>
        <v xml:space="preserve">http://slimages.macys.com/is/image/MCY/3789872 </v>
      </c>
    </row>
    <row r="148" spans="1:13" ht="15.2" customHeight="1" x14ac:dyDescent="0.2">
      <c r="A148" s="26" t="s">
        <v>791</v>
      </c>
      <c r="B148" s="27" t="s">
        <v>792</v>
      </c>
      <c r="C148" s="28">
        <v>1</v>
      </c>
      <c r="D148" s="29">
        <v>10.4</v>
      </c>
      <c r="E148" s="29">
        <v>10.4</v>
      </c>
      <c r="F148" s="30">
        <v>24.99</v>
      </c>
      <c r="G148" s="29">
        <v>24.99</v>
      </c>
      <c r="H148" s="28" t="s">
        <v>793</v>
      </c>
      <c r="I148" s="27" t="s">
        <v>280</v>
      </c>
      <c r="J148" s="31" t="s">
        <v>21</v>
      </c>
      <c r="K148" s="27" t="s">
        <v>208</v>
      </c>
      <c r="L148" s="27" t="s">
        <v>197</v>
      </c>
      <c r="M148" s="32" t="str">
        <f>HYPERLINK("http://slimages.macys.com/is/image/MCY/3774116 ")</f>
        <v xml:space="preserve">http://slimages.macys.com/is/image/MCY/3774116 </v>
      </c>
    </row>
    <row r="149" spans="1:13" ht="15.2" customHeight="1" x14ac:dyDescent="0.2">
      <c r="A149" s="26" t="s">
        <v>262</v>
      </c>
      <c r="B149" s="27" t="s">
        <v>263</v>
      </c>
      <c r="C149" s="28">
        <v>3</v>
      </c>
      <c r="D149" s="29">
        <v>10.4</v>
      </c>
      <c r="E149" s="29">
        <v>31.2</v>
      </c>
      <c r="F149" s="30">
        <v>24.99</v>
      </c>
      <c r="G149" s="29">
        <v>74.97</v>
      </c>
      <c r="H149" s="28" t="s">
        <v>264</v>
      </c>
      <c r="I149" s="27" t="s">
        <v>248</v>
      </c>
      <c r="J149" s="31" t="s">
        <v>40</v>
      </c>
      <c r="K149" s="27" t="s">
        <v>208</v>
      </c>
      <c r="L149" s="27" t="s">
        <v>197</v>
      </c>
      <c r="M149" s="32" t="str">
        <f>HYPERLINK("http://slimages.macys.com/is/image/MCY/3883081 ")</f>
        <v xml:space="preserve">http://slimages.macys.com/is/image/MCY/3883081 </v>
      </c>
    </row>
    <row r="150" spans="1:13" ht="15.2" customHeight="1" x14ac:dyDescent="0.2">
      <c r="A150" s="26" t="s">
        <v>2630</v>
      </c>
      <c r="B150" s="27" t="s">
        <v>2631</v>
      </c>
      <c r="C150" s="28">
        <v>3</v>
      </c>
      <c r="D150" s="29">
        <v>10.4</v>
      </c>
      <c r="E150" s="29">
        <v>31.2</v>
      </c>
      <c r="F150" s="30">
        <v>24.99</v>
      </c>
      <c r="G150" s="29">
        <v>74.97</v>
      </c>
      <c r="H150" s="28" t="s">
        <v>264</v>
      </c>
      <c r="I150" s="27" t="s">
        <v>248</v>
      </c>
      <c r="J150" s="31" t="s">
        <v>21</v>
      </c>
      <c r="K150" s="27" t="s">
        <v>208</v>
      </c>
      <c r="L150" s="27" t="s">
        <v>197</v>
      </c>
      <c r="M150" s="32" t="str">
        <f>HYPERLINK("http://slimages.macys.com/is/image/MCY/3883081 ")</f>
        <v xml:space="preserve">http://slimages.macys.com/is/image/MCY/3883081 </v>
      </c>
    </row>
    <row r="151" spans="1:13" ht="15.2" customHeight="1" x14ac:dyDescent="0.2">
      <c r="A151" s="26" t="s">
        <v>3340</v>
      </c>
      <c r="B151" s="27" t="s">
        <v>3341</v>
      </c>
      <c r="C151" s="28">
        <v>1</v>
      </c>
      <c r="D151" s="29">
        <v>10.4</v>
      </c>
      <c r="E151" s="29">
        <v>10.4</v>
      </c>
      <c r="F151" s="30">
        <v>24.99</v>
      </c>
      <c r="G151" s="29">
        <v>24.99</v>
      </c>
      <c r="H151" s="28" t="s">
        <v>264</v>
      </c>
      <c r="I151" s="27" t="s">
        <v>10</v>
      </c>
      <c r="J151" s="31" t="s">
        <v>21</v>
      </c>
      <c r="K151" s="27" t="s">
        <v>208</v>
      </c>
      <c r="L151" s="27" t="s">
        <v>197</v>
      </c>
      <c r="M151" s="32" t="str">
        <f>HYPERLINK("http://slimages.macys.com/is/image/MCY/3883081 ")</f>
        <v xml:space="preserve">http://slimages.macys.com/is/image/MCY/3883081 </v>
      </c>
    </row>
    <row r="152" spans="1:13" ht="15.2" customHeight="1" x14ac:dyDescent="0.2">
      <c r="A152" s="26" t="s">
        <v>3342</v>
      </c>
      <c r="B152" s="27" t="s">
        <v>3343</v>
      </c>
      <c r="C152" s="28">
        <v>1</v>
      </c>
      <c r="D152" s="29">
        <v>10</v>
      </c>
      <c r="E152" s="29">
        <v>10</v>
      </c>
      <c r="F152" s="30">
        <v>24.99</v>
      </c>
      <c r="G152" s="29">
        <v>24.99</v>
      </c>
      <c r="H152" s="28" t="s">
        <v>270</v>
      </c>
      <c r="I152" s="27" t="s">
        <v>274</v>
      </c>
      <c r="J152" s="31" t="s">
        <v>5</v>
      </c>
      <c r="K152" s="27" t="s">
        <v>224</v>
      </c>
      <c r="L152" s="27" t="s">
        <v>260</v>
      </c>
      <c r="M152" s="32" t="str">
        <f>HYPERLINK("http://slimages.macys.com/is/image/MCY/3931167 ")</f>
        <v xml:space="preserve">http://slimages.macys.com/is/image/MCY/3931167 </v>
      </c>
    </row>
    <row r="153" spans="1:13" ht="15.2" customHeight="1" x14ac:dyDescent="0.2">
      <c r="A153" s="26" t="s">
        <v>2917</v>
      </c>
      <c r="B153" s="27" t="s">
        <v>2918</v>
      </c>
      <c r="C153" s="28">
        <v>1</v>
      </c>
      <c r="D153" s="29">
        <v>10</v>
      </c>
      <c r="E153" s="29">
        <v>10</v>
      </c>
      <c r="F153" s="30">
        <v>24.99</v>
      </c>
      <c r="G153" s="29">
        <v>24.99</v>
      </c>
      <c r="H153" s="28" t="s">
        <v>270</v>
      </c>
      <c r="I153" s="27" t="s">
        <v>274</v>
      </c>
      <c r="J153" s="31" t="s">
        <v>40</v>
      </c>
      <c r="K153" s="27" t="s">
        <v>224</v>
      </c>
      <c r="L153" s="27" t="s">
        <v>260</v>
      </c>
      <c r="M153" s="32" t="str">
        <f>HYPERLINK("http://slimages.macys.com/is/image/MCY/3931167 ")</f>
        <v xml:space="preserve">http://slimages.macys.com/is/image/MCY/3931167 </v>
      </c>
    </row>
    <row r="154" spans="1:13" ht="15.2" customHeight="1" x14ac:dyDescent="0.2">
      <c r="A154" s="26" t="s">
        <v>3344</v>
      </c>
      <c r="B154" s="27" t="s">
        <v>3345</v>
      </c>
      <c r="C154" s="28">
        <v>1</v>
      </c>
      <c r="D154" s="29">
        <v>10</v>
      </c>
      <c r="E154" s="29">
        <v>10</v>
      </c>
      <c r="F154" s="30">
        <v>24.99</v>
      </c>
      <c r="G154" s="29">
        <v>24.99</v>
      </c>
      <c r="H154" s="28">
        <v>57482</v>
      </c>
      <c r="I154" s="27" t="s">
        <v>189</v>
      </c>
      <c r="J154" s="31" t="s">
        <v>21</v>
      </c>
      <c r="K154" s="27" t="s">
        <v>224</v>
      </c>
      <c r="L154" s="27" t="s">
        <v>254</v>
      </c>
      <c r="M154" s="32" t="str">
        <f>HYPERLINK("http://slimages.macys.com/is/image/MCY/3107583 ")</f>
        <v xml:space="preserve">http://slimages.macys.com/is/image/MCY/3107583 </v>
      </c>
    </row>
    <row r="155" spans="1:13" ht="15.2" customHeight="1" x14ac:dyDescent="0.2">
      <c r="A155" s="26" t="s">
        <v>3346</v>
      </c>
      <c r="B155" s="27" t="s">
        <v>3347</v>
      </c>
      <c r="C155" s="28">
        <v>1</v>
      </c>
      <c r="D155" s="29">
        <v>10</v>
      </c>
      <c r="E155" s="29">
        <v>10</v>
      </c>
      <c r="F155" s="30">
        <v>24.99</v>
      </c>
      <c r="G155" s="29">
        <v>24.99</v>
      </c>
      <c r="H155" s="28" t="s">
        <v>270</v>
      </c>
      <c r="I155" s="27" t="s">
        <v>4</v>
      </c>
      <c r="J155" s="31" t="s">
        <v>52</v>
      </c>
      <c r="K155" s="27" t="s">
        <v>224</v>
      </c>
      <c r="L155" s="27" t="s">
        <v>260</v>
      </c>
      <c r="M155" s="32" t="str">
        <f>HYPERLINK("http://slimages.macys.com/is/image/MCY/3931167 ")</f>
        <v xml:space="preserve">http://slimages.macys.com/is/image/MCY/3931167 </v>
      </c>
    </row>
    <row r="156" spans="1:13" ht="15.2" customHeight="1" x14ac:dyDescent="0.2">
      <c r="A156" s="26" t="s">
        <v>1322</v>
      </c>
      <c r="B156" s="27" t="s">
        <v>1323</v>
      </c>
      <c r="C156" s="28">
        <v>1</v>
      </c>
      <c r="D156" s="29">
        <v>10</v>
      </c>
      <c r="E156" s="29">
        <v>10</v>
      </c>
      <c r="F156" s="30">
        <v>24.99</v>
      </c>
      <c r="G156" s="29">
        <v>24.99</v>
      </c>
      <c r="H156" s="28" t="s">
        <v>270</v>
      </c>
      <c r="I156" s="27" t="s">
        <v>4</v>
      </c>
      <c r="J156" s="31" t="s">
        <v>5</v>
      </c>
      <c r="K156" s="27" t="s">
        <v>224</v>
      </c>
      <c r="L156" s="27" t="s">
        <v>260</v>
      </c>
      <c r="M156" s="32" t="str">
        <f>HYPERLINK("http://slimages.macys.com/is/image/MCY/3931167 ")</f>
        <v xml:space="preserve">http://slimages.macys.com/is/image/MCY/3931167 </v>
      </c>
    </row>
    <row r="157" spans="1:13" ht="15.2" customHeight="1" x14ac:dyDescent="0.2">
      <c r="A157" s="26" t="s">
        <v>3348</v>
      </c>
      <c r="B157" s="27" t="s">
        <v>3349</v>
      </c>
      <c r="C157" s="28">
        <v>1</v>
      </c>
      <c r="D157" s="29">
        <v>9.25</v>
      </c>
      <c r="E157" s="29">
        <v>9.25</v>
      </c>
      <c r="F157" s="30">
        <v>19.989999999999998</v>
      </c>
      <c r="G157" s="29">
        <v>19.989999999999998</v>
      </c>
      <c r="H157" s="28">
        <v>60427717</v>
      </c>
      <c r="I157" s="27" t="s">
        <v>33</v>
      </c>
      <c r="J157" s="31" t="s">
        <v>52</v>
      </c>
      <c r="K157" s="27" t="s">
        <v>208</v>
      </c>
      <c r="L157" s="27" t="s">
        <v>255</v>
      </c>
      <c r="M157" s="32" t="str">
        <f>HYPERLINK("http://slimages.macys.com/is/image/MCY/3503053 ")</f>
        <v xml:space="preserve">http://slimages.macys.com/is/image/MCY/3503053 </v>
      </c>
    </row>
    <row r="158" spans="1:13" ht="15.2" customHeight="1" x14ac:dyDescent="0.2">
      <c r="A158" s="26" t="s">
        <v>3350</v>
      </c>
      <c r="B158" s="27" t="s">
        <v>3351</v>
      </c>
      <c r="C158" s="28">
        <v>1</v>
      </c>
      <c r="D158" s="29">
        <v>9.24</v>
      </c>
      <c r="E158" s="29">
        <v>9.24</v>
      </c>
      <c r="F158" s="30">
        <v>21.99</v>
      </c>
      <c r="G158" s="29">
        <v>21.99</v>
      </c>
      <c r="H158" s="28" t="s">
        <v>1340</v>
      </c>
      <c r="I158" s="27" t="s">
        <v>4</v>
      </c>
      <c r="J158" s="31" t="s">
        <v>21</v>
      </c>
      <c r="K158" s="27" t="s">
        <v>159</v>
      </c>
      <c r="L158" s="27" t="s">
        <v>160</v>
      </c>
      <c r="M158" s="32" t="str">
        <f>HYPERLINK("http://slimages.macys.com/is/image/MCY/3738496 ")</f>
        <v xml:space="preserve">http://slimages.macys.com/is/image/MCY/3738496 </v>
      </c>
    </row>
    <row r="159" spans="1:13" ht="15.2" customHeight="1" x14ac:dyDescent="0.2">
      <c r="A159" s="26" t="s">
        <v>3352</v>
      </c>
      <c r="B159" s="27" t="s">
        <v>3353</v>
      </c>
      <c r="C159" s="28">
        <v>1</v>
      </c>
      <c r="D159" s="29">
        <v>9.2200000000000006</v>
      </c>
      <c r="E159" s="29">
        <v>9.2200000000000006</v>
      </c>
      <c r="F159" s="30">
        <v>21.99</v>
      </c>
      <c r="G159" s="29">
        <v>21.99</v>
      </c>
      <c r="H159" s="28" t="s">
        <v>1822</v>
      </c>
      <c r="I159" s="27" t="s">
        <v>36</v>
      </c>
      <c r="J159" s="31" t="s">
        <v>21</v>
      </c>
      <c r="K159" s="27" t="s">
        <v>159</v>
      </c>
      <c r="L159" s="27" t="s">
        <v>160</v>
      </c>
      <c r="M159" s="32" t="str">
        <f>HYPERLINK("http://slimages.macys.com/is/image/MCY/3857708 ")</f>
        <v xml:space="preserve">http://slimages.macys.com/is/image/MCY/3857708 </v>
      </c>
    </row>
    <row r="160" spans="1:13" ht="15.2" customHeight="1" x14ac:dyDescent="0.2">
      <c r="A160" s="26" t="s">
        <v>3354</v>
      </c>
      <c r="B160" s="27" t="s">
        <v>3355</v>
      </c>
      <c r="C160" s="28">
        <v>1</v>
      </c>
      <c r="D160" s="29">
        <v>9.2200000000000006</v>
      </c>
      <c r="E160" s="29">
        <v>9.2200000000000006</v>
      </c>
      <c r="F160" s="30">
        <v>21.99</v>
      </c>
      <c r="G160" s="29">
        <v>21.99</v>
      </c>
      <c r="H160" s="28" t="s">
        <v>296</v>
      </c>
      <c r="I160" s="27" t="s">
        <v>36</v>
      </c>
      <c r="J160" s="31" t="s">
        <v>21</v>
      </c>
      <c r="K160" s="27" t="s">
        <v>159</v>
      </c>
      <c r="L160" s="27" t="s">
        <v>160</v>
      </c>
      <c r="M160" s="32" t="str">
        <f>HYPERLINK("http://slimages.macys.com/is/image/MCY/3857710 ")</f>
        <v xml:space="preserve">http://slimages.macys.com/is/image/MCY/3857710 </v>
      </c>
    </row>
    <row r="161" spans="1:13" ht="15.2" customHeight="1" x14ac:dyDescent="0.2">
      <c r="A161" s="26" t="s">
        <v>2639</v>
      </c>
      <c r="B161" s="27" t="s">
        <v>2640</v>
      </c>
      <c r="C161" s="28">
        <v>1</v>
      </c>
      <c r="D161" s="29">
        <v>9.2200000000000006</v>
      </c>
      <c r="E161" s="29">
        <v>9.2200000000000006</v>
      </c>
      <c r="F161" s="30">
        <v>21.99</v>
      </c>
      <c r="G161" s="29">
        <v>21.99</v>
      </c>
      <c r="H161" s="28" t="s">
        <v>294</v>
      </c>
      <c r="I161" s="27" t="s">
        <v>295</v>
      </c>
      <c r="J161" s="31" t="s">
        <v>5</v>
      </c>
      <c r="K161" s="27" t="s">
        <v>159</v>
      </c>
      <c r="L161" s="27" t="s">
        <v>160</v>
      </c>
      <c r="M161" s="32" t="str">
        <f>HYPERLINK("http://slimages.macys.com/is/image/MCY/3857709 ")</f>
        <v xml:space="preserve">http://slimages.macys.com/is/image/MCY/3857709 </v>
      </c>
    </row>
    <row r="162" spans="1:13" ht="15.2" customHeight="1" x14ac:dyDescent="0.2">
      <c r="A162" s="26" t="s">
        <v>3356</v>
      </c>
      <c r="B162" s="27" t="s">
        <v>3357</v>
      </c>
      <c r="C162" s="28">
        <v>1</v>
      </c>
      <c r="D162" s="29">
        <v>9.2200000000000006</v>
      </c>
      <c r="E162" s="29">
        <v>9.2200000000000006</v>
      </c>
      <c r="F162" s="30">
        <v>21.99</v>
      </c>
      <c r="G162" s="29">
        <v>21.99</v>
      </c>
      <c r="H162" s="28" t="s">
        <v>299</v>
      </c>
      <c r="I162" s="27" t="s">
        <v>4</v>
      </c>
      <c r="J162" s="31" t="s">
        <v>65</v>
      </c>
      <c r="K162" s="27" t="s">
        <v>159</v>
      </c>
      <c r="L162" s="27" t="s">
        <v>160</v>
      </c>
      <c r="M162" s="32" t="str">
        <f>HYPERLINK("http://slimages.macys.com/is/image/MCY/3857694 ")</f>
        <v xml:space="preserve">http://slimages.macys.com/is/image/MCY/3857694 </v>
      </c>
    </row>
    <row r="163" spans="1:13" ht="15.2" customHeight="1" x14ac:dyDescent="0.2">
      <c r="A163" s="26" t="s">
        <v>3358</v>
      </c>
      <c r="B163" s="27" t="s">
        <v>3359</v>
      </c>
      <c r="C163" s="28">
        <v>1</v>
      </c>
      <c r="D163" s="29">
        <v>9.2200000000000006</v>
      </c>
      <c r="E163" s="29">
        <v>9.2200000000000006</v>
      </c>
      <c r="F163" s="30">
        <v>21.99</v>
      </c>
      <c r="G163" s="29">
        <v>21.99</v>
      </c>
      <c r="H163" s="28" t="s">
        <v>1347</v>
      </c>
      <c r="I163" s="27" t="s">
        <v>4</v>
      </c>
      <c r="J163" s="31" t="s">
        <v>21</v>
      </c>
      <c r="K163" s="27" t="s">
        <v>159</v>
      </c>
      <c r="L163" s="27" t="s">
        <v>160</v>
      </c>
      <c r="M163" s="32" t="str">
        <f>HYPERLINK("http://slimages.macys.com/is/image/MCY/3870610 ")</f>
        <v xml:space="preserve">http://slimages.macys.com/is/image/MCY/3870610 </v>
      </c>
    </row>
    <row r="164" spans="1:13" ht="15.2" customHeight="1" x14ac:dyDescent="0.2">
      <c r="A164" s="26" t="s">
        <v>1823</v>
      </c>
      <c r="B164" s="27" t="s">
        <v>1824</v>
      </c>
      <c r="C164" s="28">
        <v>2</v>
      </c>
      <c r="D164" s="29">
        <v>9.2200000000000006</v>
      </c>
      <c r="E164" s="29">
        <v>18.440000000000001</v>
      </c>
      <c r="F164" s="30">
        <v>21.99</v>
      </c>
      <c r="G164" s="29">
        <v>43.98</v>
      </c>
      <c r="H164" s="28" t="s">
        <v>299</v>
      </c>
      <c r="I164" s="27" t="s">
        <v>4</v>
      </c>
      <c r="J164" s="31" t="s">
        <v>52</v>
      </c>
      <c r="K164" s="27" t="s">
        <v>159</v>
      </c>
      <c r="L164" s="27" t="s">
        <v>160</v>
      </c>
      <c r="M164" s="32" t="str">
        <f>HYPERLINK("http://slimages.macys.com/is/image/MCY/3857694 ")</f>
        <v xml:space="preserve">http://slimages.macys.com/is/image/MCY/3857694 </v>
      </c>
    </row>
    <row r="165" spans="1:13" ht="15.2" customHeight="1" x14ac:dyDescent="0.2">
      <c r="A165" s="26" t="s">
        <v>2641</v>
      </c>
      <c r="B165" s="27" t="s">
        <v>2642</v>
      </c>
      <c r="C165" s="28">
        <v>2</v>
      </c>
      <c r="D165" s="29">
        <v>9.2200000000000006</v>
      </c>
      <c r="E165" s="29">
        <v>18.440000000000001</v>
      </c>
      <c r="F165" s="30">
        <v>21.99</v>
      </c>
      <c r="G165" s="29">
        <v>43.98</v>
      </c>
      <c r="H165" s="28" t="s">
        <v>1347</v>
      </c>
      <c r="I165" s="27" t="s">
        <v>4</v>
      </c>
      <c r="J165" s="31" t="s">
        <v>5</v>
      </c>
      <c r="K165" s="27" t="s">
        <v>159</v>
      </c>
      <c r="L165" s="27" t="s">
        <v>160</v>
      </c>
      <c r="M165" s="32" t="str">
        <f>HYPERLINK("http://slimages.macys.com/is/image/MCY/3870610 ")</f>
        <v xml:space="preserve">http://slimages.macys.com/is/image/MCY/3870610 </v>
      </c>
    </row>
    <row r="166" spans="1:13" ht="15.2" customHeight="1" x14ac:dyDescent="0.2">
      <c r="A166" s="26" t="s">
        <v>2635</v>
      </c>
      <c r="B166" s="27" t="s">
        <v>2636</v>
      </c>
      <c r="C166" s="28">
        <v>1</v>
      </c>
      <c r="D166" s="29">
        <v>9.2200000000000006</v>
      </c>
      <c r="E166" s="29">
        <v>9.2200000000000006</v>
      </c>
      <c r="F166" s="30">
        <v>21.99</v>
      </c>
      <c r="G166" s="29">
        <v>21.99</v>
      </c>
      <c r="H166" s="28" t="s">
        <v>294</v>
      </c>
      <c r="I166" s="27" t="s">
        <v>295</v>
      </c>
      <c r="J166" s="31" t="s">
        <v>40</v>
      </c>
      <c r="K166" s="27" t="s">
        <v>159</v>
      </c>
      <c r="L166" s="27" t="s">
        <v>160</v>
      </c>
      <c r="M166" s="32" t="str">
        <f>HYPERLINK("http://slimages.macys.com/is/image/MCY/3857709 ")</f>
        <v xml:space="preserve">http://slimages.macys.com/is/image/MCY/3857709 </v>
      </c>
    </row>
    <row r="167" spans="1:13" ht="15.2" customHeight="1" x14ac:dyDescent="0.2">
      <c r="A167" s="26" t="s">
        <v>2643</v>
      </c>
      <c r="B167" s="27" t="s">
        <v>2644</v>
      </c>
      <c r="C167" s="28">
        <v>2</v>
      </c>
      <c r="D167" s="29">
        <v>9.2200000000000006</v>
      </c>
      <c r="E167" s="29">
        <v>18.440000000000001</v>
      </c>
      <c r="F167" s="30">
        <v>21.99</v>
      </c>
      <c r="G167" s="29">
        <v>43.98</v>
      </c>
      <c r="H167" s="28" t="s">
        <v>299</v>
      </c>
      <c r="I167" s="27" t="s">
        <v>4</v>
      </c>
      <c r="J167" s="31" t="s">
        <v>5</v>
      </c>
      <c r="K167" s="27" t="s">
        <v>159</v>
      </c>
      <c r="L167" s="27" t="s">
        <v>160</v>
      </c>
      <c r="M167" s="32" t="str">
        <f>HYPERLINK("http://slimages.macys.com/is/image/MCY/3857694 ")</f>
        <v xml:space="preserve">http://slimages.macys.com/is/image/MCY/3857694 </v>
      </c>
    </row>
    <row r="168" spans="1:13" ht="15.2" customHeight="1" x14ac:dyDescent="0.2">
      <c r="A168" s="26" t="s">
        <v>3360</v>
      </c>
      <c r="B168" s="27" t="s">
        <v>1805</v>
      </c>
      <c r="C168" s="28">
        <v>1</v>
      </c>
      <c r="D168" s="29">
        <v>9.2200000000000006</v>
      </c>
      <c r="E168" s="29">
        <v>9.2200000000000006</v>
      </c>
      <c r="F168" s="30">
        <v>21.99</v>
      </c>
      <c r="G168" s="29">
        <v>21.99</v>
      </c>
      <c r="H168" s="28" t="s">
        <v>1347</v>
      </c>
      <c r="I168" s="27" t="s">
        <v>4</v>
      </c>
      <c r="J168" s="31" t="s">
        <v>40</v>
      </c>
      <c r="K168" s="27" t="s">
        <v>159</v>
      </c>
      <c r="L168" s="27" t="s">
        <v>160</v>
      </c>
      <c r="M168" s="32" t="str">
        <f>HYPERLINK("http://slimages.macys.com/is/image/MCY/3870610 ")</f>
        <v xml:space="preserve">http://slimages.macys.com/is/image/MCY/3870610 </v>
      </c>
    </row>
    <row r="169" spans="1:13" ht="15.2" customHeight="1" x14ac:dyDescent="0.2">
      <c r="A169" s="26" t="s">
        <v>3361</v>
      </c>
      <c r="B169" s="27" t="s">
        <v>3362</v>
      </c>
      <c r="C169" s="28">
        <v>1</v>
      </c>
      <c r="D169" s="29">
        <v>9.2200000000000006</v>
      </c>
      <c r="E169" s="29">
        <v>9.2200000000000006</v>
      </c>
      <c r="F169" s="30">
        <v>21.99</v>
      </c>
      <c r="G169" s="29">
        <v>21.99</v>
      </c>
      <c r="H169" s="28" t="s">
        <v>296</v>
      </c>
      <c r="I169" s="27" t="s">
        <v>36</v>
      </c>
      <c r="J169" s="31" t="s">
        <v>52</v>
      </c>
      <c r="K169" s="27" t="s">
        <v>159</v>
      </c>
      <c r="L169" s="27" t="s">
        <v>160</v>
      </c>
      <c r="M169" s="32" t="str">
        <f>HYPERLINK("http://slimages.macys.com/is/image/MCY/3857710 ")</f>
        <v xml:space="preserve">http://slimages.macys.com/is/image/MCY/3857710 </v>
      </c>
    </row>
    <row r="170" spans="1:13" ht="15.2" customHeight="1" x14ac:dyDescent="0.2">
      <c r="A170" s="26" t="s">
        <v>2946</v>
      </c>
      <c r="B170" s="27" t="s">
        <v>2947</v>
      </c>
      <c r="C170" s="28">
        <v>1</v>
      </c>
      <c r="D170" s="29">
        <v>9.1999999999999993</v>
      </c>
      <c r="E170" s="29">
        <v>9.1999999999999993</v>
      </c>
      <c r="F170" s="30">
        <v>21.99</v>
      </c>
      <c r="G170" s="29">
        <v>21.99</v>
      </c>
      <c r="H170" s="28" t="s">
        <v>300</v>
      </c>
      <c r="I170" s="27" t="s">
        <v>1</v>
      </c>
      <c r="J170" s="31" t="s">
        <v>21</v>
      </c>
      <c r="K170" s="27" t="s">
        <v>159</v>
      </c>
      <c r="L170" s="27" t="s">
        <v>160</v>
      </c>
      <c r="M170" s="32" t="str">
        <f>HYPERLINK("http://slimages.macys.com/is/image/MCY/3857655 ")</f>
        <v xml:space="preserve">http://slimages.macys.com/is/image/MCY/3857655 </v>
      </c>
    </row>
    <row r="171" spans="1:13" ht="15.2" customHeight="1" x14ac:dyDescent="0.2">
      <c r="A171" s="26" t="s">
        <v>3363</v>
      </c>
      <c r="B171" s="27" t="s">
        <v>3364</v>
      </c>
      <c r="C171" s="28">
        <v>1</v>
      </c>
      <c r="D171" s="29">
        <v>9.15</v>
      </c>
      <c r="E171" s="29">
        <v>9.15</v>
      </c>
      <c r="F171" s="30">
        <v>21.99</v>
      </c>
      <c r="G171" s="29">
        <v>21.99</v>
      </c>
      <c r="H171" s="28" t="s">
        <v>3365</v>
      </c>
      <c r="I171" s="27" t="s">
        <v>103</v>
      </c>
      <c r="J171" s="31" t="s">
        <v>71</v>
      </c>
      <c r="K171" s="27" t="s">
        <v>159</v>
      </c>
      <c r="L171" s="27" t="s">
        <v>160</v>
      </c>
      <c r="M171" s="32" t="str">
        <f>HYPERLINK("http://slimages.macys.com/is/image/MCY/3536154 ")</f>
        <v xml:space="preserve">http://slimages.macys.com/is/image/MCY/3536154 </v>
      </c>
    </row>
    <row r="172" spans="1:13" ht="15.2" customHeight="1" x14ac:dyDescent="0.2">
      <c r="A172" s="26" t="s">
        <v>3366</v>
      </c>
      <c r="B172" s="27" t="s">
        <v>3367</v>
      </c>
      <c r="C172" s="28">
        <v>1</v>
      </c>
      <c r="D172" s="29">
        <v>9.1</v>
      </c>
      <c r="E172" s="29">
        <v>9.1</v>
      </c>
      <c r="F172" s="30">
        <v>19.989999999999998</v>
      </c>
      <c r="G172" s="29">
        <v>19.989999999999998</v>
      </c>
      <c r="H172" s="28" t="s">
        <v>1838</v>
      </c>
      <c r="I172" s="27" t="s">
        <v>26</v>
      </c>
      <c r="J172" s="31" t="s">
        <v>40</v>
      </c>
      <c r="K172" s="27" t="s">
        <v>224</v>
      </c>
      <c r="L172" s="27" t="s">
        <v>276</v>
      </c>
      <c r="M172" s="32" t="str">
        <f>HYPERLINK("http://slimages.macys.com/is/image/MCY/3853655 ")</f>
        <v xml:space="preserve">http://slimages.macys.com/is/image/MCY/3853655 </v>
      </c>
    </row>
    <row r="173" spans="1:13" ht="15.2" customHeight="1" x14ac:dyDescent="0.2">
      <c r="A173" s="26" t="s">
        <v>1351</v>
      </c>
      <c r="B173" s="27" t="s">
        <v>1352</v>
      </c>
      <c r="C173" s="28">
        <v>1</v>
      </c>
      <c r="D173" s="29">
        <v>9.1</v>
      </c>
      <c r="E173" s="29">
        <v>9.1</v>
      </c>
      <c r="F173" s="30">
        <v>19.989999999999998</v>
      </c>
      <c r="G173" s="29">
        <v>19.989999999999998</v>
      </c>
      <c r="H173" s="28" t="s">
        <v>1353</v>
      </c>
      <c r="I173" s="27" t="s">
        <v>215</v>
      </c>
      <c r="J173" s="31" t="s">
        <v>71</v>
      </c>
      <c r="K173" s="27" t="s">
        <v>224</v>
      </c>
      <c r="L173" s="27" t="s">
        <v>276</v>
      </c>
      <c r="M173" s="32" t="str">
        <f>HYPERLINK("http://slimages.macys.com/is/image/MCY/3820944 ")</f>
        <v xml:space="preserve">http://slimages.macys.com/is/image/MCY/3820944 </v>
      </c>
    </row>
    <row r="174" spans="1:13" ht="15.2" customHeight="1" x14ac:dyDescent="0.2">
      <c r="A174" s="26" t="s">
        <v>3368</v>
      </c>
      <c r="B174" s="27" t="s">
        <v>3369</v>
      </c>
      <c r="C174" s="28">
        <v>2</v>
      </c>
      <c r="D174" s="29">
        <v>9.1</v>
      </c>
      <c r="E174" s="29">
        <v>18.2</v>
      </c>
      <c r="F174" s="30">
        <v>19.989999999999998</v>
      </c>
      <c r="G174" s="29">
        <v>39.979999999999997</v>
      </c>
      <c r="H174" s="28" t="s">
        <v>1353</v>
      </c>
      <c r="I174" s="27" t="s">
        <v>94</v>
      </c>
      <c r="J174" s="31" t="s">
        <v>40</v>
      </c>
      <c r="K174" s="27" t="s">
        <v>224</v>
      </c>
      <c r="L174" s="27" t="s">
        <v>276</v>
      </c>
      <c r="M174" s="32" t="str">
        <f>HYPERLINK("http://slimages.macys.com/is/image/MCY/3820944 ")</f>
        <v xml:space="preserve">http://slimages.macys.com/is/image/MCY/3820944 </v>
      </c>
    </row>
    <row r="175" spans="1:13" ht="15.2" customHeight="1" x14ac:dyDescent="0.2">
      <c r="A175" s="26" t="s">
        <v>3370</v>
      </c>
      <c r="B175" s="27" t="s">
        <v>3371</v>
      </c>
      <c r="C175" s="28">
        <v>1</v>
      </c>
      <c r="D175" s="29">
        <v>9.1</v>
      </c>
      <c r="E175" s="29">
        <v>9.1</v>
      </c>
      <c r="F175" s="30">
        <v>19.989999999999998</v>
      </c>
      <c r="G175" s="29">
        <v>19.989999999999998</v>
      </c>
      <c r="H175" s="28" t="s">
        <v>1353</v>
      </c>
      <c r="I175" s="27" t="s">
        <v>94</v>
      </c>
      <c r="J175" s="31" t="s">
        <v>71</v>
      </c>
      <c r="K175" s="27" t="s">
        <v>224</v>
      </c>
      <c r="L175" s="27" t="s">
        <v>276</v>
      </c>
      <c r="M175" s="32" t="str">
        <f>HYPERLINK("http://slimages.macys.com/is/image/MCY/3820944 ")</f>
        <v xml:space="preserve">http://slimages.macys.com/is/image/MCY/3820944 </v>
      </c>
    </row>
    <row r="176" spans="1:13" ht="15.2" customHeight="1" x14ac:dyDescent="0.2">
      <c r="A176" s="26" t="s">
        <v>3372</v>
      </c>
      <c r="B176" s="27" t="s">
        <v>3373</v>
      </c>
      <c r="C176" s="28">
        <v>3</v>
      </c>
      <c r="D176" s="29">
        <v>9.1</v>
      </c>
      <c r="E176" s="29">
        <v>27.3</v>
      </c>
      <c r="F176" s="30">
        <v>19.989999999999998</v>
      </c>
      <c r="G176" s="29">
        <v>59.97</v>
      </c>
      <c r="H176" s="28" t="s">
        <v>1838</v>
      </c>
      <c r="I176" s="27" t="s">
        <v>94</v>
      </c>
      <c r="J176" s="31" t="s">
        <v>5</v>
      </c>
      <c r="K176" s="27" t="s">
        <v>224</v>
      </c>
      <c r="L176" s="27" t="s">
        <v>276</v>
      </c>
      <c r="M176" s="32" t="str">
        <f>HYPERLINK("http://slimages.macys.com/is/image/MCY/3853655 ")</f>
        <v xml:space="preserve">http://slimages.macys.com/is/image/MCY/3853655 </v>
      </c>
    </row>
    <row r="177" spans="1:13" ht="15.2" customHeight="1" x14ac:dyDescent="0.2">
      <c r="A177" s="26" t="s">
        <v>3374</v>
      </c>
      <c r="B177" s="27" t="s">
        <v>3375</v>
      </c>
      <c r="C177" s="28">
        <v>1</v>
      </c>
      <c r="D177" s="29">
        <v>9.1</v>
      </c>
      <c r="E177" s="29">
        <v>9.1</v>
      </c>
      <c r="F177" s="30">
        <v>19.989999999999998</v>
      </c>
      <c r="G177" s="29">
        <v>19.989999999999998</v>
      </c>
      <c r="H177" s="28" t="s">
        <v>1353</v>
      </c>
      <c r="I177" s="27" t="s">
        <v>215</v>
      </c>
      <c r="J177" s="31" t="s">
        <v>40</v>
      </c>
      <c r="K177" s="27" t="s">
        <v>224</v>
      </c>
      <c r="L177" s="27" t="s">
        <v>276</v>
      </c>
      <c r="M177" s="32" t="str">
        <f>HYPERLINK("http://slimages.macys.com/is/image/MCY/3820944 ")</f>
        <v xml:space="preserve">http://slimages.macys.com/is/image/MCY/3820944 </v>
      </c>
    </row>
    <row r="178" spans="1:13" ht="15.2" customHeight="1" x14ac:dyDescent="0.2">
      <c r="A178" s="26" t="s">
        <v>3376</v>
      </c>
      <c r="B178" s="27" t="s">
        <v>3377</v>
      </c>
      <c r="C178" s="28">
        <v>1</v>
      </c>
      <c r="D178" s="29">
        <v>9.1</v>
      </c>
      <c r="E178" s="29">
        <v>9.1</v>
      </c>
      <c r="F178" s="30">
        <v>19.989999999999998</v>
      </c>
      <c r="G178" s="29">
        <v>19.989999999999998</v>
      </c>
      <c r="H178" s="28" t="s">
        <v>305</v>
      </c>
      <c r="I178" s="27" t="s">
        <v>1311</v>
      </c>
      <c r="J178" s="31" t="s">
        <v>71</v>
      </c>
      <c r="K178" s="27" t="s">
        <v>224</v>
      </c>
      <c r="L178" s="27" t="s">
        <v>276</v>
      </c>
      <c r="M178" s="32" t="str">
        <f>HYPERLINK("http://slimages.macys.com/is/image/MCY/3820952 ")</f>
        <v xml:space="preserve">http://slimages.macys.com/is/image/MCY/3820952 </v>
      </c>
    </row>
    <row r="179" spans="1:13" ht="15.2" customHeight="1" x14ac:dyDescent="0.2">
      <c r="A179" s="26" t="s">
        <v>3378</v>
      </c>
      <c r="B179" s="27" t="s">
        <v>3379</v>
      </c>
      <c r="C179" s="28">
        <v>1</v>
      </c>
      <c r="D179" s="29">
        <v>9.1</v>
      </c>
      <c r="E179" s="29">
        <v>9.1</v>
      </c>
      <c r="F179" s="30">
        <v>19.989999999999998</v>
      </c>
      <c r="G179" s="29">
        <v>19.989999999999998</v>
      </c>
      <c r="H179" s="28" t="s">
        <v>1838</v>
      </c>
      <c r="I179" s="27" t="s">
        <v>4</v>
      </c>
      <c r="J179" s="31" t="s">
        <v>71</v>
      </c>
      <c r="K179" s="27" t="s">
        <v>224</v>
      </c>
      <c r="L179" s="27" t="s">
        <v>276</v>
      </c>
      <c r="M179" s="32" t="str">
        <f>HYPERLINK("http://slimages.macys.com/is/image/MCY/3853655 ")</f>
        <v xml:space="preserve">http://slimages.macys.com/is/image/MCY/3853655 </v>
      </c>
    </row>
    <row r="180" spans="1:13" ht="15.2" customHeight="1" x14ac:dyDescent="0.2">
      <c r="A180" s="26" t="s">
        <v>3380</v>
      </c>
      <c r="B180" s="27" t="s">
        <v>3381</v>
      </c>
      <c r="C180" s="28">
        <v>1</v>
      </c>
      <c r="D180" s="29">
        <v>9.1</v>
      </c>
      <c r="E180" s="29">
        <v>9.1</v>
      </c>
      <c r="F180" s="30">
        <v>19.989999999999998</v>
      </c>
      <c r="G180" s="29">
        <v>19.989999999999998</v>
      </c>
      <c r="H180" s="28" t="s">
        <v>1838</v>
      </c>
      <c r="I180" s="27" t="s">
        <v>4</v>
      </c>
      <c r="J180" s="31" t="s">
        <v>5</v>
      </c>
      <c r="K180" s="27" t="s">
        <v>224</v>
      </c>
      <c r="L180" s="27" t="s">
        <v>276</v>
      </c>
      <c r="M180" s="32" t="str">
        <f>HYPERLINK("http://slimages.macys.com/is/image/MCY/3853655 ")</f>
        <v xml:space="preserve">http://slimages.macys.com/is/image/MCY/3853655 </v>
      </c>
    </row>
    <row r="181" spans="1:13" ht="15.2" customHeight="1" x14ac:dyDescent="0.2">
      <c r="A181" s="26" t="s">
        <v>3382</v>
      </c>
      <c r="B181" s="27" t="s">
        <v>3383</v>
      </c>
      <c r="C181" s="28">
        <v>2</v>
      </c>
      <c r="D181" s="29">
        <v>9.1</v>
      </c>
      <c r="E181" s="29">
        <v>18.2</v>
      </c>
      <c r="F181" s="30">
        <v>19.989999999999998</v>
      </c>
      <c r="G181" s="29">
        <v>39.979999999999997</v>
      </c>
      <c r="H181" s="28" t="s">
        <v>1838</v>
      </c>
      <c r="I181" s="27" t="s">
        <v>94</v>
      </c>
      <c r="J181" s="31" t="s">
        <v>71</v>
      </c>
      <c r="K181" s="27" t="s">
        <v>224</v>
      </c>
      <c r="L181" s="27" t="s">
        <v>276</v>
      </c>
      <c r="M181" s="32" t="str">
        <f>HYPERLINK("http://slimages.macys.com/is/image/MCY/3853655 ")</f>
        <v xml:space="preserve">http://slimages.macys.com/is/image/MCY/3853655 </v>
      </c>
    </row>
    <row r="182" spans="1:13" ht="15.2" customHeight="1" x14ac:dyDescent="0.2">
      <c r="A182" s="26" t="s">
        <v>2246</v>
      </c>
      <c r="B182" s="27" t="s">
        <v>2247</v>
      </c>
      <c r="C182" s="28">
        <v>2</v>
      </c>
      <c r="D182" s="29">
        <v>9</v>
      </c>
      <c r="E182" s="29">
        <v>18</v>
      </c>
      <c r="F182" s="30">
        <v>19.989999999999998</v>
      </c>
      <c r="G182" s="29">
        <v>39.979999999999997</v>
      </c>
      <c r="H182" s="28" t="s">
        <v>2243</v>
      </c>
      <c r="I182" s="27" t="s">
        <v>146</v>
      </c>
      <c r="J182" s="31" t="s">
        <v>5</v>
      </c>
      <c r="K182" s="27" t="s">
        <v>196</v>
      </c>
      <c r="L182" s="27" t="s">
        <v>804</v>
      </c>
      <c r="M182" s="32" t="str">
        <f>HYPERLINK("http://slimages.macys.com/is/image/MCY/3207034 ")</f>
        <v xml:space="preserve">http://slimages.macys.com/is/image/MCY/3207034 </v>
      </c>
    </row>
    <row r="183" spans="1:13" ht="15.2" customHeight="1" x14ac:dyDescent="0.2">
      <c r="A183" s="26" t="s">
        <v>3384</v>
      </c>
      <c r="B183" s="27" t="s">
        <v>3385</v>
      </c>
      <c r="C183" s="28">
        <v>1</v>
      </c>
      <c r="D183" s="29">
        <v>9</v>
      </c>
      <c r="E183" s="29">
        <v>9</v>
      </c>
      <c r="F183" s="30">
        <v>19.989999999999998</v>
      </c>
      <c r="G183" s="29">
        <v>19.989999999999998</v>
      </c>
      <c r="H183" s="28" t="s">
        <v>2243</v>
      </c>
      <c r="I183" s="27" t="s">
        <v>146</v>
      </c>
      <c r="J183" s="31" t="s">
        <v>40</v>
      </c>
      <c r="K183" s="27" t="s">
        <v>196</v>
      </c>
      <c r="L183" s="27" t="s">
        <v>804</v>
      </c>
      <c r="M183" s="32" t="str">
        <f>HYPERLINK("http://slimages.macys.com/is/image/MCY/3207034 ")</f>
        <v xml:space="preserve">http://slimages.macys.com/is/image/MCY/3207034 </v>
      </c>
    </row>
    <row r="184" spans="1:13" ht="15.2" customHeight="1" x14ac:dyDescent="0.2">
      <c r="A184" s="26" t="s">
        <v>3386</v>
      </c>
      <c r="B184" s="27" t="s">
        <v>3387</v>
      </c>
      <c r="C184" s="28">
        <v>1</v>
      </c>
      <c r="D184" s="29">
        <v>9</v>
      </c>
      <c r="E184" s="29">
        <v>9</v>
      </c>
      <c r="F184" s="30">
        <v>19.989999999999998</v>
      </c>
      <c r="G184" s="29">
        <v>19.989999999999998</v>
      </c>
      <c r="H184" s="28" t="s">
        <v>311</v>
      </c>
      <c r="I184" s="27" t="s">
        <v>1</v>
      </c>
      <c r="J184" s="31" t="s">
        <v>40</v>
      </c>
      <c r="K184" s="27" t="s">
        <v>196</v>
      </c>
      <c r="L184" s="27" t="s">
        <v>239</v>
      </c>
      <c r="M184" s="32" t="str">
        <f>HYPERLINK("http://slimages.macys.com/is/image/MCY/3890895 ")</f>
        <v xml:space="preserve">http://slimages.macys.com/is/image/MCY/3890895 </v>
      </c>
    </row>
    <row r="185" spans="1:13" ht="15.2" customHeight="1" x14ac:dyDescent="0.2">
      <c r="A185" s="26" t="s">
        <v>3388</v>
      </c>
      <c r="B185" s="27" t="s">
        <v>3389</v>
      </c>
      <c r="C185" s="28">
        <v>1</v>
      </c>
      <c r="D185" s="29">
        <v>8.75</v>
      </c>
      <c r="E185" s="29">
        <v>8.75</v>
      </c>
      <c r="F185" s="30">
        <v>19.989999999999998</v>
      </c>
      <c r="G185" s="29">
        <v>19.989999999999998</v>
      </c>
      <c r="H185" s="28">
        <v>60433875</v>
      </c>
      <c r="I185" s="27" t="s">
        <v>4</v>
      </c>
      <c r="J185" s="31" t="s">
        <v>5</v>
      </c>
      <c r="K185" s="27" t="s">
        <v>224</v>
      </c>
      <c r="L185" s="27" t="s">
        <v>255</v>
      </c>
      <c r="M185" s="32" t="str">
        <f>HYPERLINK("http://slimages.macys.com/is/image/MCY/3915853 ")</f>
        <v xml:space="preserve">http://slimages.macys.com/is/image/MCY/3915853 </v>
      </c>
    </row>
    <row r="186" spans="1:13" ht="15.2" customHeight="1" x14ac:dyDescent="0.2">
      <c r="A186" s="26" t="s">
        <v>3390</v>
      </c>
      <c r="B186" s="27" t="s">
        <v>3391</v>
      </c>
      <c r="C186" s="28">
        <v>3</v>
      </c>
      <c r="D186" s="29">
        <v>8.75</v>
      </c>
      <c r="E186" s="29">
        <v>26.25</v>
      </c>
      <c r="F186" s="30">
        <v>19.989999999999998</v>
      </c>
      <c r="G186" s="29">
        <v>59.97</v>
      </c>
      <c r="H186" s="28">
        <v>60433875</v>
      </c>
      <c r="I186" s="27" t="s">
        <v>75</v>
      </c>
      <c r="J186" s="31" t="s">
        <v>52</v>
      </c>
      <c r="K186" s="27" t="s">
        <v>224</v>
      </c>
      <c r="L186" s="27" t="s">
        <v>255</v>
      </c>
      <c r="M186" s="32" t="str">
        <f>HYPERLINK("http://slimages.macys.com/is/image/MCY/3915853 ")</f>
        <v xml:space="preserve">http://slimages.macys.com/is/image/MCY/3915853 </v>
      </c>
    </row>
    <row r="187" spans="1:13" ht="15.2" customHeight="1" x14ac:dyDescent="0.2">
      <c r="A187" s="26" t="s">
        <v>3392</v>
      </c>
      <c r="B187" s="27" t="s">
        <v>3393</v>
      </c>
      <c r="C187" s="28">
        <v>1</v>
      </c>
      <c r="D187" s="29">
        <v>8.75</v>
      </c>
      <c r="E187" s="29">
        <v>8.75</v>
      </c>
      <c r="F187" s="30">
        <v>19.989999999999998</v>
      </c>
      <c r="G187" s="29">
        <v>19.989999999999998</v>
      </c>
      <c r="H187" s="28">
        <v>60433875</v>
      </c>
      <c r="I187" s="27" t="s">
        <v>75</v>
      </c>
      <c r="J187" s="31" t="s">
        <v>40</v>
      </c>
      <c r="K187" s="27" t="s">
        <v>224</v>
      </c>
      <c r="L187" s="27" t="s">
        <v>255</v>
      </c>
      <c r="M187" s="32" t="str">
        <f>HYPERLINK("http://slimages.macys.com/is/image/MCY/3915853 ")</f>
        <v xml:space="preserve">http://slimages.macys.com/is/image/MCY/3915853 </v>
      </c>
    </row>
    <row r="188" spans="1:13" ht="15.2" customHeight="1" x14ac:dyDescent="0.2">
      <c r="A188" s="26" t="s">
        <v>3394</v>
      </c>
      <c r="B188" s="27" t="s">
        <v>3395</v>
      </c>
      <c r="C188" s="28">
        <v>1</v>
      </c>
      <c r="D188" s="29">
        <v>8.5500000000000007</v>
      </c>
      <c r="E188" s="29">
        <v>8.5500000000000007</v>
      </c>
      <c r="F188" s="30">
        <v>19.989999999999998</v>
      </c>
      <c r="G188" s="29">
        <v>19.989999999999998</v>
      </c>
      <c r="H188" s="28" t="s">
        <v>1365</v>
      </c>
      <c r="I188" s="27"/>
      <c r="J188" s="31" t="s">
        <v>40</v>
      </c>
      <c r="K188" s="27" t="s">
        <v>224</v>
      </c>
      <c r="L188" s="27" t="s">
        <v>254</v>
      </c>
      <c r="M188" s="32" t="str">
        <f>HYPERLINK("http://slimages.macys.com/is/image/MCY/3815102 ")</f>
        <v xml:space="preserve">http://slimages.macys.com/is/image/MCY/3815102 </v>
      </c>
    </row>
    <row r="189" spans="1:13" ht="15.2" customHeight="1" x14ac:dyDescent="0.2">
      <c r="A189" s="26" t="s">
        <v>3396</v>
      </c>
      <c r="B189" s="27" t="s">
        <v>3397</v>
      </c>
      <c r="C189" s="28">
        <v>1</v>
      </c>
      <c r="D189" s="29">
        <v>8.5500000000000007</v>
      </c>
      <c r="E189" s="29">
        <v>8.5500000000000007</v>
      </c>
      <c r="F189" s="30">
        <v>19.989999999999998</v>
      </c>
      <c r="G189" s="29">
        <v>19.989999999999998</v>
      </c>
      <c r="H189" s="28" t="s">
        <v>3398</v>
      </c>
      <c r="I189" s="27" t="s">
        <v>4</v>
      </c>
      <c r="J189" s="31" t="s">
        <v>65</v>
      </c>
      <c r="K189" s="27" t="s">
        <v>224</v>
      </c>
      <c r="L189" s="27" t="s">
        <v>254</v>
      </c>
      <c r="M189" s="32" t="str">
        <f>HYPERLINK("http://slimages.macys.com/is/image/MCY/3931020 ")</f>
        <v xml:space="preserve">http://slimages.macys.com/is/image/MCY/3931020 </v>
      </c>
    </row>
    <row r="190" spans="1:13" ht="15.2" customHeight="1" x14ac:dyDescent="0.2">
      <c r="A190" s="26" t="s">
        <v>3399</v>
      </c>
      <c r="B190" s="27" t="s">
        <v>3400</v>
      </c>
      <c r="C190" s="28">
        <v>1</v>
      </c>
      <c r="D190" s="29">
        <v>8.5500000000000007</v>
      </c>
      <c r="E190" s="29">
        <v>8.5500000000000007</v>
      </c>
      <c r="F190" s="30">
        <v>19.989999999999998</v>
      </c>
      <c r="G190" s="29">
        <v>19.989999999999998</v>
      </c>
      <c r="H190" s="28" t="s">
        <v>3401</v>
      </c>
      <c r="I190" s="27" t="s">
        <v>94</v>
      </c>
      <c r="J190" s="31" t="s">
        <v>21</v>
      </c>
      <c r="K190" s="27" t="s">
        <v>224</v>
      </c>
      <c r="L190" s="27" t="s">
        <v>254</v>
      </c>
      <c r="M190" s="32" t="str">
        <f>HYPERLINK("http://slimages.macys.com/is/image/MCY/3853618 ")</f>
        <v xml:space="preserve">http://slimages.macys.com/is/image/MCY/3853618 </v>
      </c>
    </row>
    <row r="191" spans="1:13" ht="15.2" customHeight="1" x14ac:dyDescent="0.2">
      <c r="A191" s="26" t="s">
        <v>3402</v>
      </c>
      <c r="B191" s="27" t="s">
        <v>3403</v>
      </c>
      <c r="C191" s="28">
        <v>1</v>
      </c>
      <c r="D191" s="29">
        <v>8.5500000000000007</v>
      </c>
      <c r="E191" s="29">
        <v>8.5500000000000007</v>
      </c>
      <c r="F191" s="30">
        <v>19.989999999999998</v>
      </c>
      <c r="G191" s="29">
        <v>19.989999999999998</v>
      </c>
      <c r="H191" s="28" t="s">
        <v>3398</v>
      </c>
      <c r="I191" s="27" t="s">
        <v>1</v>
      </c>
      <c r="J191" s="31" t="s">
        <v>21</v>
      </c>
      <c r="K191" s="27" t="s">
        <v>224</v>
      </c>
      <c r="L191" s="27" t="s">
        <v>254</v>
      </c>
      <c r="M191" s="32" t="str">
        <f>HYPERLINK("http://slimages.macys.com/is/image/MCY/3931020 ")</f>
        <v xml:space="preserve">http://slimages.macys.com/is/image/MCY/3931020 </v>
      </c>
    </row>
    <row r="192" spans="1:13" ht="15.2" customHeight="1" x14ac:dyDescent="0.2">
      <c r="A192" s="26" t="s">
        <v>3404</v>
      </c>
      <c r="B192" s="27" t="s">
        <v>3405</v>
      </c>
      <c r="C192" s="28">
        <v>2</v>
      </c>
      <c r="D192" s="29">
        <v>8.5500000000000007</v>
      </c>
      <c r="E192" s="29">
        <v>17.100000000000001</v>
      </c>
      <c r="F192" s="30">
        <v>19.989999999999998</v>
      </c>
      <c r="G192" s="29">
        <v>39.979999999999997</v>
      </c>
      <c r="H192" s="28" t="s">
        <v>3401</v>
      </c>
      <c r="I192" s="27" t="s">
        <v>94</v>
      </c>
      <c r="J192" s="31" t="s">
        <v>40</v>
      </c>
      <c r="K192" s="27" t="s">
        <v>224</v>
      </c>
      <c r="L192" s="27" t="s">
        <v>254</v>
      </c>
      <c r="M192" s="32" t="str">
        <f>HYPERLINK("http://slimages.macys.com/is/image/MCY/3853618 ")</f>
        <v xml:space="preserve">http://slimages.macys.com/is/image/MCY/3853618 </v>
      </c>
    </row>
    <row r="193" spans="1:13" ht="15.2" customHeight="1" x14ac:dyDescent="0.2">
      <c r="A193" s="26" t="s">
        <v>3406</v>
      </c>
      <c r="B193" s="27" t="s">
        <v>3407</v>
      </c>
      <c r="C193" s="28">
        <v>1</v>
      </c>
      <c r="D193" s="29">
        <v>8.5</v>
      </c>
      <c r="E193" s="29">
        <v>8.5</v>
      </c>
      <c r="F193" s="30">
        <v>19.989999999999998</v>
      </c>
      <c r="G193" s="29">
        <v>19.989999999999998</v>
      </c>
      <c r="H193" s="28" t="s">
        <v>334</v>
      </c>
      <c r="I193" s="27" t="s">
        <v>1</v>
      </c>
      <c r="J193" s="31" t="s">
        <v>5</v>
      </c>
      <c r="K193" s="27" t="s">
        <v>196</v>
      </c>
      <c r="L193" s="27" t="s">
        <v>239</v>
      </c>
      <c r="M193" s="32" t="str">
        <f>HYPERLINK("http://slimages.macys.com/is/image/MCY/3890886 ")</f>
        <v xml:space="preserve">http://slimages.macys.com/is/image/MCY/3890886 </v>
      </c>
    </row>
    <row r="194" spans="1:13" ht="15.2" customHeight="1" x14ac:dyDescent="0.2">
      <c r="A194" s="26" t="s">
        <v>2285</v>
      </c>
      <c r="B194" s="27" t="s">
        <v>2286</v>
      </c>
      <c r="C194" s="28">
        <v>1</v>
      </c>
      <c r="D194" s="29">
        <v>8.5</v>
      </c>
      <c r="E194" s="29">
        <v>8.5</v>
      </c>
      <c r="F194" s="30">
        <v>19.989999999999998</v>
      </c>
      <c r="G194" s="29">
        <v>19.989999999999998</v>
      </c>
      <c r="H194" s="28" t="s">
        <v>323</v>
      </c>
      <c r="I194" s="27" t="s">
        <v>33</v>
      </c>
      <c r="J194" s="31" t="s">
        <v>21</v>
      </c>
      <c r="K194" s="27" t="s">
        <v>196</v>
      </c>
      <c r="L194" s="27" t="s">
        <v>239</v>
      </c>
      <c r="M194" s="32" t="str">
        <f>HYPERLINK("http://slimages.macys.com/is/image/MCY/3890900 ")</f>
        <v xml:space="preserve">http://slimages.macys.com/is/image/MCY/3890900 </v>
      </c>
    </row>
    <row r="195" spans="1:13" ht="15.2" customHeight="1" x14ac:dyDescent="0.2">
      <c r="A195" s="26" t="s">
        <v>1383</v>
      </c>
      <c r="B195" s="27" t="s">
        <v>1384</v>
      </c>
      <c r="C195" s="28">
        <v>1</v>
      </c>
      <c r="D195" s="29">
        <v>8.5</v>
      </c>
      <c r="E195" s="29">
        <v>8.5</v>
      </c>
      <c r="F195" s="30">
        <v>19.989999999999998</v>
      </c>
      <c r="G195" s="29">
        <v>19.989999999999998</v>
      </c>
      <c r="H195" s="28" t="s">
        <v>321</v>
      </c>
      <c r="I195" s="27" t="s">
        <v>333</v>
      </c>
      <c r="J195" s="31" t="s">
        <v>52</v>
      </c>
      <c r="K195" s="27" t="s">
        <v>196</v>
      </c>
      <c r="L195" s="27" t="s">
        <v>322</v>
      </c>
      <c r="M195" s="32" t="str">
        <f>HYPERLINK("http://slimages.macys.com/is/image/MCY/3910788 ")</f>
        <v xml:space="preserve">http://slimages.macys.com/is/image/MCY/3910788 </v>
      </c>
    </row>
    <row r="196" spans="1:13" ht="15.2" customHeight="1" x14ac:dyDescent="0.2">
      <c r="A196" s="26" t="s">
        <v>3408</v>
      </c>
      <c r="B196" s="27" t="s">
        <v>3409</v>
      </c>
      <c r="C196" s="28">
        <v>1</v>
      </c>
      <c r="D196" s="29">
        <v>8.5</v>
      </c>
      <c r="E196" s="29">
        <v>8.5</v>
      </c>
      <c r="F196" s="30">
        <v>19.989999999999998</v>
      </c>
      <c r="G196" s="29">
        <v>19.989999999999998</v>
      </c>
      <c r="H196" s="28">
        <v>60444549</v>
      </c>
      <c r="I196" s="27" t="s">
        <v>1</v>
      </c>
      <c r="J196" s="31" t="s">
        <v>52</v>
      </c>
      <c r="K196" s="27" t="s">
        <v>208</v>
      </c>
      <c r="L196" s="27" t="s">
        <v>255</v>
      </c>
      <c r="M196" s="32" t="str">
        <f>HYPERLINK("http://slimages.macys.com/is/image/MCY/3857783 ")</f>
        <v xml:space="preserve">http://slimages.macys.com/is/image/MCY/3857783 </v>
      </c>
    </row>
    <row r="197" spans="1:13" ht="15.2" customHeight="1" x14ac:dyDescent="0.2">
      <c r="A197" s="26" t="s">
        <v>3410</v>
      </c>
      <c r="B197" s="27" t="s">
        <v>3411</v>
      </c>
      <c r="C197" s="28">
        <v>1</v>
      </c>
      <c r="D197" s="29">
        <v>8.5</v>
      </c>
      <c r="E197" s="29">
        <v>8.5</v>
      </c>
      <c r="F197" s="30">
        <v>19.989999999999998</v>
      </c>
      <c r="G197" s="29">
        <v>19.989999999999998</v>
      </c>
      <c r="H197" s="28" t="s">
        <v>334</v>
      </c>
      <c r="I197" s="27" t="s">
        <v>1</v>
      </c>
      <c r="J197" s="31" t="s">
        <v>40</v>
      </c>
      <c r="K197" s="27" t="s">
        <v>196</v>
      </c>
      <c r="L197" s="27" t="s">
        <v>239</v>
      </c>
      <c r="M197" s="32" t="str">
        <f>HYPERLINK("http://slimages.macys.com/is/image/MCY/3890886 ")</f>
        <v xml:space="preserve">http://slimages.macys.com/is/image/MCY/3890886 </v>
      </c>
    </row>
    <row r="198" spans="1:13" ht="15.2" customHeight="1" x14ac:dyDescent="0.2">
      <c r="A198" s="26" t="s">
        <v>3412</v>
      </c>
      <c r="B198" s="27" t="s">
        <v>3413</v>
      </c>
      <c r="C198" s="28">
        <v>1</v>
      </c>
      <c r="D198" s="29">
        <v>8.5</v>
      </c>
      <c r="E198" s="29">
        <v>8.5</v>
      </c>
      <c r="F198" s="30">
        <v>19.989999999999998</v>
      </c>
      <c r="G198" s="29">
        <v>19.989999999999998</v>
      </c>
      <c r="H198" s="28" t="s">
        <v>334</v>
      </c>
      <c r="I198" s="27" t="s">
        <v>1</v>
      </c>
      <c r="J198" s="31" t="s">
        <v>21</v>
      </c>
      <c r="K198" s="27" t="s">
        <v>196</v>
      </c>
      <c r="L198" s="27" t="s">
        <v>239</v>
      </c>
      <c r="M198" s="32" t="str">
        <f>HYPERLINK("http://slimages.macys.com/is/image/MCY/3890886 ")</f>
        <v xml:space="preserve">http://slimages.macys.com/is/image/MCY/3890886 </v>
      </c>
    </row>
    <row r="199" spans="1:13" ht="15.2" customHeight="1" x14ac:dyDescent="0.2">
      <c r="A199" s="26" t="s">
        <v>1368</v>
      </c>
      <c r="B199" s="27" t="s">
        <v>1369</v>
      </c>
      <c r="C199" s="28">
        <v>1</v>
      </c>
      <c r="D199" s="29">
        <v>8.5</v>
      </c>
      <c r="E199" s="29">
        <v>8.5</v>
      </c>
      <c r="F199" s="30">
        <v>19.989999999999998</v>
      </c>
      <c r="G199" s="29">
        <v>19.989999999999998</v>
      </c>
      <c r="H199" s="28" t="s">
        <v>321</v>
      </c>
      <c r="I199" s="27" t="s">
        <v>280</v>
      </c>
      <c r="J199" s="31" t="s">
        <v>52</v>
      </c>
      <c r="K199" s="27" t="s">
        <v>196</v>
      </c>
      <c r="L199" s="27" t="s">
        <v>322</v>
      </c>
      <c r="M199" s="32" t="str">
        <f>HYPERLINK("http://slimages.macys.com/is/image/MCY/3910788 ")</f>
        <v xml:space="preserve">http://slimages.macys.com/is/image/MCY/3910788 </v>
      </c>
    </row>
    <row r="200" spans="1:13" ht="15.2" customHeight="1" x14ac:dyDescent="0.2">
      <c r="A200" s="26" t="s">
        <v>3414</v>
      </c>
      <c r="B200" s="27" t="s">
        <v>3415</v>
      </c>
      <c r="C200" s="28">
        <v>1</v>
      </c>
      <c r="D200" s="29">
        <v>8.5</v>
      </c>
      <c r="E200" s="29">
        <v>8.5</v>
      </c>
      <c r="F200" s="30">
        <v>19.989999999999998</v>
      </c>
      <c r="G200" s="29">
        <v>19.989999999999998</v>
      </c>
      <c r="H200" s="28" t="s">
        <v>334</v>
      </c>
      <c r="I200" s="27" t="s">
        <v>1</v>
      </c>
      <c r="J200" s="31" t="s">
        <v>52</v>
      </c>
      <c r="K200" s="27" t="s">
        <v>196</v>
      </c>
      <c r="L200" s="27" t="s">
        <v>239</v>
      </c>
      <c r="M200" s="32" t="str">
        <f>HYPERLINK("http://slimages.macys.com/is/image/MCY/3890886 ")</f>
        <v xml:space="preserve">http://slimages.macys.com/is/image/MCY/3890886 </v>
      </c>
    </row>
    <row r="201" spans="1:13" ht="15.2" customHeight="1" x14ac:dyDescent="0.2">
      <c r="A201" s="26" t="s">
        <v>331</v>
      </c>
      <c r="B201" s="27" t="s">
        <v>332</v>
      </c>
      <c r="C201" s="28">
        <v>3</v>
      </c>
      <c r="D201" s="29">
        <v>8.5</v>
      </c>
      <c r="E201" s="29">
        <v>25.5</v>
      </c>
      <c r="F201" s="30">
        <v>19.989999999999998</v>
      </c>
      <c r="G201" s="29">
        <v>59.97</v>
      </c>
      <c r="H201" s="28" t="s">
        <v>321</v>
      </c>
      <c r="I201" s="27" t="s">
        <v>333</v>
      </c>
      <c r="J201" s="31" t="s">
        <v>21</v>
      </c>
      <c r="K201" s="27" t="s">
        <v>196</v>
      </c>
      <c r="L201" s="27" t="s">
        <v>322</v>
      </c>
      <c r="M201" s="32" t="str">
        <f>HYPERLINK("http://slimages.macys.com/is/image/MCY/3910788 ")</f>
        <v xml:space="preserve">http://slimages.macys.com/is/image/MCY/3910788 </v>
      </c>
    </row>
    <row r="202" spans="1:13" ht="15.2" customHeight="1" x14ac:dyDescent="0.2">
      <c r="A202" s="26" t="s">
        <v>2264</v>
      </c>
      <c r="B202" s="27" t="s">
        <v>2265</v>
      </c>
      <c r="C202" s="28">
        <v>2</v>
      </c>
      <c r="D202" s="29">
        <v>8.5</v>
      </c>
      <c r="E202" s="29">
        <v>17</v>
      </c>
      <c r="F202" s="30">
        <v>19.989999999999998</v>
      </c>
      <c r="G202" s="29">
        <v>39.979999999999997</v>
      </c>
      <c r="H202" s="28" t="s">
        <v>321</v>
      </c>
      <c r="I202" s="27" t="s">
        <v>4</v>
      </c>
      <c r="J202" s="31" t="s">
        <v>21</v>
      </c>
      <c r="K202" s="27" t="s">
        <v>196</v>
      </c>
      <c r="L202" s="27" t="s">
        <v>322</v>
      </c>
      <c r="M202" s="32" t="str">
        <f>HYPERLINK("http://slimages.macys.com/is/image/MCY/3910788 ")</f>
        <v xml:space="preserve">http://slimages.macys.com/is/image/MCY/3910788 </v>
      </c>
    </row>
    <row r="203" spans="1:13" ht="15.2" customHeight="1" x14ac:dyDescent="0.2">
      <c r="A203" s="26" t="s">
        <v>3416</v>
      </c>
      <c r="B203" s="27" t="s">
        <v>3417</v>
      </c>
      <c r="C203" s="28">
        <v>1</v>
      </c>
      <c r="D203" s="29">
        <v>8.5</v>
      </c>
      <c r="E203" s="29">
        <v>8.5</v>
      </c>
      <c r="F203" s="30">
        <v>19.989999999999998</v>
      </c>
      <c r="G203" s="29">
        <v>19.989999999999998</v>
      </c>
      <c r="H203" s="28">
        <v>60433871</v>
      </c>
      <c r="I203" s="27" t="s">
        <v>215</v>
      </c>
      <c r="J203" s="31" t="s">
        <v>71</v>
      </c>
      <c r="K203" s="27" t="s">
        <v>224</v>
      </c>
      <c r="L203" s="27" t="s">
        <v>255</v>
      </c>
      <c r="M203" s="32" t="str">
        <f>HYPERLINK("http://slimages.macys.com/is/image/MCY/3910875 ")</f>
        <v xml:space="preserve">http://slimages.macys.com/is/image/MCY/3910875 </v>
      </c>
    </row>
    <row r="204" spans="1:13" ht="15.2" customHeight="1" x14ac:dyDescent="0.2">
      <c r="A204" s="26" t="s">
        <v>3418</v>
      </c>
      <c r="B204" s="27" t="s">
        <v>3419</v>
      </c>
      <c r="C204" s="28">
        <v>2</v>
      </c>
      <c r="D204" s="29">
        <v>8.5</v>
      </c>
      <c r="E204" s="29">
        <v>17</v>
      </c>
      <c r="F204" s="30">
        <v>19.989999999999998</v>
      </c>
      <c r="G204" s="29">
        <v>39.979999999999997</v>
      </c>
      <c r="H204" s="28">
        <v>60433871</v>
      </c>
      <c r="I204" s="27" t="s">
        <v>59</v>
      </c>
      <c r="J204" s="31" t="s">
        <v>21</v>
      </c>
      <c r="K204" s="27" t="s">
        <v>224</v>
      </c>
      <c r="L204" s="27" t="s">
        <v>255</v>
      </c>
      <c r="M204" s="32" t="str">
        <f>HYPERLINK("http://slimages.macys.com/is/image/MCY/3910875 ")</f>
        <v xml:space="preserve">http://slimages.macys.com/is/image/MCY/3910875 </v>
      </c>
    </row>
    <row r="205" spans="1:13" ht="15.2" customHeight="1" x14ac:dyDescent="0.2">
      <c r="A205" s="26" t="s">
        <v>3420</v>
      </c>
      <c r="B205" s="27" t="s">
        <v>3421</v>
      </c>
      <c r="C205" s="28">
        <v>2</v>
      </c>
      <c r="D205" s="29">
        <v>8.5</v>
      </c>
      <c r="E205" s="29">
        <v>17</v>
      </c>
      <c r="F205" s="30">
        <v>19.989999999999998</v>
      </c>
      <c r="G205" s="29">
        <v>39.979999999999997</v>
      </c>
      <c r="H205" s="28">
        <v>60433871</v>
      </c>
      <c r="I205" s="27" t="s">
        <v>59</v>
      </c>
      <c r="J205" s="31" t="s">
        <v>52</v>
      </c>
      <c r="K205" s="27" t="s">
        <v>224</v>
      </c>
      <c r="L205" s="27" t="s">
        <v>255</v>
      </c>
      <c r="M205" s="32" t="str">
        <f>HYPERLINK("http://slimages.macys.com/is/image/MCY/3910875 ")</f>
        <v xml:space="preserve">http://slimages.macys.com/is/image/MCY/3910875 </v>
      </c>
    </row>
    <row r="206" spans="1:13" ht="15.2" customHeight="1" x14ac:dyDescent="0.2">
      <c r="A206" s="26" t="s">
        <v>1370</v>
      </c>
      <c r="B206" s="27" t="s">
        <v>1371</v>
      </c>
      <c r="C206" s="28">
        <v>2</v>
      </c>
      <c r="D206" s="29">
        <v>8.5</v>
      </c>
      <c r="E206" s="29">
        <v>17</v>
      </c>
      <c r="F206" s="30">
        <v>19.989999999999998</v>
      </c>
      <c r="G206" s="29">
        <v>39.979999999999997</v>
      </c>
      <c r="H206" s="28" t="s">
        <v>323</v>
      </c>
      <c r="I206" s="27" t="s">
        <v>189</v>
      </c>
      <c r="J206" s="31" t="s">
        <v>40</v>
      </c>
      <c r="K206" s="27" t="s">
        <v>196</v>
      </c>
      <c r="L206" s="27" t="s">
        <v>239</v>
      </c>
      <c r="M206" s="32" t="str">
        <f>HYPERLINK("http://slimages.macys.com/is/image/MCY/3890900 ")</f>
        <v xml:space="preserve">http://slimages.macys.com/is/image/MCY/3890900 </v>
      </c>
    </row>
    <row r="207" spans="1:13" ht="15.2" customHeight="1" x14ac:dyDescent="0.2">
      <c r="A207" s="26" t="s">
        <v>3422</v>
      </c>
      <c r="B207" s="27" t="s">
        <v>3423</v>
      </c>
      <c r="C207" s="28">
        <v>1</v>
      </c>
      <c r="D207" s="29">
        <v>8.4499999999999993</v>
      </c>
      <c r="E207" s="29">
        <v>8.4499999999999993</v>
      </c>
      <c r="F207" s="30">
        <v>19.989999999999998</v>
      </c>
      <c r="G207" s="29">
        <v>19.989999999999998</v>
      </c>
      <c r="H207" s="28" t="s">
        <v>3424</v>
      </c>
      <c r="I207" s="27" t="s">
        <v>75</v>
      </c>
      <c r="J207" s="31" t="s">
        <v>40</v>
      </c>
      <c r="K207" s="27" t="s">
        <v>196</v>
      </c>
      <c r="L207" s="27" t="s">
        <v>322</v>
      </c>
      <c r="M207" s="32" t="str">
        <f>HYPERLINK("http://slimages.macys.com/is/image/MCY/3947122 ")</f>
        <v xml:space="preserve">http://slimages.macys.com/is/image/MCY/3947122 </v>
      </c>
    </row>
    <row r="208" spans="1:13" ht="15.2" customHeight="1" x14ac:dyDescent="0.2">
      <c r="A208" s="26" t="s">
        <v>1881</v>
      </c>
      <c r="B208" s="27" t="s">
        <v>1882</v>
      </c>
      <c r="C208" s="28">
        <v>1</v>
      </c>
      <c r="D208" s="29">
        <v>8.1</v>
      </c>
      <c r="E208" s="29">
        <v>8.1</v>
      </c>
      <c r="F208" s="30">
        <v>19.989999999999998</v>
      </c>
      <c r="G208" s="29">
        <v>19.989999999999998</v>
      </c>
      <c r="H208" s="28">
        <v>60449400</v>
      </c>
      <c r="I208" s="27" t="s">
        <v>59</v>
      </c>
      <c r="J208" s="31" t="s">
        <v>52</v>
      </c>
      <c r="K208" s="27" t="s">
        <v>208</v>
      </c>
      <c r="L208" s="27" t="s">
        <v>255</v>
      </c>
      <c r="M208" s="32" t="str">
        <f>HYPERLINK("http://slimages.macys.com/is/image/MCY/3940667 ")</f>
        <v xml:space="preserve">http://slimages.macys.com/is/image/MCY/3940667 </v>
      </c>
    </row>
    <row r="209" spans="1:13" ht="15.2" customHeight="1" x14ac:dyDescent="0.2">
      <c r="A209" s="26" t="s">
        <v>341</v>
      </c>
      <c r="B209" s="27" t="s">
        <v>342</v>
      </c>
      <c r="C209" s="28">
        <v>1</v>
      </c>
      <c r="D209" s="29">
        <v>8.1</v>
      </c>
      <c r="E209" s="29">
        <v>8.1</v>
      </c>
      <c r="F209" s="30">
        <v>19.989999999999998</v>
      </c>
      <c r="G209" s="29">
        <v>19.989999999999998</v>
      </c>
      <c r="H209" s="28">
        <v>60449400</v>
      </c>
      <c r="I209" s="27" t="s">
        <v>4</v>
      </c>
      <c r="J209" s="31" t="s">
        <v>5</v>
      </c>
      <c r="K209" s="27" t="s">
        <v>208</v>
      </c>
      <c r="L209" s="27" t="s">
        <v>255</v>
      </c>
      <c r="M209" s="32" t="str">
        <f>HYPERLINK("http://slimages.macys.com/is/image/MCY/3940667 ")</f>
        <v xml:space="preserve">http://slimages.macys.com/is/image/MCY/3940667 </v>
      </c>
    </row>
    <row r="210" spans="1:13" ht="15.2" customHeight="1" x14ac:dyDescent="0.2">
      <c r="A210" s="26" t="s">
        <v>344</v>
      </c>
      <c r="B210" s="27" t="s">
        <v>345</v>
      </c>
      <c r="C210" s="28">
        <v>1</v>
      </c>
      <c r="D210" s="29">
        <v>8.1</v>
      </c>
      <c r="E210" s="29">
        <v>8.1</v>
      </c>
      <c r="F210" s="30">
        <v>19.989999999999998</v>
      </c>
      <c r="G210" s="29">
        <v>19.989999999999998</v>
      </c>
      <c r="H210" s="28">
        <v>60449400</v>
      </c>
      <c r="I210" s="27" t="s">
        <v>4</v>
      </c>
      <c r="J210" s="31" t="s">
        <v>71</v>
      </c>
      <c r="K210" s="27" t="s">
        <v>208</v>
      </c>
      <c r="L210" s="27" t="s">
        <v>255</v>
      </c>
      <c r="M210" s="32" t="str">
        <f>HYPERLINK("http://slimages.macys.com/is/image/MCY/3940667 ")</f>
        <v xml:space="preserve">http://slimages.macys.com/is/image/MCY/3940667 </v>
      </c>
    </row>
    <row r="211" spans="1:13" ht="15.2" customHeight="1" x14ac:dyDescent="0.2">
      <c r="A211" s="26" t="s">
        <v>3425</v>
      </c>
      <c r="B211" s="27" t="s">
        <v>3426</v>
      </c>
      <c r="C211" s="28">
        <v>1</v>
      </c>
      <c r="D211" s="29">
        <v>8</v>
      </c>
      <c r="E211" s="29">
        <v>8</v>
      </c>
      <c r="F211" s="30">
        <v>19.989999999999998</v>
      </c>
      <c r="G211" s="29">
        <v>19.989999999999998</v>
      </c>
      <c r="H211" s="28" t="s">
        <v>3427</v>
      </c>
      <c r="I211" s="27" t="s">
        <v>189</v>
      </c>
      <c r="J211" s="31" t="s">
        <v>40</v>
      </c>
      <c r="K211" s="27" t="s">
        <v>282</v>
      </c>
      <c r="L211" s="27" t="s">
        <v>349</v>
      </c>
      <c r="M211" s="32" t="str">
        <f>HYPERLINK("http://slimages.macys.com/is/image/MCY/3799636 ")</f>
        <v xml:space="preserve">http://slimages.macys.com/is/image/MCY/3799636 </v>
      </c>
    </row>
    <row r="212" spans="1:13" ht="15.2" customHeight="1" x14ac:dyDescent="0.2">
      <c r="A212" s="26" t="s">
        <v>3428</v>
      </c>
      <c r="B212" s="27" t="s">
        <v>3429</v>
      </c>
      <c r="C212" s="28">
        <v>1</v>
      </c>
      <c r="D212" s="29">
        <v>7.85</v>
      </c>
      <c r="E212" s="29">
        <v>7.85</v>
      </c>
      <c r="F212" s="30">
        <v>24.99</v>
      </c>
      <c r="G212" s="29">
        <v>24.99</v>
      </c>
      <c r="H212" s="28" t="s">
        <v>367</v>
      </c>
      <c r="I212" s="27" t="s">
        <v>144</v>
      </c>
      <c r="J212" s="31" t="s">
        <v>21</v>
      </c>
      <c r="K212" s="27" t="s">
        <v>224</v>
      </c>
      <c r="L212" s="27" t="s">
        <v>260</v>
      </c>
      <c r="M212" s="32" t="str">
        <f>HYPERLINK("http://slimages.macys.com/is/image/MCY/3853703 ")</f>
        <v xml:space="preserve">http://slimages.macys.com/is/image/MCY/3853703 </v>
      </c>
    </row>
    <row r="213" spans="1:13" ht="15.2" customHeight="1" x14ac:dyDescent="0.2">
      <c r="A213" s="26" t="s">
        <v>3430</v>
      </c>
      <c r="B213" s="27" t="s">
        <v>3431</v>
      </c>
      <c r="C213" s="28">
        <v>2</v>
      </c>
      <c r="D213" s="29">
        <v>7.85</v>
      </c>
      <c r="E213" s="29">
        <v>15.7</v>
      </c>
      <c r="F213" s="30">
        <v>24.99</v>
      </c>
      <c r="G213" s="29">
        <v>49.98</v>
      </c>
      <c r="H213" s="28" t="s">
        <v>367</v>
      </c>
      <c r="I213" s="27" t="s">
        <v>144</v>
      </c>
      <c r="J213" s="31" t="s">
        <v>40</v>
      </c>
      <c r="K213" s="27" t="s">
        <v>224</v>
      </c>
      <c r="L213" s="27" t="s">
        <v>260</v>
      </c>
      <c r="M213" s="32" t="str">
        <f>HYPERLINK("http://slimages.macys.com/is/image/MCY/3853703 ")</f>
        <v xml:space="preserve">http://slimages.macys.com/is/image/MCY/3853703 </v>
      </c>
    </row>
    <row r="214" spans="1:13" ht="15.2" customHeight="1" x14ac:dyDescent="0.2">
      <c r="A214" s="26" t="s">
        <v>3432</v>
      </c>
      <c r="B214" s="27" t="s">
        <v>3433</v>
      </c>
      <c r="C214" s="28">
        <v>1</v>
      </c>
      <c r="D214" s="29">
        <v>7.85</v>
      </c>
      <c r="E214" s="29">
        <v>7.85</v>
      </c>
      <c r="F214" s="30">
        <v>27.99</v>
      </c>
      <c r="G214" s="29">
        <v>27.99</v>
      </c>
      <c r="H214" s="28" t="s">
        <v>1419</v>
      </c>
      <c r="I214" s="27" t="s">
        <v>4</v>
      </c>
      <c r="J214" s="31" t="s">
        <v>71</v>
      </c>
      <c r="K214" s="27" t="s">
        <v>224</v>
      </c>
      <c r="L214" s="27" t="s">
        <v>260</v>
      </c>
      <c r="M214" s="32" t="str">
        <f>HYPERLINK("http://slimages.macys.com/is/image/MCY/3798032 ")</f>
        <v xml:space="preserve">http://slimages.macys.com/is/image/MCY/3798032 </v>
      </c>
    </row>
    <row r="215" spans="1:13" ht="15.2" customHeight="1" x14ac:dyDescent="0.2">
      <c r="A215" s="26" t="s">
        <v>3434</v>
      </c>
      <c r="B215" s="27" t="s">
        <v>3435</v>
      </c>
      <c r="C215" s="28">
        <v>1</v>
      </c>
      <c r="D215" s="29">
        <v>7.5</v>
      </c>
      <c r="E215" s="29">
        <v>7.5</v>
      </c>
      <c r="F215" s="30">
        <v>19.989999999999998</v>
      </c>
      <c r="G215" s="29">
        <v>19.989999999999998</v>
      </c>
      <c r="H215" s="28" t="s">
        <v>1900</v>
      </c>
      <c r="I215" s="27" t="s">
        <v>4</v>
      </c>
      <c r="J215" s="31" t="s">
        <v>5</v>
      </c>
      <c r="K215" s="27" t="s">
        <v>196</v>
      </c>
      <c r="L215" s="27" t="s">
        <v>225</v>
      </c>
      <c r="M215" s="32" t="str">
        <f>HYPERLINK("http://slimages.macys.com/is/image/MCY/3953461 ")</f>
        <v xml:space="preserve">http://slimages.macys.com/is/image/MCY/3953461 </v>
      </c>
    </row>
    <row r="216" spans="1:13" ht="15.2" customHeight="1" x14ac:dyDescent="0.2">
      <c r="A216" s="26" t="s">
        <v>3436</v>
      </c>
      <c r="B216" s="27" t="s">
        <v>3437</v>
      </c>
      <c r="C216" s="28">
        <v>1</v>
      </c>
      <c r="D216" s="29">
        <v>7.5</v>
      </c>
      <c r="E216" s="29">
        <v>7.5</v>
      </c>
      <c r="F216" s="30">
        <v>19.989999999999998</v>
      </c>
      <c r="G216" s="29">
        <v>19.989999999999998</v>
      </c>
      <c r="H216" s="28" t="s">
        <v>3438</v>
      </c>
      <c r="I216" s="27" t="s">
        <v>248</v>
      </c>
      <c r="J216" s="31" t="s">
        <v>52</v>
      </c>
      <c r="K216" s="27" t="s">
        <v>196</v>
      </c>
      <c r="L216" s="27" t="s">
        <v>336</v>
      </c>
      <c r="M216" s="32" t="str">
        <f>HYPERLINK("http://slimages.macys.com/is/image/MCY/3660171 ")</f>
        <v xml:space="preserve">http://slimages.macys.com/is/image/MCY/3660171 </v>
      </c>
    </row>
    <row r="217" spans="1:13" ht="15.2" customHeight="1" x14ac:dyDescent="0.2">
      <c r="A217" s="26" t="s">
        <v>3439</v>
      </c>
      <c r="B217" s="27" t="s">
        <v>3440</v>
      </c>
      <c r="C217" s="28">
        <v>1</v>
      </c>
      <c r="D217" s="29">
        <v>7.5</v>
      </c>
      <c r="E217" s="29">
        <v>7.5</v>
      </c>
      <c r="F217" s="30">
        <v>19.989999999999998</v>
      </c>
      <c r="G217" s="29">
        <v>19.989999999999998</v>
      </c>
      <c r="H217" s="28" t="s">
        <v>3438</v>
      </c>
      <c r="I217" s="27" t="s">
        <v>248</v>
      </c>
      <c r="J217" s="31" t="s">
        <v>71</v>
      </c>
      <c r="K217" s="27" t="s">
        <v>196</v>
      </c>
      <c r="L217" s="27" t="s">
        <v>336</v>
      </c>
      <c r="M217" s="32" t="str">
        <f>HYPERLINK("http://slimages.macys.com/is/image/MCY/3660171 ")</f>
        <v xml:space="preserve">http://slimages.macys.com/is/image/MCY/3660171 </v>
      </c>
    </row>
    <row r="218" spans="1:13" ht="15.2" customHeight="1" x14ac:dyDescent="0.2">
      <c r="A218" s="26" t="s">
        <v>3441</v>
      </c>
      <c r="B218" s="27" t="s">
        <v>3442</v>
      </c>
      <c r="C218" s="28">
        <v>3</v>
      </c>
      <c r="D218" s="29">
        <v>7.5</v>
      </c>
      <c r="E218" s="29">
        <v>22.5</v>
      </c>
      <c r="F218" s="30">
        <v>19.989999999999998</v>
      </c>
      <c r="G218" s="29">
        <v>59.97</v>
      </c>
      <c r="H218" s="28" t="s">
        <v>3438</v>
      </c>
      <c r="I218" s="27" t="s">
        <v>248</v>
      </c>
      <c r="J218" s="31" t="s">
        <v>5</v>
      </c>
      <c r="K218" s="27" t="s">
        <v>196</v>
      </c>
      <c r="L218" s="27" t="s">
        <v>336</v>
      </c>
      <c r="M218" s="32" t="str">
        <f>HYPERLINK("http://slimages.macys.com/is/image/MCY/3660171 ")</f>
        <v xml:space="preserve">http://slimages.macys.com/is/image/MCY/3660171 </v>
      </c>
    </row>
    <row r="219" spans="1:13" ht="15.2" customHeight="1" x14ac:dyDescent="0.2">
      <c r="A219" s="26" t="s">
        <v>3443</v>
      </c>
      <c r="B219" s="27" t="s">
        <v>3444</v>
      </c>
      <c r="C219" s="28">
        <v>2</v>
      </c>
      <c r="D219" s="29">
        <v>7.5</v>
      </c>
      <c r="E219" s="29">
        <v>15</v>
      </c>
      <c r="F219" s="30">
        <v>19.989999999999998</v>
      </c>
      <c r="G219" s="29">
        <v>39.979999999999997</v>
      </c>
      <c r="H219" s="28" t="s">
        <v>3438</v>
      </c>
      <c r="I219" s="27" t="s">
        <v>248</v>
      </c>
      <c r="J219" s="31" t="s">
        <v>40</v>
      </c>
      <c r="K219" s="27" t="s">
        <v>196</v>
      </c>
      <c r="L219" s="27" t="s">
        <v>336</v>
      </c>
      <c r="M219" s="32" t="str">
        <f>HYPERLINK("http://slimages.macys.com/is/image/MCY/3660171 ")</f>
        <v xml:space="preserve">http://slimages.macys.com/is/image/MCY/3660171 </v>
      </c>
    </row>
    <row r="220" spans="1:13" ht="15.2" customHeight="1" x14ac:dyDescent="0.2">
      <c r="A220" s="26" t="s">
        <v>3445</v>
      </c>
      <c r="B220" s="27" t="s">
        <v>3446</v>
      </c>
      <c r="C220" s="28">
        <v>1</v>
      </c>
      <c r="D220" s="29">
        <v>7.5</v>
      </c>
      <c r="E220" s="29">
        <v>7.5</v>
      </c>
      <c r="F220" s="30">
        <v>18.989999999999998</v>
      </c>
      <c r="G220" s="29">
        <v>18.989999999999998</v>
      </c>
      <c r="H220" s="28" t="s">
        <v>3447</v>
      </c>
      <c r="I220" s="27" t="s">
        <v>26</v>
      </c>
      <c r="J220" s="31" t="s">
        <v>5</v>
      </c>
      <c r="K220" s="27" t="s">
        <v>70</v>
      </c>
      <c r="L220" s="27" t="s">
        <v>260</v>
      </c>
      <c r="M220" s="32" t="str">
        <f>HYPERLINK("http://slimages.macys.com/is/image/MCY/3955684 ")</f>
        <v xml:space="preserve">http://slimages.macys.com/is/image/MCY/3955684 </v>
      </c>
    </row>
    <row r="221" spans="1:13" ht="15.2" customHeight="1" x14ac:dyDescent="0.2">
      <c r="A221" s="26" t="s">
        <v>3448</v>
      </c>
      <c r="B221" s="27" t="s">
        <v>3449</v>
      </c>
      <c r="C221" s="28">
        <v>3</v>
      </c>
      <c r="D221" s="29">
        <v>7.5</v>
      </c>
      <c r="E221" s="29">
        <v>22.5</v>
      </c>
      <c r="F221" s="30">
        <v>19.989999999999998</v>
      </c>
      <c r="G221" s="29">
        <v>59.97</v>
      </c>
      <c r="H221" s="28" t="s">
        <v>3438</v>
      </c>
      <c r="I221" s="27" t="s">
        <v>248</v>
      </c>
      <c r="J221" s="31" t="s">
        <v>21</v>
      </c>
      <c r="K221" s="27" t="s">
        <v>196</v>
      </c>
      <c r="L221" s="27" t="s">
        <v>336</v>
      </c>
      <c r="M221" s="32" t="str">
        <f>HYPERLINK("http://slimages.macys.com/is/image/MCY/3660171 ")</f>
        <v xml:space="preserve">http://slimages.macys.com/is/image/MCY/3660171 </v>
      </c>
    </row>
    <row r="222" spans="1:13" ht="15.2" customHeight="1" x14ac:dyDescent="0.2">
      <c r="A222" s="26" t="s">
        <v>2669</v>
      </c>
      <c r="B222" s="27" t="s">
        <v>2670</v>
      </c>
      <c r="C222" s="28">
        <v>1</v>
      </c>
      <c r="D222" s="29">
        <v>6.62</v>
      </c>
      <c r="E222" s="29">
        <v>6.62</v>
      </c>
      <c r="F222" s="30">
        <v>14.99</v>
      </c>
      <c r="G222" s="29">
        <v>14.99</v>
      </c>
      <c r="H222" s="28" t="s">
        <v>1921</v>
      </c>
      <c r="I222" s="27" t="s">
        <v>4</v>
      </c>
      <c r="J222" s="31" t="s">
        <v>40</v>
      </c>
      <c r="K222" s="27" t="s">
        <v>159</v>
      </c>
      <c r="L222" s="27" t="s">
        <v>160</v>
      </c>
      <c r="M222" s="32" t="str">
        <f>HYPERLINK("http://slimages.macys.com/is/image/MCY/3944660 ")</f>
        <v xml:space="preserve">http://slimages.macys.com/is/image/MCY/3944660 </v>
      </c>
    </row>
    <row r="223" spans="1:13" ht="15.2" customHeight="1" x14ac:dyDescent="0.2">
      <c r="A223" s="26" t="s">
        <v>1447</v>
      </c>
      <c r="B223" s="27" t="s">
        <v>1448</v>
      </c>
      <c r="C223" s="28">
        <v>1</v>
      </c>
      <c r="D223" s="29">
        <v>6.5</v>
      </c>
      <c r="E223" s="29">
        <v>6.5</v>
      </c>
      <c r="F223" s="30">
        <v>12.99</v>
      </c>
      <c r="G223" s="29">
        <v>12.99</v>
      </c>
      <c r="H223" s="28" t="s">
        <v>877</v>
      </c>
      <c r="I223" s="27" t="s">
        <v>22</v>
      </c>
      <c r="J223" s="31" t="s">
        <v>40</v>
      </c>
      <c r="K223" s="27" t="s">
        <v>282</v>
      </c>
      <c r="L223" s="27" t="s">
        <v>322</v>
      </c>
      <c r="M223" s="32" t="str">
        <f>HYPERLINK("http://slimages.macys.com/is/image/MCY/3719744 ")</f>
        <v xml:space="preserve">http://slimages.macys.com/is/image/MCY/3719744 </v>
      </c>
    </row>
    <row r="224" spans="1:13" ht="15.2" customHeight="1" x14ac:dyDescent="0.2">
      <c r="A224" s="26" t="s">
        <v>2998</v>
      </c>
      <c r="B224" s="27" t="s">
        <v>2999</v>
      </c>
      <c r="C224" s="28">
        <v>1</v>
      </c>
      <c r="D224" s="29">
        <v>6.3</v>
      </c>
      <c r="E224" s="29">
        <v>6.3</v>
      </c>
      <c r="F224" s="30">
        <v>14.99</v>
      </c>
      <c r="G224" s="29">
        <v>14.99</v>
      </c>
      <c r="H224" s="28" t="s">
        <v>3000</v>
      </c>
      <c r="I224" s="27" t="s">
        <v>64</v>
      </c>
      <c r="J224" s="31" t="s">
        <v>21</v>
      </c>
      <c r="K224" s="27" t="s">
        <v>159</v>
      </c>
      <c r="L224" s="27" t="s">
        <v>160</v>
      </c>
      <c r="M224" s="32" t="str">
        <f>HYPERLINK("http://slimages.macys.com/is/image/MCY/3738486 ")</f>
        <v xml:space="preserve">http://slimages.macys.com/is/image/MCY/3738486 </v>
      </c>
    </row>
    <row r="225" spans="1:13" ht="15.2" customHeight="1" x14ac:dyDescent="0.2">
      <c r="A225" s="26" t="s">
        <v>880</v>
      </c>
      <c r="B225" s="27" t="s">
        <v>881</v>
      </c>
      <c r="C225" s="28">
        <v>1</v>
      </c>
      <c r="D225" s="29">
        <v>6.3</v>
      </c>
      <c r="E225" s="29">
        <v>6.3</v>
      </c>
      <c r="F225" s="30">
        <v>14.99</v>
      </c>
      <c r="G225" s="29">
        <v>14.99</v>
      </c>
      <c r="H225" s="28" t="s">
        <v>397</v>
      </c>
      <c r="I225" s="27" t="s">
        <v>36</v>
      </c>
      <c r="J225" s="31" t="s">
        <v>71</v>
      </c>
      <c r="K225" s="27" t="s">
        <v>159</v>
      </c>
      <c r="L225" s="27" t="s">
        <v>160</v>
      </c>
      <c r="M225" s="32" t="str">
        <f>HYPERLINK("http://slimages.macys.com/is/image/MCY/3876250 ")</f>
        <v xml:space="preserve">http://slimages.macys.com/is/image/MCY/3876250 </v>
      </c>
    </row>
    <row r="226" spans="1:13" ht="15.2" customHeight="1" x14ac:dyDescent="0.2">
      <c r="A226" s="26" t="s">
        <v>3450</v>
      </c>
      <c r="B226" s="27" t="s">
        <v>3451</v>
      </c>
      <c r="C226" s="28">
        <v>1</v>
      </c>
      <c r="D226" s="29">
        <v>6.25</v>
      </c>
      <c r="E226" s="29">
        <v>6.25</v>
      </c>
      <c r="F226" s="30">
        <v>13.99</v>
      </c>
      <c r="G226" s="29">
        <v>13.99</v>
      </c>
      <c r="H226" s="28" t="s">
        <v>2374</v>
      </c>
      <c r="I226" s="27" t="s">
        <v>36</v>
      </c>
      <c r="J226" s="31" t="s">
        <v>40</v>
      </c>
      <c r="K226" s="27" t="s">
        <v>282</v>
      </c>
      <c r="L226" s="27" t="s">
        <v>260</v>
      </c>
      <c r="M226" s="32" t="str">
        <f>HYPERLINK("http://slimages.macys.com/is/image/MCY/3879621 ")</f>
        <v xml:space="preserve">http://slimages.macys.com/is/image/MCY/3879621 </v>
      </c>
    </row>
    <row r="227" spans="1:13" ht="15.2" customHeight="1" x14ac:dyDescent="0.2">
      <c r="A227" s="26" t="s">
        <v>2697</v>
      </c>
      <c r="B227" s="27" t="s">
        <v>2698</v>
      </c>
      <c r="C227" s="28">
        <v>1</v>
      </c>
      <c r="D227" s="29">
        <v>6.15</v>
      </c>
      <c r="E227" s="29">
        <v>6.15</v>
      </c>
      <c r="F227" s="30">
        <v>14.99</v>
      </c>
      <c r="G227" s="29">
        <v>14.99</v>
      </c>
      <c r="H227" s="28" t="s">
        <v>2694</v>
      </c>
      <c r="I227" s="27" t="s">
        <v>295</v>
      </c>
      <c r="J227" s="31" t="s">
        <v>5</v>
      </c>
      <c r="K227" s="27" t="s">
        <v>159</v>
      </c>
      <c r="L227" s="27" t="s">
        <v>160</v>
      </c>
      <c r="M227" s="32" t="str">
        <f>HYPERLINK("http://slimages.macys.com/is/image/MCY/3857666 ")</f>
        <v xml:space="preserve">http://slimages.macys.com/is/image/MCY/3857666 </v>
      </c>
    </row>
    <row r="228" spans="1:13" ht="15.2" customHeight="1" x14ac:dyDescent="0.2">
      <c r="A228" s="26" t="s">
        <v>3452</v>
      </c>
      <c r="B228" s="27" t="s">
        <v>3453</v>
      </c>
      <c r="C228" s="28">
        <v>1</v>
      </c>
      <c r="D228" s="29">
        <v>6.15</v>
      </c>
      <c r="E228" s="29">
        <v>6.15</v>
      </c>
      <c r="F228" s="30">
        <v>13.99</v>
      </c>
      <c r="G228" s="29">
        <v>13.99</v>
      </c>
      <c r="H228" s="28" t="s">
        <v>407</v>
      </c>
      <c r="I228" s="27" t="s">
        <v>36</v>
      </c>
      <c r="J228" s="31" t="s">
        <v>40</v>
      </c>
      <c r="K228" s="27" t="s">
        <v>282</v>
      </c>
      <c r="L228" s="27" t="s">
        <v>260</v>
      </c>
      <c r="M228" s="32" t="str">
        <f>HYPERLINK("http://slimages.macys.com/is/image/MCY/3910835 ")</f>
        <v xml:space="preserve">http://slimages.macys.com/is/image/MCY/3910835 </v>
      </c>
    </row>
    <row r="229" spans="1:13" ht="15.2" customHeight="1" x14ac:dyDescent="0.2">
      <c r="A229" s="26" t="s">
        <v>3454</v>
      </c>
      <c r="B229" s="27" t="s">
        <v>3455</v>
      </c>
      <c r="C229" s="28">
        <v>1</v>
      </c>
      <c r="D229" s="29">
        <v>6.1</v>
      </c>
      <c r="E229" s="29">
        <v>6.1</v>
      </c>
      <c r="F229" s="30">
        <v>15.99</v>
      </c>
      <c r="G229" s="29">
        <v>15.99</v>
      </c>
      <c r="H229" s="28" t="s">
        <v>1484</v>
      </c>
      <c r="I229" s="27" t="s">
        <v>94</v>
      </c>
      <c r="J229" s="31" t="s">
        <v>71</v>
      </c>
      <c r="K229" s="27" t="s">
        <v>70</v>
      </c>
      <c r="L229" s="27" t="s">
        <v>260</v>
      </c>
      <c r="M229" s="32" t="str">
        <f>HYPERLINK("http://slimages.macys.com/is/image/MCY/3947255 ")</f>
        <v xml:space="preserve">http://slimages.macys.com/is/image/MCY/3947255 </v>
      </c>
    </row>
    <row r="230" spans="1:13" ht="15.2" customHeight="1" x14ac:dyDescent="0.2">
      <c r="A230" s="26" t="s">
        <v>3456</v>
      </c>
      <c r="B230" s="27" t="s">
        <v>3457</v>
      </c>
      <c r="C230" s="28">
        <v>1</v>
      </c>
      <c r="D230" s="29">
        <v>5.95</v>
      </c>
      <c r="E230" s="29">
        <v>5.95</v>
      </c>
      <c r="F230" s="30">
        <v>12.99</v>
      </c>
      <c r="G230" s="29">
        <v>12.99</v>
      </c>
      <c r="H230" s="28" t="s">
        <v>3458</v>
      </c>
      <c r="I230" s="27" t="s">
        <v>265</v>
      </c>
      <c r="J230" s="31" t="s">
        <v>21</v>
      </c>
      <c r="K230" s="27" t="s">
        <v>282</v>
      </c>
      <c r="L230" s="27" t="s">
        <v>358</v>
      </c>
      <c r="M230" s="32" t="str">
        <f>HYPERLINK("http://slimages.macys.com/is/image/MCY/3947094 ")</f>
        <v xml:space="preserve">http://slimages.macys.com/is/image/MCY/3947094 </v>
      </c>
    </row>
    <row r="231" spans="1:13" ht="15.2" customHeight="1" x14ac:dyDescent="0.2">
      <c r="A231" s="26" t="s">
        <v>3459</v>
      </c>
      <c r="B231" s="27" t="s">
        <v>3460</v>
      </c>
      <c r="C231" s="28">
        <v>1</v>
      </c>
      <c r="D231" s="29">
        <v>5.95</v>
      </c>
      <c r="E231" s="29">
        <v>5.95</v>
      </c>
      <c r="F231" s="30">
        <v>12.99</v>
      </c>
      <c r="G231" s="29">
        <v>12.99</v>
      </c>
      <c r="H231" s="28" t="s">
        <v>416</v>
      </c>
      <c r="I231" s="27" t="s">
        <v>82</v>
      </c>
      <c r="J231" s="31" t="s">
        <v>21</v>
      </c>
      <c r="K231" s="27" t="s">
        <v>282</v>
      </c>
      <c r="L231" s="27" t="s">
        <v>358</v>
      </c>
      <c r="M231" s="32" t="str">
        <f>HYPERLINK("http://slimages.macys.com/is/image/MCY/3700228 ")</f>
        <v xml:space="preserve">http://slimages.macys.com/is/image/MCY/3700228 </v>
      </c>
    </row>
    <row r="232" spans="1:13" ht="15.2" customHeight="1" x14ac:dyDescent="0.2">
      <c r="A232" s="26" t="s">
        <v>2396</v>
      </c>
      <c r="B232" s="27" t="s">
        <v>2397</v>
      </c>
      <c r="C232" s="28">
        <v>1</v>
      </c>
      <c r="D232" s="29">
        <v>5.85</v>
      </c>
      <c r="E232" s="29">
        <v>5.85</v>
      </c>
      <c r="F232" s="30">
        <v>13.99</v>
      </c>
      <c r="G232" s="29">
        <v>13.99</v>
      </c>
      <c r="H232" s="28" t="s">
        <v>1520</v>
      </c>
      <c r="I232" s="27" t="s">
        <v>343</v>
      </c>
      <c r="J232" s="31" t="s">
        <v>40</v>
      </c>
      <c r="K232" s="27" t="s">
        <v>282</v>
      </c>
      <c r="L232" s="27" t="s">
        <v>312</v>
      </c>
      <c r="M232" s="32" t="str">
        <f>HYPERLINK("http://slimages.macys.com/is/image/MCY/3787423 ")</f>
        <v xml:space="preserve">http://slimages.macys.com/is/image/MCY/3787423 </v>
      </c>
    </row>
    <row r="233" spans="1:13" ht="15.2" customHeight="1" x14ac:dyDescent="0.2">
      <c r="A233" s="26" t="s">
        <v>434</v>
      </c>
      <c r="B233" s="27" t="s">
        <v>435</v>
      </c>
      <c r="C233" s="28">
        <v>1</v>
      </c>
      <c r="D233" s="29">
        <v>5.5</v>
      </c>
      <c r="E233" s="29">
        <v>5.5</v>
      </c>
      <c r="F233" s="30">
        <v>16.989999999999998</v>
      </c>
      <c r="G233" s="29">
        <v>16.989999999999998</v>
      </c>
      <c r="H233" s="28" t="s">
        <v>431</v>
      </c>
      <c r="I233" s="27" t="s">
        <v>383</v>
      </c>
      <c r="J233" s="31" t="s">
        <v>40</v>
      </c>
      <c r="K233" s="27" t="s">
        <v>282</v>
      </c>
      <c r="L233" s="27" t="s">
        <v>388</v>
      </c>
      <c r="M233" s="32" t="str">
        <f>HYPERLINK("http://slimages.macys.com/is/image/MCY/3953470 ")</f>
        <v xml:space="preserve">http://slimages.macys.com/is/image/MCY/3953470 </v>
      </c>
    </row>
    <row r="234" spans="1:13" ht="15.2" customHeight="1" x14ac:dyDescent="0.2">
      <c r="A234" s="26" t="s">
        <v>3461</v>
      </c>
      <c r="B234" s="27" t="s">
        <v>3462</v>
      </c>
      <c r="C234" s="28">
        <v>1</v>
      </c>
      <c r="D234" s="29">
        <v>5.5</v>
      </c>
      <c r="E234" s="29">
        <v>5.5</v>
      </c>
      <c r="F234" s="30">
        <v>16.989999999999998</v>
      </c>
      <c r="G234" s="29">
        <v>16.989999999999998</v>
      </c>
      <c r="H234" s="28" t="s">
        <v>431</v>
      </c>
      <c r="I234" s="27" t="s">
        <v>33</v>
      </c>
      <c r="J234" s="31" t="s">
        <v>5</v>
      </c>
      <c r="K234" s="27" t="s">
        <v>282</v>
      </c>
      <c r="L234" s="27" t="s">
        <v>388</v>
      </c>
      <c r="M234" s="32" t="str">
        <f>HYPERLINK("http://slimages.macys.com/is/image/MCY/3890955 ")</f>
        <v xml:space="preserve">http://slimages.macys.com/is/image/MCY/3890955 </v>
      </c>
    </row>
    <row r="235" spans="1:13" ht="15.2" customHeight="1" x14ac:dyDescent="0.2">
      <c r="A235" s="26" t="s">
        <v>443</v>
      </c>
      <c r="B235" s="27" t="s">
        <v>444</v>
      </c>
      <c r="C235" s="28">
        <v>3</v>
      </c>
      <c r="D235" s="29">
        <v>5.5</v>
      </c>
      <c r="E235" s="29">
        <v>16.5</v>
      </c>
      <c r="F235" s="30">
        <v>16.989999999999998</v>
      </c>
      <c r="G235" s="29">
        <v>50.97</v>
      </c>
      <c r="H235" s="28" t="s">
        <v>431</v>
      </c>
      <c r="I235" s="27" t="s">
        <v>383</v>
      </c>
      <c r="J235" s="31" t="s">
        <v>5</v>
      </c>
      <c r="K235" s="27" t="s">
        <v>282</v>
      </c>
      <c r="L235" s="27" t="s">
        <v>388</v>
      </c>
      <c r="M235" s="32" t="str">
        <f>HYPERLINK("http://slimages.macys.com/is/image/MCY/3953470 ")</f>
        <v xml:space="preserve">http://slimages.macys.com/is/image/MCY/3953470 </v>
      </c>
    </row>
    <row r="236" spans="1:13" ht="15.2" customHeight="1" x14ac:dyDescent="0.2">
      <c r="A236" s="26" t="s">
        <v>3463</v>
      </c>
      <c r="B236" s="27" t="s">
        <v>3464</v>
      </c>
      <c r="C236" s="28">
        <v>2</v>
      </c>
      <c r="D236" s="29">
        <v>5.5</v>
      </c>
      <c r="E236" s="29">
        <v>11</v>
      </c>
      <c r="F236" s="30">
        <v>16.989999999999998</v>
      </c>
      <c r="G236" s="29">
        <v>33.979999999999997</v>
      </c>
      <c r="H236" s="28" t="s">
        <v>431</v>
      </c>
      <c r="I236" s="27" t="s">
        <v>33</v>
      </c>
      <c r="J236" s="31" t="s">
        <v>52</v>
      </c>
      <c r="K236" s="27" t="s">
        <v>282</v>
      </c>
      <c r="L236" s="27" t="s">
        <v>388</v>
      </c>
      <c r="M236" s="32" t="str">
        <f>HYPERLINK("http://slimages.macys.com/is/image/MCY/3890955 ")</f>
        <v xml:space="preserve">http://slimages.macys.com/is/image/MCY/3890955 </v>
      </c>
    </row>
    <row r="237" spans="1:13" ht="15.2" customHeight="1" x14ac:dyDescent="0.2">
      <c r="A237" s="26" t="s">
        <v>931</v>
      </c>
      <c r="B237" s="27" t="s">
        <v>932</v>
      </c>
      <c r="C237" s="28">
        <v>2</v>
      </c>
      <c r="D237" s="29">
        <v>5.5</v>
      </c>
      <c r="E237" s="29">
        <v>11</v>
      </c>
      <c r="F237" s="30">
        <v>16.989999999999998</v>
      </c>
      <c r="G237" s="29">
        <v>33.979999999999997</v>
      </c>
      <c r="H237" s="28" t="s">
        <v>431</v>
      </c>
      <c r="I237" s="27" t="s">
        <v>82</v>
      </c>
      <c r="J237" s="31" t="s">
        <v>5</v>
      </c>
      <c r="K237" s="27" t="s">
        <v>282</v>
      </c>
      <c r="L237" s="27" t="s">
        <v>388</v>
      </c>
      <c r="M237" s="32" t="str">
        <f>HYPERLINK("http://slimages.macys.com/is/image/MCY/3953466 ")</f>
        <v xml:space="preserve">http://slimages.macys.com/is/image/MCY/3953466 </v>
      </c>
    </row>
    <row r="238" spans="1:13" ht="15.2" customHeight="1" x14ac:dyDescent="0.2">
      <c r="A238" s="26" t="s">
        <v>2706</v>
      </c>
      <c r="B238" s="27" t="s">
        <v>2707</v>
      </c>
      <c r="C238" s="28">
        <v>1</v>
      </c>
      <c r="D238" s="29">
        <v>5.46</v>
      </c>
      <c r="E238" s="29">
        <v>5.46</v>
      </c>
      <c r="F238" s="30">
        <v>12.99</v>
      </c>
      <c r="G238" s="29">
        <v>12.99</v>
      </c>
      <c r="H238" s="28" t="s">
        <v>445</v>
      </c>
      <c r="I238" s="27" t="s">
        <v>291</v>
      </c>
      <c r="J238" s="31" t="s">
        <v>52</v>
      </c>
      <c r="K238" s="27" t="s">
        <v>159</v>
      </c>
      <c r="L238" s="27" t="s">
        <v>160</v>
      </c>
      <c r="M238" s="32" t="str">
        <f>HYPERLINK("http://slimages.macys.com/is/image/MCY/3857705 ")</f>
        <v xml:space="preserve">http://slimages.macys.com/is/image/MCY/3857705 </v>
      </c>
    </row>
    <row r="239" spans="1:13" ht="15.2" customHeight="1" x14ac:dyDescent="0.2">
      <c r="A239" s="26" t="s">
        <v>3011</v>
      </c>
      <c r="B239" s="27" t="s">
        <v>3012</v>
      </c>
      <c r="C239" s="28">
        <v>1</v>
      </c>
      <c r="D239" s="29">
        <v>5.46</v>
      </c>
      <c r="E239" s="29">
        <v>5.46</v>
      </c>
      <c r="F239" s="30">
        <v>12.99</v>
      </c>
      <c r="G239" s="29">
        <v>12.99</v>
      </c>
      <c r="H239" s="28" t="s">
        <v>933</v>
      </c>
      <c r="I239" s="27" t="s">
        <v>291</v>
      </c>
      <c r="J239" s="31" t="s">
        <v>52</v>
      </c>
      <c r="K239" s="27" t="s">
        <v>159</v>
      </c>
      <c r="L239" s="27" t="s">
        <v>160</v>
      </c>
      <c r="M239" s="32" t="str">
        <f>HYPERLINK("http://slimages.macys.com/is/image/MCY/3857696 ")</f>
        <v xml:space="preserve">http://slimages.macys.com/is/image/MCY/3857696 </v>
      </c>
    </row>
    <row r="240" spans="1:13" ht="15.2" customHeight="1" x14ac:dyDescent="0.2">
      <c r="A240" s="26" t="s">
        <v>3013</v>
      </c>
      <c r="B240" s="27" t="s">
        <v>3014</v>
      </c>
      <c r="C240" s="28">
        <v>1</v>
      </c>
      <c r="D240" s="29">
        <v>5.46</v>
      </c>
      <c r="E240" s="29">
        <v>5.46</v>
      </c>
      <c r="F240" s="30">
        <v>12.99</v>
      </c>
      <c r="G240" s="29">
        <v>12.99</v>
      </c>
      <c r="H240" s="28" t="s">
        <v>933</v>
      </c>
      <c r="I240" s="27" t="s">
        <v>207</v>
      </c>
      <c r="J240" s="31" t="s">
        <v>52</v>
      </c>
      <c r="K240" s="27" t="s">
        <v>159</v>
      </c>
      <c r="L240" s="27" t="s">
        <v>160</v>
      </c>
      <c r="M240" s="32" t="str">
        <f>HYPERLINK("http://slimages.macys.com/is/image/MCY/3857696 ")</f>
        <v xml:space="preserve">http://slimages.macys.com/is/image/MCY/3857696 </v>
      </c>
    </row>
    <row r="241" spans="1:13" ht="15.2" customHeight="1" x14ac:dyDescent="0.2">
      <c r="A241" s="26" t="s">
        <v>3465</v>
      </c>
      <c r="B241" s="27" t="s">
        <v>3466</v>
      </c>
      <c r="C241" s="28">
        <v>1</v>
      </c>
      <c r="D241" s="29">
        <v>4.67</v>
      </c>
      <c r="E241" s="29">
        <v>4.67</v>
      </c>
      <c r="F241" s="30">
        <v>12.99</v>
      </c>
      <c r="G241" s="29">
        <v>12.99</v>
      </c>
      <c r="H241" s="28" t="s">
        <v>3467</v>
      </c>
      <c r="I241" s="27" t="s">
        <v>36</v>
      </c>
      <c r="J241" s="31" t="s">
        <v>52</v>
      </c>
      <c r="K241" s="27" t="s">
        <v>282</v>
      </c>
      <c r="L241" s="27" t="s">
        <v>349</v>
      </c>
      <c r="M241" s="32" t="str">
        <f>HYPERLINK("http://slimages.macys.com/is/image/MCY/3875946 ")</f>
        <v xml:space="preserve">http://slimages.macys.com/is/image/MCY/3875946 </v>
      </c>
    </row>
    <row r="242" spans="1:13" ht="15.2" customHeight="1" x14ac:dyDescent="0.2">
      <c r="A242" s="26" t="s">
        <v>3018</v>
      </c>
      <c r="B242" s="27" t="s">
        <v>3019</v>
      </c>
      <c r="C242" s="28">
        <v>1</v>
      </c>
      <c r="D242" s="29">
        <v>4.67</v>
      </c>
      <c r="E242" s="29">
        <v>4.67</v>
      </c>
      <c r="F242" s="30">
        <v>12.99</v>
      </c>
      <c r="G242" s="29">
        <v>12.99</v>
      </c>
      <c r="H242" s="28" t="s">
        <v>3020</v>
      </c>
      <c r="I242" s="27" t="s">
        <v>82</v>
      </c>
      <c r="J242" s="31" t="s">
        <v>5</v>
      </c>
      <c r="K242" s="27" t="s">
        <v>282</v>
      </c>
      <c r="L242" s="27" t="s">
        <v>349</v>
      </c>
      <c r="M242" s="32" t="str">
        <f>HYPERLINK("http://slimages.macys.com/is/image/MCY/3890879 ")</f>
        <v xml:space="preserve">http://slimages.macys.com/is/image/MCY/3890879 </v>
      </c>
    </row>
    <row r="243" spans="1:13" ht="15.2" customHeight="1" x14ac:dyDescent="0.2">
      <c r="A243" s="26" t="s">
        <v>3468</v>
      </c>
      <c r="B243" s="27" t="s">
        <v>3469</v>
      </c>
      <c r="C243" s="28">
        <v>2</v>
      </c>
      <c r="D243" s="29">
        <v>4.67</v>
      </c>
      <c r="E243" s="29">
        <v>9.34</v>
      </c>
      <c r="F243" s="30">
        <v>12.99</v>
      </c>
      <c r="G243" s="29">
        <v>25.98</v>
      </c>
      <c r="H243" s="28" t="s">
        <v>3020</v>
      </c>
      <c r="I243" s="27" t="s">
        <v>82</v>
      </c>
      <c r="J243" s="31" t="s">
        <v>40</v>
      </c>
      <c r="K243" s="27" t="s">
        <v>282</v>
      </c>
      <c r="L243" s="27" t="s">
        <v>349</v>
      </c>
      <c r="M243" s="32" t="str">
        <f>HYPERLINK("http://slimages.macys.com/is/image/MCY/3890879 ")</f>
        <v xml:space="preserve">http://slimages.macys.com/is/image/MCY/3890879 </v>
      </c>
    </row>
    <row r="244" spans="1:13" ht="15.2" customHeight="1" x14ac:dyDescent="0.2">
      <c r="A244" s="26" t="s">
        <v>3470</v>
      </c>
      <c r="B244" s="27" t="s">
        <v>3471</v>
      </c>
      <c r="C244" s="28">
        <v>2</v>
      </c>
      <c r="D244" s="29">
        <v>4.67</v>
      </c>
      <c r="E244" s="29">
        <v>9.34</v>
      </c>
      <c r="F244" s="30">
        <v>12.99</v>
      </c>
      <c r="G244" s="29">
        <v>25.98</v>
      </c>
      <c r="H244" s="28" t="s">
        <v>3467</v>
      </c>
      <c r="I244" s="27" t="s">
        <v>36</v>
      </c>
      <c r="J244" s="31" t="s">
        <v>5</v>
      </c>
      <c r="K244" s="27" t="s">
        <v>282</v>
      </c>
      <c r="L244" s="27" t="s">
        <v>349</v>
      </c>
      <c r="M244" s="32" t="str">
        <f>HYPERLINK("http://slimages.macys.com/is/image/MCY/3875946 ")</f>
        <v xml:space="preserve">http://slimages.macys.com/is/image/MCY/3875946 </v>
      </c>
    </row>
    <row r="245" spans="1:13" ht="15.2" customHeight="1" x14ac:dyDescent="0.2">
      <c r="A245" s="26" t="s">
        <v>3472</v>
      </c>
      <c r="B245" s="27" t="s">
        <v>3473</v>
      </c>
      <c r="C245" s="28">
        <v>1</v>
      </c>
      <c r="D245" s="29">
        <v>4.6500000000000004</v>
      </c>
      <c r="E245" s="29">
        <v>4.6500000000000004</v>
      </c>
      <c r="F245" s="30">
        <v>10.99</v>
      </c>
      <c r="G245" s="29">
        <v>10.99</v>
      </c>
      <c r="H245" s="28">
        <v>60359814</v>
      </c>
      <c r="I245" s="27" t="s">
        <v>4</v>
      </c>
      <c r="J245" s="31" t="s">
        <v>40</v>
      </c>
      <c r="K245" s="27" t="s">
        <v>282</v>
      </c>
      <c r="L245" s="27" t="s">
        <v>255</v>
      </c>
      <c r="M245" s="32" t="str">
        <f>HYPERLINK("http://slimages.macys.com/is/image/MCY/2308508 ")</f>
        <v xml:space="preserve">http://slimages.macys.com/is/image/MCY/2308508 </v>
      </c>
    </row>
    <row r="246" spans="1:13" ht="15.2" customHeight="1" x14ac:dyDescent="0.2">
      <c r="A246" s="26" t="s">
        <v>3474</v>
      </c>
      <c r="B246" s="27" t="s">
        <v>3475</v>
      </c>
      <c r="C246" s="28">
        <v>1</v>
      </c>
      <c r="D246" s="29">
        <v>4.6500000000000004</v>
      </c>
      <c r="E246" s="29">
        <v>4.6500000000000004</v>
      </c>
      <c r="F246" s="30">
        <v>10.99</v>
      </c>
      <c r="G246" s="29">
        <v>10.99</v>
      </c>
      <c r="H246" s="28">
        <v>60359814</v>
      </c>
      <c r="I246" s="27" t="s">
        <v>4</v>
      </c>
      <c r="J246" s="31" t="s">
        <v>65</v>
      </c>
      <c r="K246" s="27" t="s">
        <v>282</v>
      </c>
      <c r="L246" s="27" t="s">
        <v>255</v>
      </c>
      <c r="M246" s="32" t="str">
        <f>HYPERLINK("http://slimages.macys.com/is/image/MCY/3841046 ")</f>
        <v xml:space="preserve">http://slimages.macys.com/is/image/MCY/3841046 </v>
      </c>
    </row>
    <row r="247" spans="1:13" ht="15.2" customHeight="1" x14ac:dyDescent="0.2">
      <c r="A247" s="26" t="s">
        <v>3476</v>
      </c>
      <c r="B247" s="27" t="s">
        <v>3477</v>
      </c>
      <c r="C247" s="28">
        <v>1</v>
      </c>
      <c r="D247" s="29">
        <v>4.6500000000000004</v>
      </c>
      <c r="E247" s="29">
        <v>4.6500000000000004</v>
      </c>
      <c r="F247" s="30">
        <v>10.99</v>
      </c>
      <c r="G247" s="29">
        <v>10.99</v>
      </c>
      <c r="H247" s="28">
        <v>60359814</v>
      </c>
      <c r="I247" s="27" t="s">
        <v>4</v>
      </c>
      <c r="J247" s="31" t="s">
        <v>71</v>
      </c>
      <c r="K247" s="27" t="s">
        <v>282</v>
      </c>
      <c r="L247" s="27" t="s">
        <v>255</v>
      </c>
      <c r="M247" s="32" t="str">
        <f>HYPERLINK("http://slimages.macys.com/is/image/MCY/2308508 ")</f>
        <v xml:space="preserve">http://slimages.macys.com/is/image/MCY/2308508 </v>
      </c>
    </row>
    <row r="248" spans="1:13" ht="15.2" customHeight="1" x14ac:dyDescent="0.2">
      <c r="A248" s="26" t="s">
        <v>3478</v>
      </c>
      <c r="B248" s="27" t="s">
        <v>3479</v>
      </c>
      <c r="C248" s="28">
        <v>1</v>
      </c>
      <c r="D248" s="29">
        <v>4.3499999999999996</v>
      </c>
      <c r="E248" s="29">
        <v>4.3499999999999996</v>
      </c>
      <c r="F248" s="30">
        <v>13.99</v>
      </c>
      <c r="G248" s="29">
        <v>13.99</v>
      </c>
      <c r="H248" s="28" t="s">
        <v>948</v>
      </c>
      <c r="I248" s="27" t="s">
        <v>82</v>
      </c>
      <c r="J248" s="31" t="s">
        <v>71</v>
      </c>
      <c r="K248" s="27" t="s">
        <v>282</v>
      </c>
      <c r="L248" s="27" t="s">
        <v>325</v>
      </c>
      <c r="M248" s="32" t="str">
        <f>HYPERLINK("http://slimages.macys.com/is/image/MCY/3931147 ")</f>
        <v xml:space="preserve">http://slimages.macys.com/is/image/MCY/3931147 </v>
      </c>
    </row>
    <row r="249" spans="1:13" ht="15.2" customHeight="1" x14ac:dyDescent="0.2">
      <c r="A249" s="26" t="s">
        <v>3026</v>
      </c>
      <c r="B249" s="27" t="s">
        <v>3027</v>
      </c>
      <c r="C249" s="28">
        <v>1</v>
      </c>
      <c r="D249" s="29">
        <v>3.72</v>
      </c>
      <c r="E249" s="29">
        <v>3.72</v>
      </c>
      <c r="F249" s="30">
        <v>7.99</v>
      </c>
      <c r="G249" s="29">
        <v>7.99</v>
      </c>
      <c r="H249" s="28" t="s">
        <v>459</v>
      </c>
      <c r="I249" s="27" t="s">
        <v>1</v>
      </c>
      <c r="J249" s="31" t="s">
        <v>65</v>
      </c>
      <c r="K249" s="27" t="s">
        <v>282</v>
      </c>
      <c r="L249" s="27" t="s">
        <v>325</v>
      </c>
      <c r="M249" s="32" t="str">
        <f>HYPERLINK("http://slimages.macys.com/is/image/MCY/3609979 ")</f>
        <v xml:space="preserve">http://slimages.macys.com/is/image/MCY/3609979 </v>
      </c>
    </row>
    <row r="250" spans="1:13" ht="15.2" customHeight="1" x14ac:dyDescent="0.2">
      <c r="A250" s="26" t="s">
        <v>3480</v>
      </c>
      <c r="B250" s="27" t="s">
        <v>3481</v>
      </c>
      <c r="C250" s="28">
        <v>1</v>
      </c>
      <c r="D250" s="29">
        <v>26.47</v>
      </c>
      <c r="E250" s="29">
        <v>26.47</v>
      </c>
      <c r="F250" s="30">
        <v>74.5</v>
      </c>
      <c r="G250" s="29">
        <v>74.5</v>
      </c>
      <c r="H250" s="28" t="s">
        <v>3482</v>
      </c>
      <c r="I250" s="27" t="s">
        <v>10</v>
      </c>
      <c r="J250" s="31" t="s">
        <v>14</v>
      </c>
      <c r="K250" s="27" t="s">
        <v>12</v>
      </c>
      <c r="L250" s="27" t="s">
        <v>13</v>
      </c>
      <c r="M250" s="32"/>
    </row>
    <row r="251" spans="1:13" ht="15.2" customHeight="1" x14ac:dyDescent="0.2">
      <c r="A251" s="26" t="s">
        <v>3483</v>
      </c>
      <c r="B251" s="27" t="s">
        <v>3484</v>
      </c>
      <c r="C251" s="28">
        <v>1</v>
      </c>
      <c r="D251" s="29">
        <v>26.25</v>
      </c>
      <c r="E251" s="29">
        <v>26.25</v>
      </c>
      <c r="F251" s="30">
        <v>79</v>
      </c>
      <c r="G251" s="29">
        <v>79</v>
      </c>
      <c r="H251" s="28" t="s">
        <v>3485</v>
      </c>
      <c r="I251" s="27" t="s">
        <v>4</v>
      </c>
      <c r="J251" s="31" t="s">
        <v>40</v>
      </c>
      <c r="K251" s="27" t="s">
        <v>24</v>
      </c>
      <c r="L251" s="27" t="s">
        <v>485</v>
      </c>
      <c r="M251" s="32"/>
    </row>
    <row r="252" spans="1:13" ht="15.2" customHeight="1" x14ac:dyDescent="0.2">
      <c r="A252" s="26" t="s">
        <v>3486</v>
      </c>
      <c r="B252" s="27" t="s">
        <v>3487</v>
      </c>
      <c r="C252" s="28">
        <v>1</v>
      </c>
      <c r="D252" s="29">
        <v>24.25</v>
      </c>
      <c r="E252" s="29">
        <v>24.25</v>
      </c>
      <c r="F252" s="30">
        <v>69</v>
      </c>
      <c r="G252" s="29">
        <v>69</v>
      </c>
      <c r="H252" s="28" t="s">
        <v>3488</v>
      </c>
      <c r="I252" s="27" t="s">
        <v>36</v>
      </c>
      <c r="J252" s="31" t="s">
        <v>71</v>
      </c>
      <c r="K252" s="27" t="s">
        <v>37</v>
      </c>
      <c r="L252" s="27" t="s">
        <v>38</v>
      </c>
      <c r="M252" s="32"/>
    </row>
    <row r="253" spans="1:13" ht="15.2" customHeight="1" x14ac:dyDescent="0.2">
      <c r="A253" s="26" t="s">
        <v>1986</v>
      </c>
      <c r="B253" s="27" t="s">
        <v>1987</v>
      </c>
      <c r="C253" s="28">
        <v>1</v>
      </c>
      <c r="D253" s="29">
        <v>23.8</v>
      </c>
      <c r="E253" s="29">
        <v>23.8</v>
      </c>
      <c r="F253" s="30">
        <v>59.5</v>
      </c>
      <c r="G253" s="29">
        <v>59.5</v>
      </c>
      <c r="H253" s="28" t="s">
        <v>1988</v>
      </c>
      <c r="I253" s="27" t="s">
        <v>238</v>
      </c>
      <c r="J253" s="31" t="s">
        <v>21</v>
      </c>
      <c r="K253" s="27" t="s">
        <v>27</v>
      </c>
      <c r="L253" s="27" t="s">
        <v>28</v>
      </c>
      <c r="M253" s="32"/>
    </row>
    <row r="254" spans="1:13" ht="15.2" customHeight="1" x14ac:dyDescent="0.2">
      <c r="A254" s="26" t="s">
        <v>3489</v>
      </c>
      <c r="B254" s="27" t="s">
        <v>3490</v>
      </c>
      <c r="C254" s="28">
        <v>1</v>
      </c>
      <c r="D254" s="29">
        <v>23.5</v>
      </c>
      <c r="E254" s="29">
        <v>23.5</v>
      </c>
      <c r="F254" s="30">
        <v>69</v>
      </c>
      <c r="G254" s="29">
        <v>69</v>
      </c>
      <c r="H254" s="28" t="s">
        <v>3491</v>
      </c>
      <c r="I254" s="27"/>
      <c r="J254" s="31" t="s">
        <v>234</v>
      </c>
      <c r="K254" s="27" t="s">
        <v>24</v>
      </c>
      <c r="L254" s="27" t="s">
        <v>25</v>
      </c>
      <c r="M254" s="32"/>
    </row>
    <row r="255" spans="1:13" ht="15.2" customHeight="1" x14ac:dyDescent="0.2">
      <c r="A255" s="26" t="s">
        <v>3492</v>
      </c>
      <c r="B255" s="27" t="s">
        <v>3493</v>
      </c>
      <c r="C255" s="28">
        <v>1</v>
      </c>
      <c r="D255" s="29">
        <v>21.86</v>
      </c>
      <c r="E255" s="29">
        <v>21.86</v>
      </c>
      <c r="F255" s="30">
        <v>59.99</v>
      </c>
      <c r="G255" s="29">
        <v>59.99</v>
      </c>
      <c r="H255" s="28" t="s">
        <v>3494</v>
      </c>
      <c r="I255" s="27" t="s">
        <v>22</v>
      </c>
      <c r="J255" s="31" t="s">
        <v>65</v>
      </c>
      <c r="K255" s="27" t="s">
        <v>41</v>
      </c>
      <c r="L255" s="27" t="s">
        <v>45</v>
      </c>
      <c r="M255" s="32"/>
    </row>
    <row r="256" spans="1:13" ht="15.2" customHeight="1" x14ac:dyDescent="0.2">
      <c r="A256" s="26" t="s">
        <v>3495</v>
      </c>
      <c r="B256" s="27" t="s">
        <v>3496</v>
      </c>
      <c r="C256" s="28">
        <v>1</v>
      </c>
      <c r="D256" s="29">
        <v>20.85</v>
      </c>
      <c r="E256" s="29">
        <v>20.85</v>
      </c>
      <c r="F256" s="30">
        <v>69.5</v>
      </c>
      <c r="G256" s="29">
        <v>69.5</v>
      </c>
      <c r="H256" s="28">
        <v>60438720</v>
      </c>
      <c r="I256" s="27" t="s">
        <v>4</v>
      </c>
      <c r="J256" s="31" t="s">
        <v>40</v>
      </c>
      <c r="K256" s="27" t="s">
        <v>6</v>
      </c>
      <c r="L256" s="27" t="s">
        <v>7</v>
      </c>
      <c r="M256" s="32"/>
    </row>
    <row r="257" spans="1:13" ht="15.2" customHeight="1" x14ac:dyDescent="0.2">
      <c r="A257" s="26" t="s">
        <v>482</v>
      </c>
      <c r="B257" s="27" t="s">
        <v>483</v>
      </c>
      <c r="C257" s="28">
        <v>1</v>
      </c>
      <c r="D257" s="29">
        <v>20.65</v>
      </c>
      <c r="E257" s="29">
        <v>20.65</v>
      </c>
      <c r="F257" s="30">
        <v>59</v>
      </c>
      <c r="G257" s="29">
        <v>59</v>
      </c>
      <c r="H257" s="28" t="s">
        <v>484</v>
      </c>
      <c r="I257" s="27" t="s">
        <v>66</v>
      </c>
      <c r="J257" s="31" t="s">
        <v>40</v>
      </c>
      <c r="K257" s="27" t="s">
        <v>37</v>
      </c>
      <c r="L257" s="27" t="s">
        <v>38</v>
      </c>
      <c r="M257" s="32"/>
    </row>
    <row r="258" spans="1:13" ht="15.2" customHeight="1" x14ac:dyDescent="0.2">
      <c r="A258" s="26" t="s">
        <v>3497</v>
      </c>
      <c r="B258" s="27" t="s">
        <v>3498</v>
      </c>
      <c r="C258" s="28">
        <v>1</v>
      </c>
      <c r="D258" s="29">
        <v>20.52</v>
      </c>
      <c r="E258" s="29">
        <v>20.52</v>
      </c>
      <c r="F258" s="30">
        <v>59.5</v>
      </c>
      <c r="G258" s="29">
        <v>59.5</v>
      </c>
      <c r="H258" s="28" t="s">
        <v>2727</v>
      </c>
      <c r="I258" s="27" t="s">
        <v>26</v>
      </c>
      <c r="J258" s="31" t="s">
        <v>40</v>
      </c>
      <c r="K258" s="27" t="s">
        <v>53</v>
      </c>
      <c r="L258" s="27" t="s">
        <v>167</v>
      </c>
      <c r="M258" s="32"/>
    </row>
    <row r="259" spans="1:13" ht="15.2" customHeight="1" x14ac:dyDescent="0.2">
      <c r="A259" s="26" t="s">
        <v>3499</v>
      </c>
      <c r="B259" s="27" t="s">
        <v>3500</v>
      </c>
      <c r="C259" s="28">
        <v>1</v>
      </c>
      <c r="D259" s="29">
        <v>19.5</v>
      </c>
      <c r="E259" s="29">
        <v>19.5</v>
      </c>
      <c r="F259" s="30">
        <v>59</v>
      </c>
      <c r="G259" s="29">
        <v>59</v>
      </c>
      <c r="H259" s="28" t="s">
        <v>3065</v>
      </c>
      <c r="I259" s="27" t="s">
        <v>1</v>
      </c>
      <c r="J259" s="31" t="s">
        <v>40</v>
      </c>
      <c r="K259" s="27" t="s">
        <v>24</v>
      </c>
      <c r="L259" s="27" t="s">
        <v>128</v>
      </c>
      <c r="M259" s="32"/>
    </row>
    <row r="260" spans="1:13" ht="15.2" customHeight="1" x14ac:dyDescent="0.2">
      <c r="A260" s="26" t="s">
        <v>3501</v>
      </c>
      <c r="B260" s="27" t="s">
        <v>3502</v>
      </c>
      <c r="C260" s="28">
        <v>1</v>
      </c>
      <c r="D260" s="29">
        <v>19.04</v>
      </c>
      <c r="E260" s="29">
        <v>19.04</v>
      </c>
      <c r="F260" s="30">
        <v>59.5</v>
      </c>
      <c r="G260" s="29">
        <v>59.5</v>
      </c>
      <c r="H260" s="28">
        <v>49022843</v>
      </c>
      <c r="I260" s="27" t="s">
        <v>59</v>
      </c>
      <c r="J260" s="31" t="s">
        <v>1602</v>
      </c>
      <c r="K260" s="27" t="s">
        <v>6</v>
      </c>
      <c r="L260" s="27" t="s">
        <v>7</v>
      </c>
      <c r="M260" s="32"/>
    </row>
    <row r="261" spans="1:13" ht="15.2" customHeight="1" x14ac:dyDescent="0.2">
      <c r="A261" s="26" t="s">
        <v>3503</v>
      </c>
      <c r="B261" s="27" t="s">
        <v>3504</v>
      </c>
      <c r="C261" s="28">
        <v>1</v>
      </c>
      <c r="D261" s="29">
        <v>19</v>
      </c>
      <c r="E261" s="29">
        <v>19</v>
      </c>
      <c r="F261" s="30">
        <v>59</v>
      </c>
      <c r="G261" s="29">
        <v>59</v>
      </c>
      <c r="H261" s="28" t="s">
        <v>3505</v>
      </c>
      <c r="I261" s="27" t="s">
        <v>36</v>
      </c>
      <c r="J261" s="31" t="s">
        <v>65</v>
      </c>
      <c r="K261" s="27" t="s">
        <v>24</v>
      </c>
      <c r="L261" s="27" t="s">
        <v>128</v>
      </c>
      <c r="M261" s="32"/>
    </row>
    <row r="262" spans="1:13" ht="15.2" customHeight="1" x14ac:dyDescent="0.2">
      <c r="A262" s="26" t="s">
        <v>2437</v>
      </c>
      <c r="B262" s="27" t="s">
        <v>982</v>
      </c>
      <c r="C262" s="28">
        <v>1</v>
      </c>
      <c r="D262" s="29">
        <v>18.420000000000002</v>
      </c>
      <c r="E262" s="29">
        <v>18.420000000000002</v>
      </c>
      <c r="F262" s="30">
        <v>49.5</v>
      </c>
      <c r="G262" s="29">
        <v>49.5</v>
      </c>
      <c r="H262" s="28" t="s">
        <v>983</v>
      </c>
      <c r="I262" s="27" t="s">
        <v>4</v>
      </c>
      <c r="J262" s="31" t="s">
        <v>21</v>
      </c>
      <c r="K262" s="27" t="s">
        <v>53</v>
      </c>
      <c r="L262" s="27" t="s">
        <v>54</v>
      </c>
      <c r="M262" s="32"/>
    </row>
    <row r="263" spans="1:13" ht="15.2" customHeight="1" x14ac:dyDescent="0.2">
      <c r="A263" s="26" t="s">
        <v>3506</v>
      </c>
      <c r="B263" s="27" t="s">
        <v>3507</v>
      </c>
      <c r="C263" s="28">
        <v>1</v>
      </c>
      <c r="D263" s="29">
        <v>18.12</v>
      </c>
      <c r="E263" s="29">
        <v>18.12</v>
      </c>
      <c r="F263" s="30">
        <v>49.5</v>
      </c>
      <c r="G263" s="29">
        <v>49.5</v>
      </c>
      <c r="H263" s="28" t="s">
        <v>2731</v>
      </c>
      <c r="I263" s="27" t="s">
        <v>10</v>
      </c>
      <c r="J263" s="31" t="s">
        <v>14</v>
      </c>
      <c r="K263" s="27" t="s">
        <v>12</v>
      </c>
      <c r="L263" s="27" t="s">
        <v>13</v>
      </c>
      <c r="M263" s="32"/>
    </row>
    <row r="264" spans="1:13" ht="15.2" customHeight="1" x14ac:dyDescent="0.2">
      <c r="A264" s="26" t="s">
        <v>3508</v>
      </c>
      <c r="B264" s="27" t="s">
        <v>494</v>
      </c>
      <c r="C264" s="28">
        <v>1</v>
      </c>
      <c r="D264" s="29">
        <v>18.07</v>
      </c>
      <c r="E264" s="29">
        <v>18.07</v>
      </c>
      <c r="F264" s="30">
        <v>49.5</v>
      </c>
      <c r="G264" s="29">
        <v>49.5</v>
      </c>
      <c r="H264" s="28" t="s">
        <v>495</v>
      </c>
      <c r="I264" s="27" t="s">
        <v>82</v>
      </c>
      <c r="J264" s="31" t="s">
        <v>172</v>
      </c>
      <c r="K264" s="27" t="s">
        <v>41</v>
      </c>
      <c r="L264" s="27" t="s">
        <v>45</v>
      </c>
      <c r="M264" s="32"/>
    </row>
    <row r="265" spans="1:13" ht="15.2" customHeight="1" x14ac:dyDescent="0.2">
      <c r="A265" s="26" t="s">
        <v>3509</v>
      </c>
      <c r="B265" s="27" t="s">
        <v>3510</v>
      </c>
      <c r="C265" s="28">
        <v>1</v>
      </c>
      <c r="D265" s="29">
        <v>18.07</v>
      </c>
      <c r="E265" s="29">
        <v>18.07</v>
      </c>
      <c r="F265" s="30">
        <v>49.5</v>
      </c>
      <c r="G265" s="29">
        <v>49.5</v>
      </c>
      <c r="H265" s="28" t="s">
        <v>3511</v>
      </c>
      <c r="I265" s="27" t="s">
        <v>82</v>
      </c>
      <c r="J265" s="31" t="s">
        <v>40</v>
      </c>
      <c r="K265" s="27" t="s">
        <v>41</v>
      </c>
      <c r="L265" s="27" t="s">
        <v>45</v>
      </c>
      <c r="M265" s="32"/>
    </row>
    <row r="266" spans="1:13" ht="15.2" customHeight="1" x14ac:dyDescent="0.2">
      <c r="A266" s="26" t="s">
        <v>3512</v>
      </c>
      <c r="B266" s="27" t="s">
        <v>3513</v>
      </c>
      <c r="C266" s="28">
        <v>1</v>
      </c>
      <c r="D266" s="29">
        <v>18</v>
      </c>
      <c r="E266" s="29">
        <v>18</v>
      </c>
      <c r="F266" s="30">
        <v>59</v>
      </c>
      <c r="G266" s="29">
        <v>59</v>
      </c>
      <c r="H266" s="28" t="s">
        <v>3514</v>
      </c>
      <c r="I266" s="27" t="s">
        <v>4</v>
      </c>
      <c r="J266" s="31" t="s">
        <v>205</v>
      </c>
      <c r="K266" s="27" t="s">
        <v>24</v>
      </c>
      <c r="L266" s="27" t="s">
        <v>1079</v>
      </c>
      <c r="M266" s="32"/>
    </row>
    <row r="267" spans="1:13" ht="15.2" customHeight="1" x14ac:dyDescent="0.2">
      <c r="A267" s="26" t="s">
        <v>3515</v>
      </c>
      <c r="B267" s="27" t="s">
        <v>3516</v>
      </c>
      <c r="C267" s="28">
        <v>1</v>
      </c>
      <c r="D267" s="29">
        <v>17.850000000000001</v>
      </c>
      <c r="E267" s="29">
        <v>17.850000000000001</v>
      </c>
      <c r="F267" s="30">
        <v>59.5</v>
      </c>
      <c r="G267" s="29">
        <v>59.5</v>
      </c>
      <c r="H267" s="28">
        <v>49022935</v>
      </c>
      <c r="I267" s="27" t="s">
        <v>4</v>
      </c>
      <c r="J267" s="31" t="s">
        <v>5</v>
      </c>
      <c r="K267" s="27" t="s">
        <v>6</v>
      </c>
      <c r="L267" s="27" t="s">
        <v>7</v>
      </c>
      <c r="M267" s="32"/>
    </row>
    <row r="268" spans="1:13" ht="15.2" customHeight="1" x14ac:dyDescent="0.2">
      <c r="A268" s="26" t="s">
        <v>2445</v>
      </c>
      <c r="B268" s="27" t="s">
        <v>2442</v>
      </c>
      <c r="C268" s="28">
        <v>1</v>
      </c>
      <c r="D268" s="29">
        <v>17.72</v>
      </c>
      <c r="E268" s="29">
        <v>17.72</v>
      </c>
      <c r="F268" s="30">
        <v>49.5</v>
      </c>
      <c r="G268" s="29">
        <v>49.5</v>
      </c>
      <c r="H268" s="28" t="s">
        <v>2443</v>
      </c>
      <c r="I268" s="27" t="s">
        <v>4</v>
      </c>
      <c r="J268" s="31" t="s">
        <v>71</v>
      </c>
      <c r="K268" s="27" t="s">
        <v>53</v>
      </c>
      <c r="L268" s="27" t="s">
        <v>54</v>
      </c>
      <c r="M268" s="32"/>
    </row>
    <row r="269" spans="1:13" ht="15.2" customHeight="1" x14ac:dyDescent="0.2">
      <c r="A269" s="26" t="s">
        <v>3517</v>
      </c>
      <c r="B269" s="27" t="s">
        <v>3518</v>
      </c>
      <c r="C269" s="28">
        <v>1</v>
      </c>
      <c r="D269" s="29">
        <v>17.59</v>
      </c>
      <c r="E269" s="29">
        <v>17.59</v>
      </c>
      <c r="F269" s="30">
        <v>49.5</v>
      </c>
      <c r="G269" s="29">
        <v>49.5</v>
      </c>
      <c r="H269" s="28" t="s">
        <v>2001</v>
      </c>
      <c r="I269" s="27" t="s">
        <v>10</v>
      </c>
      <c r="J269" s="31" t="s">
        <v>30</v>
      </c>
      <c r="K269" s="27" t="s">
        <v>12</v>
      </c>
      <c r="L269" s="27" t="s">
        <v>90</v>
      </c>
      <c r="M269" s="32"/>
    </row>
    <row r="270" spans="1:13" ht="15.2" customHeight="1" x14ac:dyDescent="0.2">
      <c r="A270" s="26" t="s">
        <v>3519</v>
      </c>
      <c r="B270" s="27" t="s">
        <v>3520</v>
      </c>
      <c r="C270" s="28">
        <v>1</v>
      </c>
      <c r="D270" s="29">
        <v>17.5</v>
      </c>
      <c r="E270" s="29">
        <v>17.5</v>
      </c>
      <c r="F270" s="30">
        <v>41.99</v>
      </c>
      <c r="G270" s="29">
        <v>41.99</v>
      </c>
      <c r="H270" s="28" t="s">
        <v>3071</v>
      </c>
      <c r="I270" s="27" t="s">
        <v>4</v>
      </c>
      <c r="J270" s="31" t="s">
        <v>52</v>
      </c>
      <c r="K270" s="27" t="s">
        <v>70</v>
      </c>
      <c r="L270" s="27" t="s">
        <v>650</v>
      </c>
      <c r="M270" s="32"/>
    </row>
    <row r="271" spans="1:13" ht="15.2" customHeight="1" x14ac:dyDescent="0.2">
      <c r="A271" s="26" t="s">
        <v>3521</v>
      </c>
      <c r="B271" s="27" t="s">
        <v>3522</v>
      </c>
      <c r="C271" s="28">
        <v>1</v>
      </c>
      <c r="D271" s="29">
        <v>17.329999999999998</v>
      </c>
      <c r="E271" s="29">
        <v>17.329999999999998</v>
      </c>
      <c r="F271" s="30">
        <v>49.5</v>
      </c>
      <c r="G271" s="29">
        <v>49.5</v>
      </c>
      <c r="H271" s="28" t="s">
        <v>3523</v>
      </c>
      <c r="I271" s="27" t="s">
        <v>189</v>
      </c>
      <c r="J271" s="31" t="s">
        <v>5</v>
      </c>
      <c r="K271" s="27" t="s">
        <v>53</v>
      </c>
      <c r="L271" s="27" t="s">
        <v>54</v>
      </c>
      <c r="M271" s="32"/>
    </row>
    <row r="272" spans="1:13" ht="15.2" customHeight="1" x14ac:dyDescent="0.2">
      <c r="A272" s="26" t="s">
        <v>3524</v>
      </c>
      <c r="B272" s="27" t="s">
        <v>3525</v>
      </c>
      <c r="C272" s="28">
        <v>1</v>
      </c>
      <c r="D272" s="29">
        <v>17</v>
      </c>
      <c r="E272" s="29">
        <v>17</v>
      </c>
      <c r="F272" s="30">
        <v>41.99</v>
      </c>
      <c r="G272" s="29">
        <v>41.99</v>
      </c>
      <c r="H272" s="28">
        <v>1163236</v>
      </c>
      <c r="I272" s="27" t="s">
        <v>152</v>
      </c>
      <c r="J272" s="31" t="s">
        <v>71</v>
      </c>
      <c r="K272" s="27" t="s">
        <v>70</v>
      </c>
      <c r="L272" s="27" t="s">
        <v>155</v>
      </c>
      <c r="M272" s="32"/>
    </row>
    <row r="273" spans="1:13" ht="15.2" customHeight="1" x14ac:dyDescent="0.2">
      <c r="A273" s="26" t="s">
        <v>3526</v>
      </c>
      <c r="B273" s="27" t="s">
        <v>3527</v>
      </c>
      <c r="C273" s="28">
        <v>1</v>
      </c>
      <c r="D273" s="29">
        <v>16.91</v>
      </c>
      <c r="E273" s="29">
        <v>16.91</v>
      </c>
      <c r="F273" s="30">
        <v>39.5</v>
      </c>
      <c r="G273" s="29">
        <v>39.5</v>
      </c>
      <c r="H273" s="28" t="s">
        <v>3528</v>
      </c>
      <c r="I273" s="27" t="s">
        <v>4</v>
      </c>
      <c r="J273" s="31" t="s">
        <v>65</v>
      </c>
      <c r="K273" s="27" t="s">
        <v>53</v>
      </c>
      <c r="L273" s="27" t="s">
        <v>54</v>
      </c>
      <c r="M273" s="32"/>
    </row>
    <row r="274" spans="1:13" ht="15.2" customHeight="1" x14ac:dyDescent="0.2">
      <c r="A274" s="26" t="s">
        <v>3529</v>
      </c>
      <c r="B274" s="27" t="s">
        <v>505</v>
      </c>
      <c r="C274" s="28">
        <v>1</v>
      </c>
      <c r="D274" s="29">
        <v>16.88</v>
      </c>
      <c r="E274" s="29">
        <v>16.88</v>
      </c>
      <c r="F274" s="30">
        <v>49.5</v>
      </c>
      <c r="G274" s="29">
        <v>49.5</v>
      </c>
      <c r="H274" s="28" t="s">
        <v>506</v>
      </c>
      <c r="I274" s="27" t="s">
        <v>82</v>
      </c>
      <c r="J274" s="31" t="s">
        <v>71</v>
      </c>
      <c r="K274" s="27" t="s">
        <v>53</v>
      </c>
      <c r="L274" s="27" t="s">
        <v>167</v>
      </c>
      <c r="M274" s="32"/>
    </row>
    <row r="275" spans="1:13" ht="15.2" customHeight="1" x14ac:dyDescent="0.2">
      <c r="A275" s="26" t="s">
        <v>3530</v>
      </c>
      <c r="B275" s="27" t="s">
        <v>3531</v>
      </c>
      <c r="C275" s="28">
        <v>1</v>
      </c>
      <c r="D275" s="29">
        <v>16.739999999999998</v>
      </c>
      <c r="E275" s="29">
        <v>16.739999999999998</v>
      </c>
      <c r="F275" s="30">
        <v>49</v>
      </c>
      <c r="G275" s="29">
        <v>49</v>
      </c>
      <c r="H275" s="28" t="s">
        <v>1002</v>
      </c>
      <c r="I275" s="27" t="s">
        <v>291</v>
      </c>
      <c r="J275" s="31" t="s">
        <v>40</v>
      </c>
      <c r="K275" s="27" t="s">
        <v>510</v>
      </c>
      <c r="L275" s="27" t="s">
        <v>511</v>
      </c>
      <c r="M275" s="32"/>
    </row>
    <row r="276" spans="1:13" ht="15.2" customHeight="1" x14ac:dyDescent="0.2">
      <c r="A276" s="26" t="s">
        <v>3532</v>
      </c>
      <c r="B276" s="27" t="s">
        <v>3533</v>
      </c>
      <c r="C276" s="28">
        <v>1</v>
      </c>
      <c r="D276" s="29">
        <v>16.739999999999998</v>
      </c>
      <c r="E276" s="29">
        <v>16.739999999999998</v>
      </c>
      <c r="F276" s="30">
        <v>49</v>
      </c>
      <c r="G276" s="29">
        <v>49</v>
      </c>
      <c r="H276" s="28" t="s">
        <v>2734</v>
      </c>
      <c r="I276" s="27" t="s">
        <v>4</v>
      </c>
      <c r="J276" s="31" t="s">
        <v>40</v>
      </c>
      <c r="K276" s="27" t="s">
        <v>510</v>
      </c>
      <c r="L276" s="27" t="s">
        <v>511</v>
      </c>
      <c r="M276" s="32"/>
    </row>
    <row r="277" spans="1:13" ht="15.2" customHeight="1" x14ac:dyDescent="0.2">
      <c r="A277" s="26" t="s">
        <v>2735</v>
      </c>
      <c r="B277" s="27" t="s">
        <v>2736</v>
      </c>
      <c r="C277" s="28">
        <v>1</v>
      </c>
      <c r="D277" s="29">
        <v>16.739999999999998</v>
      </c>
      <c r="E277" s="29">
        <v>16.739999999999998</v>
      </c>
      <c r="F277" s="30">
        <v>49</v>
      </c>
      <c r="G277" s="29">
        <v>49</v>
      </c>
      <c r="H277" s="28" t="s">
        <v>2734</v>
      </c>
      <c r="I277" s="27" t="s">
        <v>4</v>
      </c>
      <c r="J277" s="31" t="s">
        <v>21</v>
      </c>
      <c r="K277" s="27" t="s">
        <v>510</v>
      </c>
      <c r="L277" s="27" t="s">
        <v>511</v>
      </c>
      <c r="M277" s="32"/>
    </row>
    <row r="278" spans="1:13" ht="15.2" customHeight="1" x14ac:dyDescent="0.2">
      <c r="A278" s="26" t="s">
        <v>3534</v>
      </c>
      <c r="B278" s="27" t="s">
        <v>3535</v>
      </c>
      <c r="C278" s="28">
        <v>2</v>
      </c>
      <c r="D278" s="29">
        <v>16.5</v>
      </c>
      <c r="E278" s="29">
        <v>33</v>
      </c>
      <c r="F278" s="30">
        <v>59</v>
      </c>
      <c r="G278" s="29">
        <v>118</v>
      </c>
      <c r="H278" s="28" t="s">
        <v>3536</v>
      </c>
      <c r="I278" s="27" t="s">
        <v>1</v>
      </c>
      <c r="J278" s="31" t="s">
        <v>11</v>
      </c>
      <c r="K278" s="27" t="s">
        <v>132</v>
      </c>
      <c r="L278" s="27" t="s">
        <v>133</v>
      </c>
      <c r="M278" s="32"/>
    </row>
    <row r="279" spans="1:13" ht="15.2" customHeight="1" x14ac:dyDescent="0.2">
      <c r="A279" s="26" t="s">
        <v>3537</v>
      </c>
      <c r="B279" s="27" t="s">
        <v>3538</v>
      </c>
      <c r="C279" s="28">
        <v>1</v>
      </c>
      <c r="D279" s="29">
        <v>16.5</v>
      </c>
      <c r="E279" s="29">
        <v>16.5</v>
      </c>
      <c r="F279" s="30">
        <v>39.99</v>
      </c>
      <c r="G279" s="29">
        <v>39.99</v>
      </c>
      <c r="H279" s="28" t="s">
        <v>3539</v>
      </c>
      <c r="I279" s="27" t="s">
        <v>1280</v>
      </c>
      <c r="J279" s="31" t="s">
        <v>40</v>
      </c>
      <c r="K279" s="27" t="s">
        <v>70</v>
      </c>
      <c r="L279" s="27" t="s">
        <v>701</v>
      </c>
      <c r="M279" s="32"/>
    </row>
    <row r="280" spans="1:13" ht="15.2" customHeight="1" x14ac:dyDescent="0.2">
      <c r="A280" s="26" t="s">
        <v>3540</v>
      </c>
      <c r="B280" s="27" t="s">
        <v>3541</v>
      </c>
      <c r="C280" s="28">
        <v>1</v>
      </c>
      <c r="D280" s="29">
        <v>16.32</v>
      </c>
      <c r="E280" s="29">
        <v>16.32</v>
      </c>
      <c r="F280" s="30">
        <v>44.5</v>
      </c>
      <c r="G280" s="29">
        <v>44.5</v>
      </c>
      <c r="H280" s="28" t="s">
        <v>3542</v>
      </c>
      <c r="I280" s="27" t="s">
        <v>215</v>
      </c>
      <c r="J280" s="31" t="s">
        <v>40</v>
      </c>
      <c r="K280" s="27" t="s">
        <v>53</v>
      </c>
      <c r="L280" s="27" t="s">
        <v>54</v>
      </c>
      <c r="M280" s="32"/>
    </row>
    <row r="281" spans="1:13" ht="15.2" customHeight="1" x14ac:dyDescent="0.2">
      <c r="A281" s="26" t="s">
        <v>3543</v>
      </c>
      <c r="B281" s="27" t="s">
        <v>512</v>
      </c>
      <c r="C281" s="28">
        <v>1</v>
      </c>
      <c r="D281" s="29">
        <v>16.239999999999998</v>
      </c>
      <c r="E281" s="29">
        <v>16.239999999999998</v>
      </c>
      <c r="F281" s="30">
        <v>44.5</v>
      </c>
      <c r="G281" s="29">
        <v>44.5</v>
      </c>
      <c r="H281" s="28" t="s">
        <v>513</v>
      </c>
      <c r="I281" s="27" t="s">
        <v>10</v>
      </c>
      <c r="J281" s="31" t="s">
        <v>205</v>
      </c>
      <c r="K281" s="27" t="s">
        <v>41</v>
      </c>
      <c r="L281" s="27" t="s">
        <v>45</v>
      </c>
      <c r="M281" s="32"/>
    </row>
    <row r="282" spans="1:13" ht="15.2" customHeight="1" x14ac:dyDescent="0.2">
      <c r="A282" s="26" t="s">
        <v>3544</v>
      </c>
      <c r="B282" s="27" t="s">
        <v>3545</v>
      </c>
      <c r="C282" s="28">
        <v>1</v>
      </c>
      <c r="D282" s="29">
        <v>16</v>
      </c>
      <c r="E282" s="29">
        <v>16</v>
      </c>
      <c r="F282" s="30">
        <v>49</v>
      </c>
      <c r="G282" s="29">
        <v>49</v>
      </c>
      <c r="H282" s="28">
        <v>49425</v>
      </c>
      <c r="I282" s="27" t="s">
        <v>4</v>
      </c>
      <c r="J282" s="31" t="s">
        <v>461</v>
      </c>
      <c r="K282" s="27" t="s">
        <v>24</v>
      </c>
      <c r="L282" s="27" t="s">
        <v>35</v>
      </c>
      <c r="M282" s="32"/>
    </row>
    <row r="283" spans="1:13" ht="15.2" customHeight="1" x14ac:dyDescent="0.2">
      <c r="A283" s="26" t="s">
        <v>517</v>
      </c>
      <c r="B283" s="27" t="s">
        <v>518</v>
      </c>
      <c r="C283" s="28">
        <v>1</v>
      </c>
      <c r="D283" s="29">
        <v>16</v>
      </c>
      <c r="E283" s="29">
        <v>16</v>
      </c>
      <c r="F283" s="30">
        <v>59</v>
      </c>
      <c r="G283" s="29">
        <v>59</v>
      </c>
      <c r="H283" s="28" t="s">
        <v>515</v>
      </c>
      <c r="I283" s="27" t="s">
        <v>22</v>
      </c>
      <c r="J283" s="31" t="s">
        <v>32</v>
      </c>
      <c r="K283" s="27" t="s">
        <v>132</v>
      </c>
      <c r="L283" s="27" t="s">
        <v>514</v>
      </c>
      <c r="M283" s="32"/>
    </row>
    <row r="284" spans="1:13" ht="15.2" customHeight="1" x14ac:dyDescent="0.2">
      <c r="A284" s="26" t="s">
        <v>3546</v>
      </c>
      <c r="B284" s="27" t="s">
        <v>3547</v>
      </c>
      <c r="C284" s="28">
        <v>1</v>
      </c>
      <c r="D284" s="29">
        <v>16</v>
      </c>
      <c r="E284" s="29">
        <v>16</v>
      </c>
      <c r="F284" s="30">
        <v>59</v>
      </c>
      <c r="G284" s="29">
        <v>59</v>
      </c>
      <c r="H284" s="28" t="s">
        <v>515</v>
      </c>
      <c r="I284" s="27" t="s">
        <v>4</v>
      </c>
      <c r="J284" s="31" t="s">
        <v>32</v>
      </c>
      <c r="K284" s="27" t="s">
        <v>132</v>
      </c>
      <c r="L284" s="27" t="s">
        <v>514</v>
      </c>
      <c r="M284" s="32"/>
    </row>
    <row r="285" spans="1:13" ht="15.2" customHeight="1" x14ac:dyDescent="0.2">
      <c r="A285" s="26" t="s">
        <v>3548</v>
      </c>
      <c r="B285" s="27" t="s">
        <v>3549</v>
      </c>
      <c r="C285" s="28">
        <v>1</v>
      </c>
      <c r="D285" s="29">
        <v>15.93</v>
      </c>
      <c r="E285" s="29">
        <v>15.93</v>
      </c>
      <c r="F285" s="30">
        <v>44.5</v>
      </c>
      <c r="G285" s="29">
        <v>44.5</v>
      </c>
      <c r="H285" s="28" t="s">
        <v>3550</v>
      </c>
      <c r="I285" s="27" t="s">
        <v>94</v>
      </c>
      <c r="J285" s="31" t="s">
        <v>2550</v>
      </c>
      <c r="K285" s="27" t="s">
        <v>41</v>
      </c>
      <c r="L285" s="27" t="s">
        <v>45</v>
      </c>
      <c r="M285" s="32"/>
    </row>
    <row r="286" spans="1:13" ht="15.2" customHeight="1" x14ac:dyDescent="0.2">
      <c r="A286" s="26" t="s">
        <v>3551</v>
      </c>
      <c r="B286" s="27" t="s">
        <v>3552</v>
      </c>
      <c r="C286" s="28">
        <v>1</v>
      </c>
      <c r="D286" s="29">
        <v>15.5</v>
      </c>
      <c r="E286" s="29">
        <v>15.5</v>
      </c>
      <c r="F286" s="30">
        <v>34.99</v>
      </c>
      <c r="G286" s="29">
        <v>34.99</v>
      </c>
      <c r="H286" s="28" t="s">
        <v>3553</v>
      </c>
      <c r="I286" s="27" t="s">
        <v>4</v>
      </c>
      <c r="J286" s="31" t="s">
        <v>21</v>
      </c>
      <c r="K286" s="27" t="s">
        <v>70</v>
      </c>
      <c r="L286" s="27" t="s">
        <v>25</v>
      </c>
      <c r="M286" s="32"/>
    </row>
    <row r="287" spans="1:13" ht="15.2" customHeight="1" x14ac:dyDescent="0.2">
      <c r="A287" s="26" t="s">
        <v>3554</v>
      </c>
      <c r="B287" s="27" t="s">
        <v>3555</v>
      </c>
      <c r="C287" s="28">
        <v>1</v>
      </c>
      <c r="D287" s="29">
        <v>15.25</v>
      </c>
      <c r="E287" s="29">
        <v>15.25</v>
      </c>
      <c r="F287" s="30">
        <v>44</v>
      </c>
      <c r="G287" s="29">
        <v>44</v>
      </c>
      <c r="H287" s="28" t="s">
        <v>2743</v>
      </c>
      <c r="I287" s="27" t="s">
        <v>75</v>
      </c>
      <c r="J287" s="31" t="s">
        <v>21</v>
      </c>
      <c r="K287" s="27" t="s">
        <v>37</v>
      </c>
      <c r="L287" s="27" t="s">
        <v>38</v>
      </c>
      <c r="M287" s="32"/>
    </row>
    <row r="288" spans="1:13" ht="15.2" customHeight="1" x14ac:dyDescent="0.2">
      <c r="A288" s="26" t="s">
        <v>2013</v>
      </c>
      <c r="B288" s="27" t="s">
        <v>1632</v>
      </c>
      <c r="C288" s="28">
        <v>1</v>
      </c>
      <c r="D288" s="29">
        <v>15.05</v>
      </c>
      <c r="E288" s="29">
        <v>15.05</v>
      </c>
      <c r="F288" s="30">
        <v>39.5</v>
      </c>
      <c r="G288" s="29">
        <v>39.5</v>
      </c>
      <c r="H288" s="28" t="s">
        <v>1633</v>
      </c>
      <c r="I288" s="27" t="s">
        <v>10</v>
      </c>
      <c r="J288" s="31" t="s">
        <v>52</v>
      </c>
      <c r="K288" s="27" t="s">
        <v>41</v>
      </c>
      <c r="L288" s="27" t="s">
        <v>45</v>
      </c>
      <c r="M288" s="32"/>
    </row>
    <row r="289" spans="1:13" ht="15.2" customHeight="1" x14ac:dyDescent="0.2">
      <c r="A289" s="26" t="s">
        <v>3072</v>
      </c>
      <c r="B289" s="27" t="s">
        <v>3073</v>
      </c>
      <c r="C289" s="28">
        <v>1</v>
      </c>
      <c r="D289" s="29">
        <v>15</v>
      </c>
      <c r="E289" s="29">
        <v>15</v>
      </c>
      <c r="F289" s="30">
        <v>49</v>
      </c>
      <c r="G289" s="29">
        <v>49</v>
      </c>
      <c r="H289" s="28" t="s">
        <v>3074</v>
      </c>
      <c r="I289" s="27" t="s">
        <v>4</v>
      </c>
      <c r="J289" s="31" t="s">
        <v>21</v>
      </c>
      <c r="K289" s="27" t="s">
        <v>24</v>
      </c>
      <c r="L289" s="27" t="s">
        <v>101</v>
      </c>
      <c r="M289" s="32"/>
    </row>
    <row r="290" spans="1:13" ht="15.2" customHeight="1" x14ac:dyDescent="0.2">
      <c r="A290" s="26" t="s">
        <v>3556</v>
      </c>
      <c r="B290" s="27" t="s">
        <v>3557</v>
      </c>
      <c r="C290" s="28">
        <v>1</v>
      </c>
      <c r="D290" s="29">
        <v>15</v>
      </c>
      <c r="E290" s="29">
        <v>15</v>
      </c>
      <c r="F290" s="30">
        <v>45</v>
      </c>
      <c r="G290" s="29">
        <v>45</v>
      </c>
      <c r="H290" s="28" t="s">
        <v>2746</v>
      </c>
      <c r="I290" s="27" t="s">
        <v>82</v>
      </c>
      <c r="J290" s="31" t="s">
        <v>69</v>
      </c>
      <c r="K290" s="27" t="s">
        <v>154</v>
      </c>
      <c r="L290" s="27" t="s">
        <v>155</v>
      </c>
      <c r="M290" s="32"/>
    </row>
    <row r="291" spans="1:13" ht="15.2" customHeight="1" x14ac:dyDescent="0.2">
      <c r="A291" s="26" t="s">
        <v>1635</v>
      </c>
      <c r="B291" s="27" t="s">
        <v>1636</v>
      </c>
      <c r="C291" s="28">
        <v>1</v>
      </c>
      <c r="D291" s="29">
        <v>15</v>
      </c>
      <c r="E291" s="29">
        <v>15</v>
      </c>
      <c r="F291" s="30">
        <v>34.99</v>
      </c>
      <c r="G291" s="29">
        <v>34.99</v>
      </c>
      <c r="H291" s="28" t="s">
        <v>1637</v>
      </c>
      <c r="I291" s="27" t="s">
        <v>82</v>
      </c>
      <c r="J291" s="31" t="s">
        <v>5</v>
      </c>
      <c r="K291" s="27" t="s">
        <v>70</v>
      </c>
      <c r="L291" s="27" t="s">
        <v>1079</v>
      </c>
      <c r="M291" s="32"/>
    </row>
    <row r="292" spans="1:13" ht="15.2" customHeight="1" x14ac:dyDescent="0.2">
      <c r="A292" s="26" t="s">
        <v>3558</v>
      </c>
      <c r="B292" s="27" t="s">
        <v>520</v>
      </c>
      <c r="C292" s="28">
        <v>2</v>
      </c>
      <c r="D292" s="29">
        <v>14.65</v>
      </c>
      <c r="E292" s="29">
        <v>29.3</v>
      </c>
      <c r="F292" s="30">
        <v>34.99</v>
      </c>
      <c r="G292" s="29">
        <v>69.98</v>
      </c>
      <c r="H292" s="28" t="s">
        <v>521</v>
      </c>
      <c r="I292" s="27" t="s">
        <v>4</v>
      </c>
      <c r="J292" s="31" t="s">
        <v>21</v>
      </c>
      <c r="K292" s="27" t="s">
        <v>159</v>
      </c>
      <c r="L292" s="27" t="s">
        <v>160</v>
      </c>
      <c r="M292" s="32"/>
    </row>
    <row r="293" spans="1:13" ht="15.2" customHeight="1" x14ac:dyDescent="0.2">
      <c r="A293" s="26" t="s">
        <v>3559</v>
      </c>
      <c r="B293" s="27" t="s">
        <v>3560</v>
      </c>
      <c r="C293" s="28">
        <v>1</v>
      </c>
      <c r="D293" s="29">
        <v>14.65</v>
      </c>
      <c r="E293" s="29">
        <v>14.65</v>
      </c>
      <c r="F293" s="30">
        <v>34.99</v>
      </c>
      <c r="G293" s="29">
        <v>34.99</v>
      </c>
      <c r="H293" s="28" t="s">
        <v>3561</v>
      </c>
      <c r="I293" s="27" t="s">
        <v>103</v>
      </c>
      <c r="J293" s="31" t="s">
        <v>71</v>
      </c>
      <c r="K293" s="27" t="s">
        <v>159</v>
      </c>
      <c r="L293" s="27" t="s">
        <v>160</v>
      </c>
      <c r="M293" s="32"/>
    </row>
    <row r="294" spans="1:13" ht="15.2" customHeight="1" x14ac:dyDescent="0.2">
      <c r="A294" s="26" t="s">
        <v>3562</v>
      </c>
      <c r="B294" s="27" t="s">
        <v>3560</v>
      </c>
      <c r="C294" s="28">
        <v>1</v>
      </c>
      <c r="D294" s="29">
        <v>14.65</v>
      </c>
      <c r="E294" s="29">
        <v>14.65</v>
      </c>
      <c r="F294" s="30">
        <v>34.99</v>
      </c>
      <c r="G294" s="29">
        <v>34.99</v>
      </c>
      <c r="H294" s="28" t="s">
        <v>3561</v>
      </c>
      <c r="I294" s="27" t="s">
        <v>103</v>
      </c>
      <c r="J294" s="31" t="s">
        <v>40</v>
      </c>
      <c r="K294" s="27" t="s">
        <v>159</v>
      </c>
      <c r="L294" s="27" t="s">
        <v>160</v>
      </c>
      <c r="M294" s="32"/>
    </row>
    <row r="295" spans="1:13" ht="15.2" customHeight="1" x14ac:dyDescent="0.2">
      <c r="A295" s="26" t="s">
        <v>2747</v>
      </c>
      <c r="B295" s="27" t="s">
        <v>2455</v>
      </c>
      <c r="C295" s="28">
        <v>1</v>
      </c>
      <c r="D295" s="29">
        <v>14.5</v>
      </c>
      <c r="E295" s="29">
        <v>14.5</v>
      </c>
      <c r="F295" s="30">
        <v>39.5</v>
      </c>
      <c r="G295" s="29">
        <v>39.5</v>
      </c>
      <c r="H295" s="28" t="s">
        <v>2456</v>
      </c>
      <c r="I295" s="27" t="s">
        <v>82</v>
      </c>
      <c r="J295" s="31" t="s">
        <v>5</v>
      </c>
      <c r="K295" s="27" t="s">
        <v>41</v>
      </c>
      <c r="L295" s="27" t="s">
        <v>45</v>
      </c>
      <c r="M295" s="32"/>
    </row>
    <row r="296" spans="1:13" ht="15.2" customHeight="1" x14ac:dyDescent="0.2">
      <c r="A296" s="26" t="s">
        <v>2748</v>
      </c>
      <c r="B296" s="27" t="s">
        <v>2455</v>
      </c>
      <c r="C296" s="28">
        <v>1</v>
      </c>
      <c r="D296" s="29">
        <v>14.5</v>
      </c>
      <c r="E296" s="29">
        <v>14.5</v>
      </c>
      <c r="F296" s="30">
        <v>39.5</v>
      </c>
      <c r="G296" s="29">
        <v>39.5</v>
      </c>
      <c r="H296" s="28" t="s">
        <v>2456</v>
      </c>
      <c r="I296" s="27" t="s">
        <v>82</v>
      </c>
      <c r="J296" s="31" t="s">
        <v>21</v>
      </c>
      <c r="K296" s="27" t="s">
        <v>41</v>
      </c>
      <c r="L296" s="27" t="s">
        <v>45</v>
      </c>
      <c r="M296" s="32"/>
    </row>
    <row r="297" spans="1:13" ht="15.2" customHeight="1" x14ac:dyDescent="0.2">
      <c r="A297" s="26" t="s">
        <v>525</v>
      </c>
      <c r="B297" s="27" t="s">
        <v>526</v>
      </c>
      <c r="C297" s="28">
        <v>1</v>
      </c>
      <c r="D297" s="29">
        <v>14.5</v>
      </c>
      <c r="E297" s="29">
        <v>14.5</v>
      </c>
      <c r="F297" s="30">
        <v>39.5</v>
      </c>
      <c r="G297" s="29">
        <v>39.5</v>
      </c>
      <c r="H297" s="28" t="s">
        <v>524</v>
      </c>
      <c r="I297" s="27" t="s">
        <v>4</v>
      </c>
      <c r="J297" s="31" t="s">
        <v>40</v>
      </c>
      <c r="K297" s="27" t="s">
        <v>53</v>
      </c>
      <c r="L297" s="27" t="s">
        <v>54</v>
      </c>
      <c r="M297" s="32"/>
    </row>
    <row r="298" spans="1:13" ht="15.2" customHeight="1" x14ac:dyDescent="0.2">
      <c r="A298" s="26" t="s">
        <v>3563</v>
      </c>
      <c r="B298" s="27" t="s">
        <v>534</v>
      </c>
      <c r="C298" s="28">
        <v>1</v>
      </c>
      <c r="D298" s="29">
        <v>14.42</v>
      </c>
      <c r="E298" s="29">
        <v>14.42</v>
      </c>
      <c r="F298" s="30">
        <v>39.5</v>
      </c>
      <c r="G298" s="29">
        <v>39.5</v>
      </c>
      <c r="H298" s="28" t="s">
        <v>535</v>
      </c>
      <c r="I298" s="27" t="s">
        <v>94</v>
      </c>
      <c r="J298" s="31" t="s">
        <v>40</v>
      </c>
      <c r="K298" s="27" t="s">
        <v>41</v>
      </c>
      <c r="L298" s="27" t="s">
        <v>45</v>
      </c>
      <c r="M298" s="32"/>
    </row>
    <row r="299" spans="1:13" ht="15.2" customHeight="1" x14ac:dyDescent="0.2">
      <c r="A299" s="26" t="s">
        <v>3564</v>
      </c>
      <c r="B299" s="27" t="s">
        <v>3565</v>
      </c>
      <c r="C299" s="28">
        <v>1</v>
      </c>
      <c r="D299" s="29">
        <v>14.42</v>
      </c>
      <c r="E299" s="29">
        <v>14.42</v>
      </c>
      <c r="F299" s="30">
        <v>39.5</v>
      </c>
      <c r="G299" s="29">
        <v>39.5</v>
      </c>
      <c r="H299" s="28" t="s">
        <v>546</v>
      </c>
      <c r="I299" s="27" t="s">
        <v>4</v>
      </c>
      <c r="J299" s="31" t="s">
        <v>52</v>
      </c>
      <c r="K299" s="27" t="s">
        <v>41</v>
      </c>
      <c r="L299" s="27" t="s">
        <v>45</v>
      </c>
      <c r="M299" s="32"/>
    </row>
    <row r="300" spans="1:13" ht="15.2" customHeight="1" x14ac:dyDescent="0.2">
      <c r="A300" s="26" t="s">
        <v>3077</v>
      </c>
      <c r="B300" s="27" t="s">
        <v>534</v>
      </c>
      <c r="C300" s="28">
        <v>1</v>
      </c>
      <c r="D300" s="29">
        <v>14.42</v>
      </c>
      <c r="E300" s="29">
        <v>14.42</v>
      </c>
      <c r="F300" s="30">
        <v>39.5</v>
      </c>
      <c r="G300" s="29">
        <v>39.5</v>
      </c>
      <c r="H300" s="28" t="s">
        <v>535</v>
      </c>
      <c r="I300" s="27" t="s">
        <v>94</v>
      </c>
      <c r="J300" s="31" t="s">
        <v>52</v>
      </c>
      <c r="K300" s="27" t="s">
        <v>41</v>
      </c>
      <c r="L300" s="27" t="s">
        <v>45</v>
      </c>
      <c r="M300" s="32"/>
    </row>
    <row r="301" spans="1:13" ht="15.2" customHeight="1" x14ac:dyDescent="0.2">
      <c r="A301" s="26" t="s">
        <v>3566</v>
      </c>
      <c r="B301" s="27" t="s">
        <v>3567</v>
      </c>
      <c r="C301" s="28">
        <v>1</v>
      </c>
      <c r="D301" s="29">
        <v>14.42</v>
      </c>
      <c r="E301" s="29">
        <v>14.42</v>
      </c>
      <c r="F301" s="30">
        <v>39.5</v>
      </c>
      <c r="G301" s="29">
        <v>39.5</v>
      </c>
      <c r="H301" s="28" t="s">
        <v>3568</v>
      </c>
      <c r="I301" s="27" t="s">
        <v>144</v>
      </c>
      <c r="J301" s="31" t="s">
        <v>21</v>
      </c>
      <c r="K301" s="27" t="s">
        <v>41</v>
      </c>
      <c r="L301" s="27" t="s">
        <v>45</v>
      </c>
      <c r="M301" s="32"/>
    </row>
    <row r="302" spans="1:13" ht="15.2" customHeight="1" x14ac:dyDescent="0.2">
      <c r="A302" s="26" t="s">
        <v>3569</v>
      </c>
      <c r="B302" s="27" t="s">
        <v>3570</v>
      </c>
      <c r="C302" s="28">
        <v>1</v>
      </c>
      <c r="D302" s="29">
        <v>14.05</v>
      </c>
      <c r="E302" s="29">
        <v>14.05</v>
      </c>
      <c r="F302" s="30">
        <v>39.99</v>
      </c>
      <c r="G302" s="29">
        <v>39.99</v>
      </c>
      <c r="H302" s="28" t="s">
        <v>3571</v>
      </c>
      <c r="I302" s="27" t="s">
        <v>4</v>
      </c>
      <c r="J302" s="31" t="s">
        <v>21</v>
      </c>
      <c r="K302" s="27" t="s">
        <v>41</v>
      </c>
      <c r="L302" s="27" t="s">
        <v>80</v>
      </c>
      <c r="M302" s="32"/>
    </row>
    <row r="303" spans="1:13" ht="15.2" customHeight="1" x14ac:dyDescent="0.2">
      <c r="A303" s="26" t="s">
        <v>3572</v>
      </c>
      <c r="B303" s="27" t="s">
        <v>3573</v>
      </c>
      <c r="C303" s="28">
        <v>1</v>
      </c>
      <c r="D303" s="29">
        <v>12.5</v>
      </c>
      <c r="E303" s="29">
        <v>12.5</v>
      </c>
      <c r="F303" s="30">
        <v>29.99</v>
      </c>
      <c r="G303" s="29">
        <v>29.99</v>
      </c>
      <c r="H303" s="28">
        <v>804412</v>
      </c>
      <c r="I303" s="27" t="s">
        <v>267</v>
      </c>
      <c r="J303" s="31" t="s">
        <v>52</v>
      </c>
      <c r="K303" s="27" t="s">
        <v>70</v>
      </c>
      <c r="L303" s="27" t="s">
        <v>1808</v>
      </c>
      <c r="M303" s="32"/>
    </row>
    <row r="304" spans="1:13" ht="15.2" customHeight="1" x14ac:dyDescent="0.2">
      <c r="A304" s="26" t="s">
        <v>3574</v>
      </c>
      <c r="B304" s="27" t="s">
        <v>3575</v>
      </c>
      <c r="C304" s="28">
        <v>1</v>
      </c>
      <c r="D304" s="29">
        <v>12.08</v>
      </c>
      <c r="E304" s="29">
        <v>12.08</v>
      </c>
      <c r="F304" s="30">
        <v>27.99</v>
      </c>
      <c r="G304" s="29">
        <v>27.99</v>
      </c>
      <c r="H304" s="28" t="s">
        <v>558</v>
      </c>
      <c r="I304" s="27" t="s">
        <v>4</v>
      </c>
      <c r="J304" s="31" t="s">
        <v>71</v>
      </c>
      <c r="K304" s="27" t="s">
        <v>224</v>
      </c>
      <c r="L304" s="27" t="s">
        <v>237</v>
      </c>
      <c r="M304" s="32"/>
    </row>
    <row r="305" spans="1:13" ht="15.2" customHeight="1" x14ac:dyDescent="0.2">
      <c r="A305" s="26" t="s">
        <v>3576</v>
      </c>
      <c r="B305" s="27" t="s">
        <v>3577</v>
      </c>
      <c r="C305" s="28">
        <v>1</v>
      </c>
      <c r="D305" s="29">
        <v>12</v>
      </c>
      <c r="E305" s="29">
        <v>12</v>
      </c>
      <c r="F305" s="30">
        <v>28.99</v>
      </c>
      <c r="G305" s="29">
        <v>28.99</v>
      </c>
      <c r="H305" s="28" t="s">
        <v>3578</v>
      </c>
      <c r="I305" s="27" t="s">
        <v>22</v>
      </c>
      <c r="J305" s="31" t="s">
        <v>5</v>
      </c>
      <c r="K305" s="27" t="s">
        <v>70</v>
      </c>
      <c r="L305" s="27" t="s">
        <v>1079</v>
      </c>
      <c r="M305" s="32"/>
    </row>
    <row r="306" spans="1:13" ht="15.2" customHeight="1" x14ac:dyDescent="0.2">
      <c r="A306" s="26" t="s">
        <v>3579</v>
      </c>
      <c r="B306" s="27" t="s">
        <v>3580</v>
      </c>
      <c r="C306" s="28">
        <v>1</v>
      </c>
      <c r="D306" s="29">
        <v>12</v>
      </c>
      <c r="E306" s="29">
        <v>12</v>
      </c>
      <c r="F306" s="30">
        <v>25.99</v>
      </c>
      <c r="G306" s="29">
        <v>25.99</v>
      </c>
      <c r="H306" s="28" t="s">
        <v>3581</v>
      </c>
      <c r="I306" s="27" t="s">
        <v>1472</v>
      </c>
      <c r="J306" s="31" t="s">
        <v>234</v>
      </c>
      <c r="K306" s="27" t="s">
        <v>200</v>
      </c>
      <c r="L306" s="27" t="s">
        <v>133</v>
      </c>
      <c r="M306" s="32"/>
    </row>
    <row r="307" spans="1:13" ht="15.2" customHeight="1" x14ac:dyDescent="0.2">
      <c r="A307" s="26" t="s">
        <v>3582</v>
      </c>
      <c r="B307" s="27" t="s">
        <v>3583</v>
      </c>
      <c r="C307" s="28">
        <v>1</v>
      </c>
      <c r="D307" s="29">
        <v>12</v>
      </c>
      <c r="E307" s="29">
        <v>12</v>
      </c>
      <c r="F307" s="30">
        <v>39</v>
      </c>
      <c r="G307" s="29">
        <v>39</v>
      </c>
      <c r="H307" s="28" t="s">
        <v>3584</v>
      </c>
      <c r="I307" s="27" t="s">
        <v>4</v>
      </c>
      <c r="J307" s="31" t="s">
        <v>71</v>
      </c>
      <c r="K307" s="27" t="s">
        <v>154</v>
      </c>
      <c r="L307" s="27" t="s">
        <v>155</v>
      </c>
      <c r="M307" s="32"/>
    </row>
    <row r="308" spans="1:13" ht="15.2" customHeight="1" x14ac:dyDescent="0.2">
      <c r="A308" s="26" t="s">
        <v>3585</v>
      </c>
      <c r="B308" s="27" t="s">
        <v>3586</v>
      </c>
      <c r="C308" s="28">
        <v>1</v>
      </c>
      <c r="D308" s="29">
        <v>12</v>
      </c>
      <c r="E308" s="29">
        <v>12</v>
      </c>
      <c r="F308" s="30">
        <v>39</v>
      </c>
      <c r="G308" s="29">
        <v>39</v>
      </c>
      <c r="H308" s="28" t="s">
        <v>3587</v>
      </c>
      <c r="I308" s="27" t="s">
        <v>82</v>
      </c>
      <c r="J308" s="31" t="s">
        <v>5</v>
      </c>
      <c r="K308" s="27" t="s">
        <v>154</v>
      </c>
      <c r="L308" s="27" t="s">
        <v>155</v>
      </c>
      <c r="M308" s="32"/>
    </row>
    <row r="309" spans="1:13" ht="15.2" customHeight="1" x14ac:dyDescent="0.2">
      <c r="A309" s="26" t="s">
        <v>3588</v>
      </c>
      <c r="B309" s="27" t="s">
        <v>3589</v>
      </c>
      <c r="C309" s="28">
        <v>2</v>
      </c>
      <c r="D309" s="29">
        <v>11.25</v>
      </c>
      <c r="E309" s="29">
        <v>22.5</v>
      </c>
      <c r="F309" s="30">
        <v>49</v>
      </c>
      <c r="G309" s="29">
        <v>98</v>
      </c>
      <c r="H309" s="28" t="s">
        <v>559</v>
      </c>
      <c r="I309" s="27" t="s">
        <v>189</v>
      </c>
      <c r="J309" s="31" t="s">
        <v>32</v>
      </c>
      <c r="K309" s="27" t="s">
        <v>132</v>
      </c>
      <c r="L309" s="27" t="s">
        <v>226</v>
      </c>
      <c r="M309" s="32"/>
    </row>
    <row r="310" spans="1:13" ht="15.2" customHeight="1" x14ac:dyDescent="0.2">
      <c r="A310" s="26" t="s">
        <v>3590</v>
      </c>
      <c r="B310" s="27" t="s">
        <v>3591</v>
      </c>
      <c r="C310" s="28">
        <v>1</v>
      </c>
      <c r="D310" s="29">
        <v>11.25</v>
      </c>
      <c r="E310" s="29">
        <v>11.25</v>
      </c>
      <c r="F310" s="30">
        <v>49</v>
      </c>
      <c r="G310" s="29">
        <v>49</v>
      </c>
      <c r="H310" s="28" t="s">
        <v>559</v>
      </c>
      <c r="I310" s="27" t="s">
        <v>4</v>
      </c>
      <c r="J310" s="31" t="s">
        <v>32</v>
      </c>
      <c r="K310" s="27" t="s">
        <v>132</v>
      </c>
      <c r="L310" s="27" t="s">
        <v>226</v>
      </c>
      <c r="M310" s="32"/>
    </row>
    <row r="311" spans="1:13" ht="15.2" customHeight="1" x14ac:dyDescent="0.2">
      <c r="A311" s="26" t="s">
        <v>1029</v>
      </c>
      <c r="B311" s="27" t="s">
        <v>1030</v>
      </c>
      <c r="C311" s="28">
        <v>1</v>
      </c>
      <c r="D311" s="29">
        <v>11.25</v>
      </c>
      <c r="E311" s="29">
        <v>11.25</v>
      </c>
      <c r="F311" s="30">
        <v>49</v>
      </c>
      <c r="G311" s="29">
        <v>49</v>
      </c>
      <c r="H311" s="28" t="s">
        <v>559</v>
      </c>
      <c r="I311" s="27" t="s">
        <v>189</v>
      </c>
      <c r="J311" s="31" t="s">
        <v>50</v>
      </c>
      <c r="K311" s="27" t="s">
        <v>132</v>
      </c>
      <c r="L311" s="27" t="s">
        <v>226</v>
      </c>
      <c r="M311" s="32"/>
    </row>
    <row r="312" spans="1:13" ht="15.2" customHeight="1" x14ac:dyDescent="0.2">
      <c r="A312" s="26" t="s">
        <v>3592</v>
      </c>
      <c r="B312" s="27" t="s">
        <v>3593</v>
      </c>
      <c r="C312" s="28">
        <v>1</v>
      </c>
      <c r="D312" s="29">
        <v>11</v>
      </c>
      <c r="E312" s="29">
        <v>11</v>
      </c>
      <c r="F312" s="30">
        <v>27.99</v>
      </c>
      <c r="G312" s="29">
        <v>27.99</v>
      </c>
      <c r="H312" s="28" t="s">
        <v>3594</v>
      </c>
      <c r="I312" s="27" t="s">
        <v>66</v>
      </c>
      <c r="J312" s="31" t="s">
        <v>40</v>
      </c>
      <c r="K312" s="27" t="s">
        <v>224</v>
      </c>
      <c r="L312" s="27" t="s">
        <v>254</v>
      </c>
      <c r="M312" s="32"/>
    </row>
    <row r="313" spans="1:13" ht="15.2" customHeight="1" x14ac:dyDescent="0.2">
      <c r="A313" s="26" t="s">
        <v>560</v>
      </c>
      <c r="B313" s="27" t="s">
        <v>561</v>
      </c>
      <c r="C313" s="28">
        <v>1</v>
      </c>
      <c r="D313" s="29">
        <v>11</v>
      </c>
      <c r="E313" s="29">
        <v>11</v>
      </c>
      <c r="F313" s="30">
        <v>27.99</v>
      </c>
      <c r="G313" s="29">
        <v>27.99</v>
      </c>
      <c r="H313" s="28" t="s">
        <v>562</v>
      </c>
      <c r="I313" s="27" t="s">
        <v>189</v>
      </c>
      <c r="J313" s="31" t="s">
        <v>52</v>
      </c>
      <c r="K313" s="27" t="s">
        <v>224</v>
      </c>
      <c r="L313" s="27" t="s">
        <v>563</v>
      </c>
      <c r="M313" s="32"/>
    </row>
    <row r="314" spans="1:13" ht="15.2" customHeight="1" x14ac:dyDescent="0.2">
      <c r="A314" s="26" t="s">
        <v>2481</v>
      </c>
      <c r="B314" s="27" t="s">
        <v>2482</v>
      </c>
      <c r="C314" s="28">
        <v>2</v>
      </c>
      <c r="D314" s="29">
        <v>11</v>
      </c>
      <c r="E314" s="29">
        <v>22</v>
      </c>
      <c r="F314" s="30">
        <v>27.99</v>
      </c>
      <c r="G314" s="29">
        <v>55.98</v>
      </c>
      <c r="H314" s="28" t="s">
        <v>2478</v>
      </c>
      <c r="I314" s="27" t="s">
        <v>33</v>
      </c>
      <c r="J314" s="31" t="s">
        <v>5</v>
      </c>
      <c r="K314" s="27" t="s">
        <v>224</v>
      </c>
      <c r="L314" s="27" t="s">
        <v>254</v>
      </c>
      <c r="M314" s="32"/>
    </row>
    <row r="315" spans="1:13" ht="15.2" customHeight="1" x14ac:dyDescent="0.2">
      <c r="A315" s="26" t="s">
        <v>3595</v>
      </c>
      <c r="B315" s="27" t="s">
        <v>3596</v>
      </c>
      <c r="C315" s="28">
        <v>1</v>
      </c>
      <c r="D315" s="29">
        <v>11</v>
      </c>
      <c r="E315" s="29">
        <v>11</v>
      </c>
      <c r="F315" s="30">
        <v>27.99</v>
      </c>
      <c r="G315" s="29">
        <v>27.99</v>
      </c>
      <c r="H315" s="28" t="s">
        <v>3594</v>
      </c>
      <c r="I315" s="27" t="s">
        <v>66</v>
      </c>
      <c r="J315" s="31" t="s">
        <v>52</v>
      </c>
      <c r="K315" s="27" t="s">
        <v>224</v>
      </c>
      <c r="L315" s="27" t="s">
        <v>254</v>
      </c>
      <c r="M315" s="32"/>
    </row>
    <row r="316" spans="1:13" ht="15.2" customHeight="1" x14ac:dyDescent="0.2">
      <c r="A316" s="26" t="s">
        <v>3597</v>
      </c>
      <c r="B316" s="27" t="s">
        <v>3598</v>
      </c>
      <c r="C316" s="28">
        <v>1</v>
      </c>
      <c r="D316" s="29">
        <v>11</v>
      </c>
      <c r="E316" s="29">
        <v>11</v>
      </c>
      <c r="F316" s="30">
        <v>27.99</v>
      </c>
      <c r="G316" s="29">
        <v>27.99</v>
      </c>
      <c r="H316" s="28" t="s">
        <v>562</v>
      </c>
      <c r="I316" s="27" t="s">
        <v>189</v>
      </c>
      <c r="J316" s="31" t="s">
        <v>40</v>
      </c>
      <c r="K316" s="27" t="s">
        <v>224</v>
      </c>
      <c r="L316" s="27" t="s">
        <v>563</v>
      </c>
      <c r="M316" s="32"/>
    </row>
    <row r="317" spans="1:13" ht="15.2" customHeight="1" x14ac:dyDescent="0.2">
      <c r="A317" s="26" t="s">
        <v>3599</v>
      </c>
      <c r="B317" s="27" t="s">
        <v>3600</v>
      </c>
      <c r="C317" s="28">
        <v>1</v>
      </c>
      <c r="D317" s="29">
        <v>11</v>
      </c>
      <c r="E317" s="29">
        <v>11</v>
      </c>
      <c r="F317" s="30">
        <v>27.99</v>
      </c>
      <c r="G317" s="29">
        <v>27.99</v>
      </c>
      <c r="H317" s="28" t="s">
        <v>562</v>
      </c>
      <c r="I317" s="27" t="s">
        <v>189</v>
      </c>
      <c r="J317" s="31" t="s">
        <v>21</v>
      </c>
      <c r="K317" s="27" t="s">
        <v>224</v>
      </c>
      <c r="L317" s="27" t="s">
        <v>563</v>
      </c>
      <c r="M317" s="32"/>
    </row>
    <row r="318" spans="1:13" ht="15.2" customHeight="1" x14ac:dyDescent="0.2">
      <c r="A318" s="26" t="s">
        <v>1031</v>
      </c>
      <c r="B318" s="27" t="s">
        <v>1032</v>
      </c>
      <c r="C318" s="28">
        <v>1</v>
      </c>
      <c r="D318" s="29">
        <v>11</v>
      </c>
      <c r="E318" s="29">
        <v>11</v>
      </c>
      <c r="F318" s="30">
        <v>27.99</v>
      </c>
      <c r="G318" s="29">
        <v>27.99</v>
      </c>
      <c r="H318" s="28" t="s">
        <v>562</v>
      </c>
      <c r="I318" s="27" t="s">
        <v>468</v>
      </c>
      <c r="J318" s="31" t="s">
        <v>5</v>
      </c>
      <c r="K318" s="27" t="s">
        <v>224</v>
      </c>
      <c r="L318" s="27" t="s">
        <v>563</v>
      </c>
      <c r="M318" s="32"/>
    </row>
    <row r="319" spans="1:13" ht="15.2" customHeight="1" x14ac:dyDescent="0.2">
      <c r="A319" s="26" t="s">
        <v>1036</v>
      </c>
      <c r="B319" s="27" t="s">
        <v>1037</v>
      </c>
      <c r="C319" s="28">
        <v>1</v>
      </c>
      <c r="D319" s="29">
        <v>11</v>
      </c>
      <c r="E319" s="29">
        <v>11</v>
      </c>
      <c r="F319" s="30">
        <v>27.99</v>
      </c>
      <c r="G319" s="29">
        <v>27.99</v>
      </c>
      <c r="H319" s="28" t="s">
        <v>1035</v>
      </c>
      <c r="I319" s="27" t="s">
        <v>59</v>
      </c>
      <c r="J319" s="31" t="s">
        <v>21</v>
      </c>
      <c r="K319" s="27" t="s">
        <v>224</v>
      </c>
      <c r="L319" s="27" t="s">
        <v>254</v>
      </c>
      <c r="M319" s="32"/>
    </row>
    <row r="320" spans="1:13" ht="15.2" customHeight="1" x14ac:dyDescent="0.2">
      <c r="A320" s="26" t="s">
        <v>3601</v>
      </c>
      <c r="B320" s="27" t="s">
        <v>3602</v>
      </c>
      <c r="C320" s="28">
        <v>1</v>
      </c>
      <c r="D320" s="29">
        <v>11</v>
      </c>
      <c r="E320" s="29">
        <v>11</v>
      </c>
      <c r="F320" s="30">
        <v>27.99</v>
      </c>
      <c r="G320" s="29">
        <v>27.99</v>
      </c>
      <c r="H320" s="28" t="s">
        <v>562</v>
      </c>
      <c r="I320" s="27" t="s">
        <v>468</v>
      </c>
      <c r="J320" s="31" t="s">
        <v>71</v>
      </c>
      <c r="K320" s="27" t="s">
        <v>224</v>
      </c>
      <c r="L320" s="27" t="s">
        <v>563</v>
      </c>
      <c r="M320" s="32"/>
    </row>
    <row r="321" spans="1:13" ht="15.2" customHeight="1" x14ac:dyDescent="0.2">
      <c r="A321" s="26" t="s">
        <v>3603</v>
      </c>
      <c r="B321" s="27" t="s">
        <v>3604</v>
      </c>
      <c r="C321" s="28">
        <v>2</v>
      </c>
      <c r="D321" s="29">
        <v>11</v>
      </c>
      <c r="E321" s="29">
        <v>22</v>
      </c>
      <c r="F321" s="30">
        <v>27.99</v>
      </c>
      <c r="G321" s="29">
        <v>55.98</v>
      </c>
      <c r="H321" s="28" t="s">
        <v>562</v>
      </c>
      <c r="I321" s="27" t="s">
        <v>468</v>
      </c>
      <c r="J321" s="31" t="s">
        <v>21</v>
      </c>
      <c r="K321" s="27" t="s">
        <v>224</v>
      </c>
      <c r="L321" s="27" t="s">
        <v>563</v>
      </c>
      <c r="M321" s="32"/>
    </row>
    <row r="322" spans="1:13" ht="15.2" customHeight="1" x14ac:dyDescent="0.2">
      <c r="A322" s="26" t="s">
        <v>1038</v>
      </c>
      <c r="B322" s="27" t="s">
        <v>1039</v>
      </c>
      <c r="C322" s="28">
        <v>1</v>
      </c>
      <c r="D322" s="29">
        <v>11</v>
      </c>
      <c r="E322" s="29">
        <v>11</v>
      </c>
      <c r="F322" s="30">
        <v>27.99</v>
      </c>
      <c r="G322" s="29">
        <v>27.99</v>
      </c>
      <c r="H322" s="28" t="s">
        <v>1035</v>
      </c>
      <c r="I322" s="27" t="s">
        <v>59</v>
      </c>
      <c r="J322" s="31" t="s">
        <v>5</v>
      </c>
      <c r="K322" s="27" t="s">
        <v>224</v>
      </c>
      <c r="L322" s="27" t="s">
        <v>254</v>
      </c>
      <c r="M322" s="32"/>
    </row>
    <row r="323" spans="1:13" ht="15.2" customHeight="1" x14ac:dyDescent="0.2">
      <c r="A323" s="26" t="s">
        <v>3605</v>
      </c>
      <c r="B323" s="27" t="s">
        <v>3606</v>
      </c>
      <c r="C323" s="28">
        <v>2</v>
      </c>
      <c r="D323" s="29">
        <v>11</v>
      </c>
      <c r="E323" s="29">
        <v>22</v>
      </c>
      <c r="F323" s="30">
        <v>27.99</v>
      </c>
      <c r="G323" s="29">
        <v>55.98</v>
      </c>
      <c r="H323" s="28" t="s">
        <v>562</v>
      </c>
      <c r="I323" s="27" t="s">
        <v>285</v>
      </c>
      <c r="J323" s="31" t="s">
        <v>40</v>
      </c>
      <c r="K323" s="27" t="s">
        <v>224</v>
      </c>
      <c r="L323" s="27" t="s">
        <v>563</v>
      </c>
      <c r="M323" s="32"/>
    </row>
    <row r="324" spans="1:13" ht="15.2" customHeight="1" x14ac:dyDescent="0.2">
      <c r="A324" s="26" t="s">
        <v>564</v>
      </c>
      <c r="B324" s="27" t="s">
        <v>565</v>
      </c>
      <c r="C324" s="28">
        <v>1</v>
      </c>
      <c r="D324" s="29">
        <v>10.87</v>
      </c>
      <c r="E324" s="29">
        <v>10.87</v>
      </c>
      <c r="F324" s="30">
        <v>29.5</v>
      </c>
      <c r="G324" s="29">
        <v>29.5</v>
      </c>
      <c r="H324" s="28" t="s">
        <v>566</v>
      </c>
      <c r="I324" s="27" t="s">
        <v>82</v>
      </c>
      <c r="J324" s="31" t="s">
        <v>5</v>
      </c>
      <c r="K324" s="27" t="s">
        <v>41</v>
      </c>
      <c r="L324" s="27" t="s">
        <v>45</v>
      </c>
      <c r="M324" s="32"/>
    </row>
    <row r="325" spans="1:13" ht="15.2" customHeight="1" x14ac:dyDescent="0.2">
      <c r="A325" s="26" t="s">
        <v>3607</v>
      </c>
      <c r="B325" s="27" t="s">
        <v>3608</v>
      </c>
      <c r="C325" s="28">
        <v>1</v>
      </c>
      <c r="D325" s="29">
        <v>10.77</v>
      </c>
      <c r="E325" s="29">
        <v>10.77</v>
      </c>
      <c r="F325" s="30">
        <v>29.5</v>
      </c>
      <c r="G325" s="29">
        <v>29.5</v>
      </c>
      <c r="H325" s="28" t="s">
        <v>3609</v>
      </c>
      <c r="I325" s="27" t="s">
        <v>4</v>
      </c>
      <c r="J325" s="31" t="s">
        <v>5</v>
      </c>
      <c r="K325" s="27" t="s">
        <v>41</v>
      </c>
      <c r="L325" s="27" t="s">
        <v>80</v>
      </c>
      <c r="M325" s="32"/>
    </row>
    <row r="326" spans="1:13" ht="15.2" customHeight="1" x14ac:dyDescent="0.2">
      <c r="A326" s="26" t="s">
        <v>1651</v>
      </c>
      <c r="B326" s="27" t="s">
        <v>1652</v>
      </c>
      <c r="C326" s="28">
        <v>1</v>
      </c>
      <c r="D326" s="29">
        <v>10.77</v>
      </c>
      <c r="E326" s="29">
        <v>10.77</v>
      </c>
      <c r="F326" s="30">
        <v>29.5</v>
      </c>
      <c r="G326" s="29">
        <v>29.5</v>
      </c>
      <c r="H326" s="28" t="s">
        <v>1653</v>
      </c>
      <c r="I326" s="27" t="s">
        <v>10</v>
      </c>
      <c r="J326" s="31" t="s">
        <v>52</v>
      </c>
      <c r="K326" s="27" t="s">
        <v>41</v>
      </c>
      <c r="L326" s="27" t="s">
        <v>45</v>
      </c>
      <c r="M326" s="32"/>
    </row>
    <row r="327" spans="1:13" ht="15.2" customHeight="1" x14ac:dyDescent="0.2">
      <c r="A327" s="26" t="s">
        <v>3610</v>
      </c>
      <c r="B327" s="27" t="s">
        <v>1652</v>
      </c>
      <c r="C327" s="28">
        <v>1</v>
      </c>
      <c r="D327" s="29">
        <v>10.77</v>
      </c>
      <c r="E327" s="29">
        <v>10.77</v>
      </c>
      <c r="F327" s="30">
        <v>29.5</v>
      </c>
      <c r="G327" s="29">
        <v>29.5</v>
      </c>
      <c r="H327" s="28" t="s">
        <v>1653</v>
      </c>
      <c r="I327" s="27" t="s">
        <v>10</v>
      </c>
      <c r="J327" s="31" t="s">
        <v>40</v>
      </c>
      <c r="K327" s="27" t="s">
        <v>41</v>
      </c>
      <c r="L327" s="27" t="s">
        <v>45</v>
      </c>
      <c r="M327" s="32"/>
    </row>
    <row r="328" spans="1:13" ht="15.2" customHeight="1" x14ac:dyDescent="0.2">
      <c r="A328" s="26" t="s">
        <v>3611</v>
      </c>
      <c r="B328" s="27" t="s">
        <v>3608</v>
      </c>
      <c r="C328" s="28">
        <v>1</v>
      </c>
      <c r="D328" s="29">
        <v>10.77</v>
      </c>
      <c r="E328" s="29">
        <v>10.77</v>
      </c>
      <c r="F328" s="30">
        <v>29.5</v>
      </c>
      <c r="G328" s="29">
        <v>29.5</v>
      </c>
      <c r="H328" s="28" t="s">
        <v>3609</v>
      </c>
      <c r="I328" s="27" t="s">
        <v>4</v>
      </c>
      <c r="J328" s="31" t="s">
        <v>71</v>
      </c>
      <c r="K328" s="27" t="s">
        <v>41</v>
      </c>
      <c r="L328" s="27" t="s">
        <v>80</v>
      </c>
      <c r="M328" s="32"/>
    </row>
    <row r="329" spans="1:13" ht="15.2" customHeight="1" x14ac:dyDescent="0.2">
      <c r="A329" s="26" t="s">
        <v>3612</v>
      </c>
      <c r="B329" s="27" t="s">
        <v>3613</v>
      </c>
      <c r="C329" s="28">
        <v>1</v>
      </c>
      <c r="D329" s="29">
        <v>10.5</v>
      </c>
      <c r="E329" s="29">
        <v>10.5</v>
      </c>
      <c r="F329" s="30">
        <v>24.99</v>
      </c>
      <c r="G329" s="29">
        <v>24.99</v>
      </c>
      <c r="H329" s="28" t="s">
        <v>573</v>
      </c>
      <c r="I329" s="27" t="s">
        <v>36</v>
      </c>
      <c r="J329" s="31" t="s">
        <v>40</v>
      </c>
      <c r="K329" s="27" t="s">
        <v>159</v>
      </c>
      <c r="L329" s="27" t="s">
        <v>160</v>
      </c>
      <c r="M329" s="32"/>
    </row>
    <row r="330" spans="1:13" ht="15.2" customHeight="1" x14ac:dyDescent="0.2">
      <c r="A330" s="26" t="s">
        <v>3614</v>
      </c>
      <c r="B330" s="27" t="s">
        <v>3615</v>
      </c>
      <c r="C330" s="28">
        <v>1</v>
      </c>
      <c r="D330" s="29">
        <v>10.5</v>
      </c>
      <c r="E330" s="29">
        <v>10.5</v>
      </c>
      <c r="F330" s="30">
        <v>24.99</v>
      </c>
      <c r="G330" s="29">
        <v>24.99</v>
      </c>
      <c r="H330" s="28" t="s">
        <v>1043</v>
      </c>
      <c r="I330" s="27" t="s">
        <v>343</v>
      </c>
      <c r="J330" s="31" t="s">
        <v>40</v>
      </c>
      <c r="K330" s="27" t="s">
        <v>224</v>
      </c>
      <c r="L330" s="27" t="s">
        <v>239</v>
      </c>
      <c r="M330" s="32"/>
    </row>
    <row r="331" spans="1:13" ht="15.2" customHeight="1" x14ac:dyDescent="0.2">
      <c r="A331" s="26" t="s">
        <v>2771</v>
      </c>
      <c r="B331" s="27" t="s">
        <v>2772</v>
      </c>
      <c r="C331" s="28">
        <v>1</v>
      </c>
      <c r="D331" s="29">
        <v>10</v>
      </c>
      <c r="E331" s="29">
        <v>10</v>
      </c>
      <c r="F331" s="30">
        <v>24.99</v>
      </c>
      <c r="G331" s="29">
        <v>24.99</v>
      </c>
      <c r="H331" s="28" t="s">
        <v>2499</v>
      </c>
      <c r="I331" s="27" t="s">
        <v>271</v>
      </c>
      <c r="J331" s="31" t="s">
        <v>21</v>
      </c>
      <c r="K331" s="27" t="s">
        <v>224</v>
      </c>
      <c r="L331" s="27" t="s">
        <v>197</v>
      </c>
      <c r="M331" s="32"/>
    </row>
    <row r="332" spans="1:13" ht="15.2" customHeight="1" x14ac:dyDescent="0.2">
      <c r="A332" s="26" t="s">
        <v>3616</v>
      </c>
      <c r="B332" s="27" t="s">
        <v>3617</v>
      </c>
      <c r="C332" s="28">
        <v>1</v>
      </c>
      <c r="D332" s="29">
        <v>10</v>
      </c>
      <c r="E332" s="29">
        <v>10</v>
      </c>
      <c r="F332" s="30">
        <v>24.99</v>
      </c>
      <c r="G332" s="29">
        <v>24.99</v>
      </c>
      <c r="H332" s="28">
        <v>57482</v>
      </c>
      <c r="I332" s="27"/>
      <c r="J332" s="31" t="s">
        <v>40</v>
      </c>
      <c r="K332" s="27" t="s">
        <v>224</v>
      </c>
      <c r="L332" s="27" t="s">
        <v>254</v>
      </c>
      <c r="M332" s="32"/>
    </row>
    <row r="333" spans="1:13" ht="15.2" customHeight="1" x14ac:dyDescent="0.2">
      <c r="A333" s="26" t="s">
        <v>2493</v>
      </c>
      <c r="B333" s="27" t="s">
        <v>2494</v>
      </c>
      <c r="C333" s="28">
        <v>3</v>
      </c>
      <c r="D333" s="29">
        <v>10</v>
      </c>
      <c r="E333" s="29">
        <v>30</v>
      </c>
      <c r="F333" s="30">
        <v>24.99</v>
      </c>
      <c r="G333" s="29">
        <v>74.97</v>
      </c>
      <c r="H333" s="28" t="s">
        <v>2495</v>
      </c>
      <c r="I333" s="27" t="s">
        <v>2496</v>
      </c>
      <c r="J333" s="31" t="s">
        <v>21</v>
      </c>
      <c r="K333" s="27" t="s">
        <v>196</v>
      </c>
      <c r="L333" s="27" t="s">
        <v>336</v>
      </c>
      <c r="M333" s="32"/>
    </row>
    <row r="334" spans="1:13" ht="15.2" customHeight="1" x14ac:dyDescent="0.2">
      <c r="A334" s="26" t="s">
        <v>3081</v>
      </c>
      <c r="B334" s="27" t="s">
        <v>3082</v>
      </c>
      <c r="C334" s="28">
        <v>1</v>
      </c>
      <c r="D334" s="29">
        <v>10</v>
      </c>
      <c r="E334" s="29">
        <v>10</v>
      </c>
      <c r="F334" s="30">
        <v>24.99</v>
      </c>
      <c r="G334" s="29">
        <v>24.99</v>
      </c>
      <c r="H334" s="28" t="s">
        <v>2499</v>
      </c>
      <c r="I334" s="27" t="s">
        <v>146</v>
      </c>
      <c r="J334" s="31" t="s">
        <v>40</v>
      </c>
      <c r="K334" s="27" t="s">
        <v>224</v>
      </c>
      <c r="L334" s="27" t="s">
        <v>197</v>
      </c>
      <c r="M334" s="32"/>
    </row>
    <row r="335" spans="1:13" ht="15.2" customHeight="1" x14ac:dyDescent="0.2">
      <c r="A335" s="26" t="s">
        <v>3618</v>
      </c>
      <c r="B335" s="27" t="s">
        <v>3619</v>
      </c>
      <c r="C335" s="28">
        <v>1</v>
      </c>
      <c r="D335" s="29">
        <v>9.8000000000000007</v>
      </c>
      <c r="E335" s="29">
        <v>9.8000000000000007</v>
      </c>
      <c r="F335" s="30">
        <v>19.989999999999998</v>
      </c>
      <c r="G335" s="29">
        <v>19.989999999999998</v>
      </c>
      <c r="H335" s="28" t="s">
        <v>1054</v>
      </c>
      <c r="I335" s="27" t="s">
        <v>374</v>
      </c>
      <c r="J335" s="31" t="s">
        <v>40</v>
      </c>
      <c r="K335" s="27" t="s">
        <v>196</v>
      </c>
      <c r="L335" s="27" t="s">
        <v>225</v>
      </c>
      <c r="M335" s="32"/>
    </row>
    <row r="336" spans="1:13" ht="15.2" customHeight="1" x14ac:dyDescent="0.2">
      <c r="A336" s="26" t="s">
        <v>3620</v>
      </c>
      <c r="B336" s="27" t="s">
        <v>3621</v>
      </c>
      <c r="C336" s="28">
        <v>2</v>
      </c>
      <c r="D336" s="29">
        <v>9.8000000000000007</v>
      </c>
      <c r="E336" s="29">
        <v>19.600000000000001</v>
      </c>
      <c r="F336" s="30">
        <v>19.989999999999998</v>
      </c>
      <c r="G336" s="29">
        <v>39.979999999999997</v>
      </c>
      <c r="H336" s="28" t="s">
        <v>1051</v>
      </c>
      <c r="I336" s="27" t="s">
        <v>189</v>
      </c>
      <c r="J336" s="31" t="s">
        <v>40</v>
      </c>
      <c r="K336" s="27" t="s">
        <v>196</v>
      </c>
      <c r="L336" s="27" t="s">
        <v>225</v>
      </c>
      <c r="M336" s="32"/>
    </row>
    <row r="337" spans="1:13" ht="15.2" customHeight="1" x14ac:dyDescent="0.2">
      <c r="A337" s="26" t="s">
        <v>1049</v>
      </c>
      <c r="B337" s="27" t="s">
        <v>1050</v>
      </c>
      <c r="C337" s="28">
        <v>1</v>
      </c>
      <c r="D337" s="29">
        <v>9.8000000000000007</v>
      </c>
      <c r="E337" s="29">
        <v>9.8000000000000007</v>
      </c>
      <c r="F337" s="30">
        <v>19.989999999999998</v>
      </c>
      <c r="G337" s="29">
        <v>19.989999999999998</v>
      </c>
      <c r="H337" s="28" t="s">
        <v>1051</v>
      </c>
      <c r="I337" s="27" t="s">
        <v>189</v>
      </c>
      <c r="J337" s="31" t="s">
        <v>21</v>
      </c>
      <c r="K337" s="27" t="s">
        <v>196</v>
      </c>
      <c r="L337" s="27" t="s">
        <v>225</v>
      </c>
      <c r="M337" s="32"/>
    </row>
    <row r="338" spans="1:13" ht="15.2" customHeight="1" x14ac:dyDescent="0.2">
      <c r="A338" s="26" t="s">
        <v>3622</v>
      </c>
      <c r="B338" s="27" t="s">
        <v>3623</v>
      </c>
      <c r="C338" s="28">
        <v>1</v>
      </c>
      <c r="D338" s="29">
        <v>9.8000000000000007</v>
      </c>
      <c r="E338" s="29">
        <v>9.8000000000000007</v>
      </c>
      <c r="F338" s="30">
        <v>19.989999999999998</v>
      </c>
      <c r="G338" s="29">
        <v>19.989999999999998</v>
      </c>
      <c r="H338" s="28" t="s">
        <v>3624</v>
      </c>
      <c r="I338" s="27" t="s">
        <v>29</v>
      </c>
      <c r="J338" s="31" t="s">
        <v>40</v>
      </c>
      <c r="K338" s="27" t="s">
        <v>196</v>
      </c>
      <c r="L338" s="27" t="s">
        <v>225</v>
      </c>
      <c r="M338" s="32"/>
    </row>
    <row r="339" spans="1:13" ht="15.2" customHeight="1" x14ac:dyDescent="0.2">
      <c r="A339" s="26" t="s">
        <v>3625</v>
      </c>
      <c r="B339" s="27" t="s">
        <v>3626</v>
      </c>
      <c r="C339" s="28">
        <v>1</v>
      </c>
      <c r="D339" s="29">
        <v>9.8000000000000007</v>
      </c>
      <c r="E339" s="29">
        <v>9.8000000000000007</v>
      </c>
      <c r="F339" s="30">
        <v>19.989999999999998</v>
      </c>
      <c r="G339" s="29">
        <v>19.989999999999998</v>
      </c>
      <c r="H339" s="28" t="s">
        <v>1657</v>
      </c>
      <c r="I339" s="27" t="s">
        <v>59</v>
      </c>
      <c r="J339" s="31" t="s">
        <v>21</v>
      </c>
      <c r="K339" s="27" t="s">
        <v>196</v>
      </c>
      <c r="L339" s="27" t="s">
        <v>225</v>
      </c>
      <c r="M339" s="32"/>
    </row>
    <row r="340" spans="1:13" ht="15.2" customHeight="1" x14ac:dyDescent="0.2">
      <c r="A340" s="26" t="s">
        <v>3627</v>
      </c>
      <c r="B340" s="27" t="s">
        <v>3628</v>
      </c>
      <c r="C340" s="28">
        <v>2</v>
      </c>
      <c r="D340" s="29">
        <v>9.8000000000000007</v>
      </c>
      <c r="E340" s="29">
        <v>19.600000000000001</v>
      </c>
      <c r="F340" s="30">
        <v>19.989999999999998</v>
      </c>
      <c r="G340" s="29">
        <v>39.979999999999997</v>
      </c>
      <c r="H340" s="28" t="s">
        <v>1051</v>
      </c>
      <c r="I340" s="27" t="s">
        <v>189</v>
      </c>
      <c r="J340" s="31" t="s">
        <v>71</v>
      </c>
      <c r="K340" s="27" t="s">
        <v>196</v>
      </c>
      <c r="L340" s="27" t="s">
        <v>225</v>
      </c>
      <c r="M340" s="32"/>
    </row>
    <row r="341" spans="1:13" ht="15.2" customHeight="1" x14ac:dyDescent="0.2">
      <c r="A341" s="26" t="s">
        <v>1052</v>
      </c>
      <c r="B341" s="27" t="s">
        <v>1053</v>
      </c>
      <c r="C341" s="28">
        <v>3</v>
      </c>
      <c r="D341" s="29">
        <v>9.8000000000000007</v>
      </c>
      <c r="E341" s="29">
        <v>29.4</v>
      </c>
      <c r="F341" s="30">
        <v>19.989999999999998</v>
      </c>
      <c r="G341" s="29">
        <v>59.97</v>
      </c>
      <c r="H341" s="28" t="s">
        <v>1054</v>
      </c>
      <c r="I341" s="27" t="s">
        <v>374</v>
      </c>
      <c r="J341" s="31" t="s">
        <v>21</v>
      </c>
      <c r="K341" s="27" t="s">
        <v>196</v>
      </c>
      <c r="L341" s="27" t="s">
        <v>225</v>
      </c>
      <c r="M341" s="32"/>
    </row>
    <row r="342" spans="1:13" ht="15.2" customHeight="1" x14ac:dyDescent="0.2">
      <c r="A342" s="26" t="s">
        <v>3629</v>
      </c>
      <c r="B342" s="27" t="s">
        <v>3630</v>
      </c>
      <c r="C342" s="28">
        <v>1</v>
      </c>
      <c r="D342" s="29">
        <v>9.25</v>
      </c>
      <c r="E342" s="29">
        <v>9.25</v>
      </c>
      <c r="F342" s="30">
        <v>22.99</v>
      </c>
      <c r="G342" s="29">
        <v>22.99</v>
      </c>
      <c r="H342" s="28" t="s">
        <v>2034</v>
      </c>
      <c r="I342" s="27" t="s">
        <v>22</v>
      </c>
      <c r="J342" s="31" t="s">
        <v>21</v>
      </c>
      <c r="K342" s="27" t="s">
        <v>70</v>
      </c>
      <c r="L342" s="27" t="s">
        <v>260</v>
      </c>
      <c r="M342" s="32"/>
    </row>
    <row r="343" spans="1:13" ht="15.2" customHeight="1" x14ac:dyDescent="0.2">
      <c r="A343" s="26" t="s">
        <v>3631</v>
      </c>
      <c r="B343" s="27" t="s">
        <v>3632</v>
      </c>
      <c r="C343" s="28">
        <v>1</v>
      </c>
      <c r="D343" s="29">
        <v>9.25</v>
      </c>
      <c r="E343" s="29">
        <v>9.25</v>
      </c>
      <c r="F343" s="30">
        <v>22.99</v>
      </c>
      <c r="G343" s="29">
        <v>22.99</v>
      </c>
      <c r="H343" s="28" t="s">
        <v>2034</v>
      </c>
      <c r="I343" s="27" t="s">
        <v>4</v>
      </c>
      <c r="J343" s="31" t="s">
        <v>5</v>
      </c>
      <c r="K343" s="27" t="s">
        <v>70</v>
      </c>
      <c r="L343" s="27" t="s">
        <v>260</v>
      </c>
      <c r="M343" s="32"/>
    </row>
    <row r="344" spans="1:13" ht="15.2" customHeight="1" x14ac:dyDescent="0.2">
      <c r="A344" s="26" t="s">
        <v>3633</v>
      </c>
      <c r="B344" s="27" t="s">
        <v>3634</v>
      </c>
      <c r="C344" s="28">
        <v>1</v>
      </c>
      <c r="D344" s="29">
        <v>9.25</v>
      </c>
      <c r="E344" s="29">
        <v>9.25</v>
      </c>
      <c r="F344" s="30">
        <v>22.99</v>
      </c>
      <c r="G344" s="29">
        <v>22.99</v>
      </c>
      <c r="H344" s="28" t="s">
        <v>2034</v>
      </c>
      <c r="I344" s="27" t="s">
        <v>4</v>
      </c>
      <c r="J344" s="31" t="s">
        <v>65</v>
      </c>
      <c r="K344" s="27" t="s">
        <v>70</v>
      </c>
      <c r="L344" s="27" t="s">
        <v>260</v>
      </c>
      <c r="M344" s="32"/>
    </row>
    <row r="345" spans="1:13" ht="15.2" customHeight="1" x14ac:dyDescent="0.2">
      <c r="A345" s="26" t="s">
        <v>3635</v>
      </c>
      <c r="B345" s="27" t="s">
        <v>3636</v>
      </c>
      <c r="C345" s="28">
        <v>1</v>
      </c>
      <c r="D345" s="29">
        <v>9.24</v>
      </c>
      <c r="E345" s="29">
        <v>9.24</v>
      </c>
      <c r="F345" s="30">
        <v>21.99</v>
      </c>
      <c r="G345" s="29">
        <v>21.99</v>
      </c>
      <c r="H345" s="28" t="s">
        <v>3637</v>
      </c>
      <c r="I345" s="27" t="s">
        <v>4</v>
      </c>
      <c r="J345" s="31" t="s">
        <v>5</v>
      </c>
      <c r="K345" s="27" t="s">
        <v>159</v>
      </c>
      <c r="L345" s="27" t="s">
        <v>160</v>
      </c>
      <c r="M345" s="32"/>
    </row>
    <row r="346" spans="1:13" ht="15.2" customHeight="1" x14ac:dyDescent="0.2">
      <c r="A346" s="26" t="s">
        <v>3638</v>
      </c>
      <c r="B346" s="27" t="s">
        <v>3639</v>
      </c>
      <c r="C346" s="28">
        <v>1</v>
      </c>
      <c r="D346" s="29">
        <v>9.24</v>
      </c>
      <c r="E346" s="29">
        <v>9.24</v>
      </c>
      <c r="F346" s="30">
        <v>21.99</v>
      </c>
      <c r="G346" s="29">
        <v>21.99</v>
      </c>
      <c r="H346" s="28" t="s">
        <v>3640</v>
      </c>
      <c r="I346" s="27" t="s">
        <v>4</v>
      </c>
      <c r="J346" s="31" t="s">
        <v>5</v>
      </c>
      <c r="K346" s="27" t="s">
        <v>159</v>
      </c>
      <c r="L346" s="27" t="s">
        <v>160</v>
      </c>
      <c r="M346" s="32"/>
    </row>
    <row r="347" spans="1:13" ht="15.2" customHeight="1" x14ac:dyDescent="0.2">
      <c r="A347" s="26" t="s">
        <v>2782</v>
      </c>
      <c r="B347" s="27" t="s">
        <v>2510</v>
      </c>
      <c r="C347" s="28">
        <v>1</v>
      </c>
      <c r="D347" s="29">
        <v>9.2200000000000006</v>
      </c>
      <c r="E347" s="29">
        <v>9.2200000000000006</v>
      </c>
      <c r="F347" s="30">
        <v>21.99</v>
      </c>
      <c r="G347" s="29">
        <v>21.99</v>
      </c>
      <c r="H347" s="28" t="s">
        <v>2511</v>
      </c>
      <c r="I347" s="27" t="s">
        <v>36</v>
      </c>
      <c r="J347" s="31" t="s">
        <v>52</v>
      </c>
      <c r="K347" s="27" t="s">
        <v>159</v>
      </c>
      <c r="L347" s="27" t="s">
        <v>160</v>
      </c>
      <c r="M347" s="32"/>
    </row>
    <row r="348" spans="1:13" ht="15.2" customHeight="1" x14ac:dyDescent="0.2">
      <c r="A348" s="26" t="s">
        <v>2044</v>
      </c>
      <c r="B348" s="27" t="s">
        <v>2045</v>
      </c>
      <c r="C348" s="28">
        <v>1</v>
      </c>
      <c r="D348" s="29">
        <v>9.2200000000000006</v>
      </c>
      <c r="E348" s="29">
        <v>9.2200000000000006</v>
      </c>
      <c r="F348" s="30">
        <v>21.99</v>
      </c>
      <c r="G348" s="29">
        <v>21.99</v>
      </c>
      <c r="H348" s="28" t="s">
        <v>2046</v>
      </c>
      <c r="I348" s="27" t="s">
        <v>4</v>
      </c>
      <c r="J348" s="31" t="s">
        <v>5</v>
      </c>
      <c r="K348" s="27" t="s">
        <v>159</v>
      </c>
      <c r="L348" s="27" t="s">
        <v>160</v>
      </c>
      <c r="M348" s="32"/>
    </row>
    <row r="349" spans="1:13" ht="15.2" customHeight="1" x14ac:dyDescent="0.2">
      <c r="A349" s="26" t="s">
        <v>3641</v>
      </c>
      <c r="B349" s="27" t="s">
        <v>2045</v>
      </c>
      <c r="C349" s="28">
        <v>1</v>
      </c>
      <c r="D349" s="29">
        <v>9.2200000000000006</v>
      </c>
      <c r="E349" s="29">
        <v>9.2200000000000006</v>
      </c>
      <c r="F349" s="30">
        <v>21.99</v>
      </c>
      <c r="G349" s="29">
        <v>21.99</v>
      </c>
      <c r="H349" s="28" t="s">
        <v>2046</v>
      </c>
      <c r="I349" s="27" t="s">
        <v>4</v>
      </c>
      <c r="J349" s="31" t="s">
        <v>40</v>
      </c>
      <c r="K349" s="27" t="s">
        <v>159</v>
      </c>
      <c r="L349" s="27" t="s">
        <v>160</v>
      </c>
      <c r="M349" s="32"/>
    </row>
    <row r="350" spans="1:13" ht="15.2" customHeight="1" x14ac:dyDescent="0.2">
      <c r="A350" s="26" t="s">
        <v>2509</v>
      </c>
      <c r="B350" s="27" t="s">
        <v>2510</v>
      </c>
      <c r="C350" s="28">
        <v>1</v>
      </c>
      <c r="D350" s="29">
        <v>9.2200000000000006</v>
      </c>
      <c r="E350" s="29">
        <v>9.2200000000000006</v>
      </c>
      <c r="F350" s="30">
        <v>21.99</v>
      </c>
      <c r="G350" s="29">
        <v>21.99</v>
      </c>
      <c r="H350" s="28" t="s">
        <v>2511</v>
      </c>
      <c r="I350" s="27" t="s">
        <v>36</v>
      </c>
      <c r="J350" s="31" t="s">
        <v>5</v>
      </c>
      <c r="K350" s="27" t="s">
        <v>159</v>
      </c>
      <c r="L350" s="27" t="s">
        <v>160</v>
      </c>
      <c r="M350" s="32"/>
    </row>
    <row r="351" spans="1:13" ht="15.2" customHeight="1" x14ac:dyDescent="0.2">
      <c r="A351" s="26" t="s">
        <v>3642</v>
      </c>
      <c r="B351" s="27" t="s">
        <v>1676</v>
      </c>
      <c r="C351" s="28">
        <v>1</v>
      </c>
      <c r="D351" s="29">
        <v>9.1999999999999993</v>
      </c>
      <c r="E351" s="29">
        <v>9.1999999999999993</v>
      </c>
      <c r="F351" s="30">
        <v>21.99</v>
      </c>
      <c r="G351" s="29">
        <v>21.99</v>
      </c>
      <c r="H351" s="28" t="s">
        <v>1677</v>
      </c>
      <c r="I351" s="27" t="s">
        <v>4</v>
      </c>
      <c r="J351" s="31" t="s">
        <v>52</v>
      </c>
      <c r="K351" s="27" t="s">
        <v>159</v>
      </c>
      <c r="L351" s="27" t="s">
        <v>160</v>
      </c>
      <c r="M351" s="32"/>
    </row>
    <row r="352" spans="1:13" ht="15.2" customHeight="1" x14ac:dyDescent="0.2">
      <c r="A352" s="26" t="s">
        <v>2785</v>
      </c>
      <c r="B352" s="27" t="s">
        <v>1676</v>
      </c>
      <c r="C352" s="28">
        <v>1</v>
      </c>
      <c r="D352" s="29">
        <v>9.1999999999999993</v>
      </c>
      <c r="E352" s="29">
        <v>9.1999999999999993</v>
      </c>
      <c r="F352" s="30">
        <v>21.99</v>
      </c>
      <c r="G352" s="29">
        <v>21.99</v>
      </c>
      <c r="H352" s="28" t="s">
        <v>1677</v>
      </c>
      <c r="I352" s="27" t="s">
        <v>4</v>
      </c>
      <c r="J352" s="31" t="s">
        <v>5</v>
      </c>
      <c r="K352" s="27" t="s">
        <v>159</v>
      </c>
      <c r="L352" s="27" t="s">
        <v>160</v>
      </c>
      <c r="M352" s="32"/>
    </row>
    <row r="353" spans="1:13" ht="15.2" customHeight="1" x14ac:dyDescent="0.2">
      <c r="A353" s="26" t="s">
        <v>3643</v>
      </c>
      <c r="B353" s="27" t="s">
        <v>2048</v>
      </c>
      <c r="C353" s="28">
        <v>1</v>
      </c>
      <c r="D353" s="29">
        <v>9.19</v>
      </c>
      <c r="E353" s="29">
        <v>9.19</v>
      </c>
      <c r="F353" s="30">
        <v>21.99</v>
      </c>
      <c r="G353" s="29">
        <v>21.99</v>
      </c>
      <c r="H353" s="28" t="s">
        <v>2049</v>
      </c>
      <c r="I353" s="27" t="s">
        <v>36</v>
      </c>
      <c r="J353" s="31" t="s">
        <v>52</v>
      </c>
      <c r="K353" s="27" t="s">
        <v>159</v>
      </c>
      <c r="L353" s="27" t="s">
        <v>160</v>
      </c>
      <c r="M353" s="32"/>
    </row>
    <row r="354" spans="1:13" ht="15.2" customHeight="1" x14ac:dyDescent="0.2">
      <c r="A354" s="26" t="s">
        <v>3644</v>
      </c>
      <c r="B354" s="27" t="s">
        <v>1062</v>
      </c>
      <c r="C354" s="28">
        <v>1</v>
      </c>
      <c r="D354" s="29">
        <v>8.94</v>
      </c>
      <c r="E354" s="29">
        <v>8.94</v>
      </c>
      <c r="F354" s="30">
        <v>24.5</v>
      </c>
      <c r="G354" s="29">
        <v>24.5</v>
      </c>
      <c r="H354" s="28" t="s">
        <v>1063</v>
      </c>
      <c r="I354" s="27" t="s">
        <v>746</v>
      </c>
      <c r="J354" s="31" t="s">
        <v>5</v>
      </c>
      <c r="K354" s="27" t="s">
        <v>41</v>
      </c>
      <c r="L354" s="27" t="s">
        <v>45</v>
      </c>
      <c r="M354" s="32"/>
    </row>
    <row r="355" spans="1:13" ht="15.2" customHeight="1" x14ac:dyDescent="0.2">
      <c r="A355" s="26" t="s">
        <v>3645</v>
      </c>
      <c r="B355" s="27" t="s">
        <v>3646</v>
      </c>
      <c r="C355" s="28">
        <v>1</v>
      </c>
      <c r="D355" s="29">
        <v>8</v>
      </c>
      <c r="E355" s="29">
        <v>8</v>
      </c>
      <c r="F355" s="30">
        <v>19.989999999999998</v>
      </c>
      <c r="G355" s="29">
        <v>19.989999999999998</v>
      </c>
      <c r="H355" s="28" t="s">
        <v>3647</v>
      </c>
      <c r="I355" s="27" t="s">
        <v>265</v>
      </c>
      <c r="J355" s="31" t="s">
        <v>40</v>
      </c>
      <c r="K355" s="27" t="s">
        <v>282</v>
      </c>
      <c r="L355" s="27" t="s">
        <v>358</v>
      </c>
      <c r="M355" s="32"/>
    </row>
    <row r="356" spans="1:13" ht="15.2" customHeight="1" x14ac:dyDescent="0.2">
      <c r="A356" s="26" t="s">
        <v>3648</v>
      </c>
      <c r="B356" s="27" t="s">
        <v>3649</v>
      </c>
      <c r="C356" s="28">
        <v>1</v>
      </c>
      <c r="D356" s="29">
        <v>8</v>
      </c>
      <c r="E356" s="29">
        <v>8</v>
      </c>
      <c r="F356" s="30">
        <v>19.989999999999998</v>
      </c>
      <c r="G356" s="29">
        <v>19.989999999999998</v>
      </c>
      <c r="H356" s="28" t="s">
        <v>3647</v>
      </c>
      <c r="I356" s="27" t="s">
        <v>265</v>
      </c>
      <c r="J356" s="31" t="s">
        <v>21</v>
      </c>
      <c r="K356" s="27" t="s">
        <v>282</v>
      </c>
      <c r="L356" s="27" t="s">
        <v>358</v>
      </c>
      <c r="M356" s="32"/>
    </row>
    <row r="357" spans="1:13" ht="15.2" customHeight="1" x14ac:dyDescent="0.2">
      <c r="A357" s="26" t="s">
        <v>3650</v>
      </c>
      <c r="B357" s="27" t="s">
        <v>3651</v>
      </c>
      <c r="C357" s="28">
        <v>1</v>
      </c>
      <c r="D357" s="29">
        <v>7.95</v>
      </c>
      <c r="E357" s="29">
        <v>7.95</v>
      </c>
      <c r="F357" s="30">
        <v>19.989999999999998</v>
      </c>
      <c r="G357" s="29">
        <v>19.989999999999998</v>
      </c>
      <c r="H357" s="28" t="s">
        <v>590</v>
      </c>
      <c r="I357" s="27" t="s">
        <v>22</v>
      </c>
      <c r="J357" s="31" t="s">
        <v>5</v>
      </c>
      <c r="K357" s="27" t="s">
        <v>196</v>
      </c>
      <c r="L357" s="27" t="s">
        <v>256</v>
      </c>
      <c r="M357" s="32"/>
    </row>
    <row r="358" spans="1:13" ht="15.2" customHeight="1" x14ac:dyDescent="0.2">
      <c r="A358" s="26" t="s">
        <v>3652</v>
      </c>
      <c r="B358" s="27" t="s">
        <v>3653</v>
      </c>
      <c r="C358" s="28">
        <v>1</v>
      </c>
      <c r="D358" s="29">
        <v>7.95</v>
      </c>
      <c r="E358" s="29">
        <v>7.95</v>
      </c>
      <c r="F358" s="30">
        <v>19.989999999999998</v>
      </c>
      <c r="G358" s="29">
        <v>19.989999999999998</v>
      </c>
      <c r="H358" s="28" t="s">
        <v>590</v>
      </c>
      <c r="I358" s="27" t="s">
        <v>189</v>
      </c>
      <c r="J358" s="31" t="s">
        <v>5</v>
      </c>
      <c r="K358" s="27" t="s">
        <v>196</v>
      </c>
      <c r="L358" s="27" t="s">
        <v>256</v>
      </c>
      <c r="M358" s="32"/>
    </row>
    <row r="359" spans="1:13" ht="15.2" customHeight="1" x14ac:dyDescent="0.2">
      <c r="A359" s="26" t="s">
        <v>1066</v>
      </c>
      <c r="B359" s="27" t="s">
        <v>1067</v>
      </c>
      <c r="C359" s="28">
        <v>1</v>
      </c>
      <c r="D359" s="29">
        <v>7.12</v>
      </c>
      <c r="E359" s="29">
        <v>7.12</v>
      </c>
      <c r="F359" s="30">
        <v>19.5</v>
      </c>
      <c r="G359" s="29">
        <v>19.5</v>
      </c>
      <c r="H359" s="28" t="s">
        <v>1068</v>
      </c>
      <c r="I359" s="27" t="s">
        <v>26</v>
      </c>
      <c r="J359" s="31" t="s">
        <v>21</v>
      </c>
      <c r="K359" s="27" t="s">
        <v>41</v>
      </c>
      <c r="L359" s="27" t="s">
        <v>45</v>
      </c>
      <c r="M359" s="32"/>
    </row>
    <row r="360" spans="1:13" ht="15.2" customHeight="1" x14ac:dyDescent="0.2">
      <c r="A360" s="26" t="s">
        <v>2062</v>
      </c>
      <c r="B360" s="27" t="s">
        <v>1067</v>
      </c>
      <c r="C360" s="28">
        <v>1</v>
      </c>
      <c r="D360" s="29">
        <v>7.12</v>
      </c>
      <c r="E360" s="29">
        <v>7.12</v>
      </c>
      <c r="F360" s="30">
        <v>19.5</v>
      </c>
      <c r="G360" s="29">
        <v>19.5</v>
      </c>
      <c r="H360" s="28" t="s">
        <v>1068</v>
      </c>
      <c r="I360" s="27" t="s">
        <v>26</v>
      </c>
      <c r="J360" s="31" t="s">
        <v>71</v>
      </c>
      <c r="K360" s="27" t="s">
        <v>41</v>
      </c>
      <c r="L360" s="27" t="s">
        <v>45</v>
      </c>
      <c r="M360" s="32"/>
    </row>
    <row r="361" spans="1:13" ht="15.2" customHeight="1" x14ac:dyDescent="0.2">
      <c r="A361" s="26" t="s">
        <v>3654</v>
      </c>
      <c r="B361" s="27" t="s">
        <v>1067</v>
      </c>
      <c r="C361" s="28">
        <v>1</v>
      </c>
      <c r="D361" s="29">
        <v>7.12</v>
      </c>
      <c r="E361" s="29">
        <v>7.12</v>
      </c>
      <c r="F361" s="30">
        <v>19.5</v>
      </c>
      <c r="G361" s="29">
        <v>19.5</v>
      </c>
      <c r="H361" s="28" t="s">
        <v>1068</v>
      </c>
      <c r="I361" s="27" t="s">
        <v>26</v>
      </c>
      <c r="J361" s="31" t="s">
        <v>40</v>
      </c>
      <c r="K361" s="27" t="s">
        <v>41</v>
      </c>
      <c r="L361" s="27" t="s">
        <v>45</v>
      </c>
      <c r="M361" s="32"/>
    </row>
    <row r="362" spans="1:13" ht="15.2" customHeight="1" x14ac:dyDescent="0.2">
      <c r="A362" s="26" t="s">
        <v>3655</v>
      </c>
      <c r="B362" s="27" t="s">
        <v>3656</v>
      </c>
      <c r="C362" s="28">
        <v>1</v>
      </c>
      <c r="D362" s="29">
        <v>7</v>
      </c>
      <c r="E362" s="29">
        <v>7</v>
      </c>
      <c r="F362" s="30">
        <v>16.989999999999998</v>
      </c>
      <c r="G362" s="29">
        <v>16.989999999999998</v>
      </c>
      <c r="H362" s="28" t="s">
        <v>1693</v>
      </c>
      <c r="I362" s="27" t="s">
        <v>144</v>
      </c>
      <c r="J362" s="31" t="s">
        <v>40</v>
      </c>
      <c r="K362" s="27" t="s">
        <v>224</v>
      </c>
      <c r="L362" s="27" t="s">
        <v>197</v>
      </c>
      <c r="M362" s="32"/>
    </row>
    <row r="363" spans="1:13" ht="15.2" customHeight="1" x14ac:dyDescent="0.2">
      <c r="A363" s="26" t="s">
        <v>3657</v>
      </c>
      <c r="B363" s="27" t="s">
        <v>3658</v>
      </c>
      <c r="C363" s="28">
        <v>3</v>
      </c>
      <c r="D363" s="29">
        <v>7</v>
      </c>
      <c r="E363" s="29">
        <v>21</v>
      </c>
      <c r="F363" s="30">
        <v>16.989999999999998</v>
      </c>
      <c r="G363" s="29">
        <v>50.97</v>
      </c>
      <c r="H363" s="28" t="s">
        <v>1693</v>
      </c>
      <c r="I363" s="27"/>
      <c r="J363" s="31" t="s">
        <v>5</v>
      </c>
      <c r="K363" s="27" t="s">
        <v>224</v>
      </c>
      <c r="L363" s="27" t="s">
        <v>197</v>
      </c>
      <c r="M363" s="32"/>
    </row>
    <row r="364" spans="1:13" ht="15.2" customHeight="1" x14ac:dyDescent="0.2">
      <c r="A364" s="26" t="s">
        <v>3659</v>
      </c>
      <c r="B364" s="27" t="s">
        <v>3660</v>
      </c>
      <c r="C364" s="28">
        <v>2</v>
      </c>
      <c r="D364" s="29">
        <v>7</v>
      </c>
      <c r="E364" s="29">
        <v>14</v>
      </c>
      <c r="F364" s="30">
        <v>16.989999999999998</v>
      </c>
      <c r="G364" s="29">
        <v>33.979999999999997</v>
      </c>
      <c r="H364" s="28" t="s">
        <v>1693</v>
      </c>
      <c r="I364" s="27" t="s">
        <v>144</v>
      </c>
      <c r="J364" s="31" t="s">
        <v>21</v>
      </c>
      <c r="K364" s="27" t="s">
        <v>224</v>
      </c>
      <c r="L364" s="27" t="s">
        <v>197</v>
      </c>
      <c r="M364" s="32"/>
    </row>
    <row r="365" spans="1:13" ht="15.2" customHeight="1" x14ac:dyDescent="0.2">
      <c r="A365" s="26" t="s">
        <v>3661</v>
      </c>
      <c r="B365" s="27" t="s">
        <v>3662</v>
      </c>
      <c r="C365" s="28">
        <v>1</v>
      </c>
      <c r="D365" s="29">
        <v>7</v>
      </c>
      <c r="E365" s="29">
        <v>7</v>
      </c>
      <c r="F365" s="30">
        <v>16.989999999999998</v>
      </c>
      <c r="G365" s="29">
        <v>16.989999999999998</v>
      </c>
      <c r="H365" s="28" t="s">
        <v>1693</v>
      </c>
      <c r="I365" s="27"/>
      <c r="J365" s="31" t="s">
        <v>40</v>
      </c>
      <c r="K365" s="27" t="s">
        <v>224</v>
      </c>
      <c r="L365" s="27" t="s">
        <v>197</v>
      </c>
      <c r="M365" s="32"/>
    </row>
    <row r="366" spans="1:13" ht="15.2" customHeight="1" x14ac:dyDescent="0.2">
      <c r="A366" s="26" t="s">
        <v>3663</v>
      </c>
      <c r="B366" s="27" t="s">
        <v>3664</v>
      </c>
      <c r="C366" s="28">
        <v>2</v>
      </c>
      <c r="D366" s="29">
        <v>7</v>
      </c>
      <c r="E366" s="29">
        <v>14</v>
      </c>
      <c r="F366" s="30">
        <v>16.989999999999998</v>
      </c>
      <c r="G366" s="29">
        <v>33.979999999999997</v>
      </c>
      <c r="H366" s="28" t="s">
        <v>1693</v>
      </c>
      <c r="I366" s="27"/>
      <c r="J366" s="31" t="s">
        <v>21</v>
      </c>
      <c r="K366" s="27" t="s">
        <v>224</v>
      </c>
      <c r="L366" s="27" t="s">
        <v>197</v>
      </c>
      <c r="M366" s="32"/>
    </row>
    <row r="367" spans="1:13" ht="15.2" customHeight="1" x14ac:dyDescent="0.2">
      <c r="A367" s="26" t="s">
        <v>3665</v>
      </c>
      <c r="B367" s="27" t="s">
        <v>3666</v>
      </c>
      <c r="C367" s="28">
        <v>1</v>
      </c>
      <c r="D367" s="29">
        <v>7</v>
      </c>
      <c r="E367" s="29">
        <v>7</v>
      </c>
      <c r="F367" s="30">
        <v>16.989999999999998</v>
      </c>
      <c r="G367" s="29">
        <v>16.989999999999998</v>
      </c>
      <c r="H367" s="28" t="s">
        <v>1693</v>
      </c>
      <c r="I367" s="27" t="s">
        <v>280</v>
      </c>
      <c r="J367" s="31" t="s">
        <v>71</v>
      </c>
      <c r="K367" s="27" t="s">
        <v>224</v>
      </c>
      <c r="L367" s="27" t="s">
        <v>197</v>
      </c>
      <c r="M367" s="32"/>
    </row>
    <row r="368" spans="1:13" ht="15.2" customHeight="1" x14ac:dyDescent="0.2">
      <c r="A368" s="26" t="s">
        <v>3667</v>
      </c>
      <c r="B368" s="27" t="s">
        <v>3668</v>
      </c>
      <c r="C368" s="28">
        <v>1</v>
      </c>
      <c r="D368" s="29">
        <v>7</v>
      </c>
      <c r="E368" s="29">
        <v>7</v>
      </c>
      <c r="F368" s="30">
        <v>16.989999999999998</v>
      </c>
      <c r="G368" s="29">
        <v>16.989999999999998</v>
      </c>
      <c r="H368" s="28" t="s">
        <v>1693</v>
      </c>
      <c r="I368" s="27" t="s">
        <v>280</v>
      </c>
      <c r="J368" s="31" t="s">
        <v>40</v>
      </c>
      <c r="K368" s="27" t="s">
        <v>224</v>
      </c>
      <c r="L368" s="27" t="s">
        <v>197</v>
      </c>
      <c r="M368" s="32"/>
    </row>
    <row r="369" spans="1:13" ht="15.2" customHeight="1" x14ac:dyDescent="0.2">
      <c r="A369" s="26" t="s">
        <v>3669</v>
      </c>
      <c r="B369" s="27" t="s">
        <v>3670</v>
      </c>
      <c r="C369" s="28">
        <v>1</v>
      </c>
      <c r="D369" s="29">
        <v>6.5</v>
      </c>
      <c r="E369" s="29">
        <v>6.5</v>
      </c>
      <c r="F369" s="30">
        <v>12.99</v>
      </c>
      <c r="G369" s="29">
        <v>12.99</v>
      </c>
      <c r="H369" s="28" t="s">
        <v>3671</v>
      </c>
      <c r="I369" s="27" t="s">
        <v>4</v>
      </c>
      <c r="J369" s="31" t="s">
        <v>40</v>
      </c>
      <c r="K369" s="27" t="s">
        <v>282</v>
      </c>
      <c r="L369" s="27" t="s">
        <v>225</v>
      </c>
      <c r="M369" s="32"/>
    </row>
    <row r="370" spans="1:13" ht="15.2" customHeight="1" x14ac:dyDescent="0.2">
      <c r="A370" s="26" t="s">
        <v>3672</v>
      </c>
      <c r="B370" s="27" t="s">
        <v>2793</v>
      </c>
      <c r="C370" s="28">
        <v>1</v>
      </c>
      <c r="D370" s="29">
        <v>6.3</v>
      </c>
      <c r="E370" s="29">
        <v>6.3</v>
      </c>
      <c r="F370" s="30">
        <v>14.99</v>
      </c>
      <c r="G370" s="29">
        <v>14.99</v>
      </c>
      <c r="H370" s="28" t="s">
        <v>2794</v>
      </c>
      <c r="I370" s="27" t="s">
        <v>82</v>
      </c>
      <c r="J370" s="31" t="s">
        <v>52</v>
      </c>
      <c r="K370" s="27" t="s">
        <v>159</v>
      </c>
      <c r="L370" s="27" t="s">
        <v>160</v>
      </c>
      <c r="M370" s="32"/>
    </row>
    <row r="371" spans="1:13" ht="15.2" customHeight="1" x14ac:dyDescent="0.2">
      <c r="A371" s="26" t="s">
        <v>3673</v>
      </c>
      <c r="B371" s="27" t="s">
        <v>3674</v>
      </c>
      <c r="C371" s="28">
        <v>1</v>
      </c>
      <c r="D371" s="29">
        <v>6</v>
      </c>
      <c r="E371" s="29">
        <v>6</v>
      </c>
      <c r="F371" s="30">
        <v>12.99</v>
      </c>
      <c r="G371" s="29">
        <v>12.99</v>
      </c>
      <c r="H371" s="28" t="s">
        <v>610</v>
      </c>
      <c r="I371" s="27" t="s">
        <v>82</v>
      </c>
      <c r="J371" s="31" t="s">
        <v>40</v>
      </c>
      <c r="K371" s="27" t="s">
        <v>282</v>
      </c>
      <c r="L371" s="27" t="s">
        <v>349</v>
      </c>
      <c r="M371" s="32"/>
    </row>
    <row r="372" spans="1:13" ht="15.2" customHeight="1" x14ac:dyDescent="0.2">
      <c r="A372" s="26" t="s">
        <v>3675</v>
      </c>
      <c r="B372" s="27" t="s">
        <v>1712</v>
      </c>
      <c r="C372" s="28">
        <v>1</v>
      </c>
      <c r="D372" s="29">
        <v>5.5</v>
      </c>
      <c r="E372" s="29">
        <v>5.5</v>
      </c>
      <c r="F372" s="30">
        <v>12.99</v>
      </c>
      <c r="G372" s="29">
        <v>12.99</v>
      </c>
      <c r="H372" s="28" t="s">
        <v>1713</v>
      </c>
      <c r="I372" s="27" t="s">
        <v>33</v>
      </c>
      <c r="J372" s="31" t="s">
        <v>5</v>
      </c>
      <c r="K372" s="27" t="s">
        <v>282</v>
      </c>
      <c r="L372" s="27" t="s">
        <v>312</v>
      </c>
      <c r="M372" s="32"/>
    </row>
    <row r="373" spans="1:13" ht="15.2" customHeight="1" x14ac:dyDescent="0.2">
      <c r="A373" s="26" t="s">
        <v>628</v>
      </c>
      <c r="B373" s="27" t="s">
        <v>629</v>
      </c>
      <c r="C373" s="28">
        <v>1</v>
      </c>
      <c r="D373" s="29">
        <v>5.5</v>
      </c>
      <c r="E373" s="29">
        <v>5.5</v>
      </c>
      <c r="F373" s="30">
        <v>12.99</v>
      </c>
      <c r="G373" s="29">
        <v>12.99</v>
      </c>
      <c r="H373" s="28" t="s">
        <v>630</v>
      </c>
      <c r="I373" s="27" t="s">
        <v>82</v>
      </c>
      <c r="J373" s="31" t="s">
        <v>40</v>
      </c>
      <c r="K373" s="27" t="s">
        <v>282</v>
      </c>
      <c r="L373" s="27" t="s">
        <v>312</v>
      </c>
      <c r="M373" s="32"/>
    </row>
    <row r="374" spans="1:13" ht="15.2" customHeight="1" x14ac:dyDescent="0.2">
      <c r="A374" s="26" t="s">
        <v>3676</v>
      </c>
      <c r="B374" s="27" t="s">
        <v>3677</v>
      </c>
      <c r="C374" s="28">
        <v>1</v>
      </c>
      <c r="D374" s="29">
        <v>5.5</v>
      </c>
      <c r="E374" s="29">
        <v>5.5</v>
      </c>
      <c r="F374" s="30">
        <v>39</v>
      </c>
      <c r="G374" s="29">
        <v>39</v>
      </c>
      <c r="H374" s="28" t="s">
        <v>2797</v>
      </c>
      <c r="I374" s="27" t="s">
        <v>152</v>
      </c>
      <c r="J374" s="31" t="s">
        <v>30</v>
      </c>
      <c r="K374" s="27" t="s">
        <v>132</v>
      </c>
      <c r="L374" s="27" t="s">
        <v>1076</v>
      </c>
      <c r="M374" s="32"/>
    </row>
    <row r="375" spans="1:13" ht="15.2" customHeight="1" x14ac:dyDescent="0.2">
      <c r="A375" s="26" t="s">
        <v>633</v>
      </c>
      <c r="B375" s="27" t="s">
        <v>634</v>
      </c>
      <c r="C375" s="28">
        <v>1</v>
      </c>
      <c r="D375" s="29">
        <v>5.5</v>
      </c>
      <c r="E375" s="29">
        <v>5.5</v>
      </c>
      <c r="F375" s="30">
        <v>13.99</v>
      </c>
      <c r="G375" s="29">
        <v>13.99</v>
      </c>
      <c r="H375" s="28" t="s">
        <v>619</v>
      </c>
      <c r="I375" s="27" t="s">
        <v>22</v>
      </c>
      <c r="J375" s="31" t="s">
        <v>65</v>
      </c>
      <c r="K375" s="27" t="s">
        <v>70</v>
      </c>
      <c r="L375" s="27" t="s">
        <v>353</v>
      </c>
      <c r="M375" s="32"/>
    </row>
    <row r="376" spans="1:13" ht="15.2" customHeight="1" x14ac:dyDescent="0.2">
      <c r="A376" s="26" t="s">
        <v>1070</v>
      </c>
      <c r="B376" s="27" t="s">
        <v>1071</v>
      </c>
      <c r="C376" s="28">
        <v>1</v>
      </c>
      <c r="D376" s="29">
        <v>5.5</v>
      </c>
      <c r="E376" s="29">
        <v>5.5</v>
      </c>
      <c r="F376" s="30">
        <v>13.99</v>
      </c>
      <c r="G376" s="29">
        <v>13.99</v>
      </c>
      <c r="H376" s="28" t="s">
        <v>619</v>
      </c>
      <c r="I376" s="27" t="s">
        <v>59</v>
      </c>
      <c r="J376" s="31" t="s">
        <v>65</v>
      </c>
      <c r="K376" s="27" t="s">
        <v>70</v>
      </c>
      <c r="L376" s="27" t="s">
        <v>353</v>
      </c>
      <c r="M376" s="32"/>
    </row>
    <row r="377" spans="1:13" ht="15.2" customHeight="1" x14ac:dyDescent="0.2">
      <c r="A377" s="26" t="s">
        <v>2798</v>
      </c>
      <c r="B377" s="27" t="s">
        <v>2799</v>
      </c>
      <c r="C377" s="28">
        <v>1</v>
      </c>
      <c r="D377" s="29">
        <v>5.5</v>
      </c>
      <c r="E377" s="29">
        <v>5.5</v>
      </c>
      <c r="F377" s="30">
        <v>39</v>
      </c>
      <c r="G377" s="29">
        <v>39</v>
      </c>
      <c r="H377" s="28" t="s">
        <v>2797</v>
      </c>
      <c r="I377" s="27" t="s">
        <v>189</v>
      </c>
      <c r="J377" s="31" t="s">
        <v>50</v>
      </c>
      <c r="K377" s="27" t="s">
        <v>132</v>
      </c>
      <c r="L377" s="27" t="s">
        <v>1076</v>
      </c>
      <c r="M377" s="32"/>
    </row>
    <row r="378" spans="1:13" ht="15.2" customHeight="1" x14ac:dyDescent="0.2">
      <c r="A378" s="26" t="s">
        <v>620</v>
      </c>
      <c r="B378" s="27" t="s">
        <v>621</v>
      </c>
      <c r="C378" s="28">
        <v>1</v>
      </c>
      <c r="D378" s="29">
        <v>5.5</v>
      </c>
      <c r="E378" s="29">
        <v>5.5</v>
      </c>
      <c r="F378" s="30">
        <v>13.99</v>
      </c>
      <c r="G378" s="29">
        <v>13.99</v>
      </c>
      <c r="H378" s="28" t="s">
        <v>619</v>
      </c>
      <c r="I378" s="27" t="s">
        <v>22</v>
      </c>
      <c r="J378" s="31" t="s">
        <v>21</v>
      </c>
      <c r="K378" s="27" t="s">
        <v>70</v>
      </c>
      <c r="L378" s="27" t="s">
        <v>353</v>
      </c>
      <c r="M378" s="32"/>
    </row>
    <row r="379" spans="1:13" ht="15.2" customHeight="1" x14ac:dyDescent="0.2">
      <c r="A379" s="26" t="s">
        <v>617</v>
      </c>
      <c r="B379" s="27" t="s">
        <v>618</v>
      </c>
      <c r="C379" s="28">
        <v>1</v>
      </c>
      <c r="D379" s="29">
        <v>5.5</v>
      </c>
      <c r="E379" s="29">
        <v>5.5</v>
      </c>
      <c r="F379" s="30">
        <v>13.99</v>
      </c>
      <c r="G379" s="29">
        <v>13.99</v>
      </c>
      <c r="H379" s="28" t="s">
        <v>619</v>
      </c>
      <c r="I379" s="27" t="s">
        <v>4</v>
      </c>
      <c r="J379" s="31" t="s">
        <v>5</v>
      </c>
      <c r="K379" s="27" t="s">
        <v>70</v>
      </c>
      <c r="L379" s="27" t="s">
        <v>353</v>
      </c>
      <c r="M379" s="32"/>
    </row>
    <row r="380" spans="1:13" ht="15.2" customHeight="1" x14ac:dyDescent="0.2">
      <c r="A380" s="26" t="s">
        <v>644</v>
      </c>
      <c r="B380" s="27" t="s">
        <v>645</v>
      </c>
      <c r="C380" s="28">
        <v>1</v>
      </c>
      <c r="D380" s="29">
        <v>5.5</v>
      </c>
      <c r="E380" s="29">
        <v>5.5</v>
      </c>
      <c r="F380" s="30">
        <v>13.99</v>
      </c>
      <c r="G380" s="29">
        <v>13.99</v>
      </c>
      <c r="H380" s="28" t="s">
        <v>619</v>
      </c>
      <c r="I380" s="27" t="s">
        <v>4</v>
      </c>
      <c r="J380" s="31" t="s">
        <v>52</v>
      </c>
      <c r="K380" s="27" t="s">
        <v>70</v>
      </c>
      <c r="L380" s="27" t="s">
        <v>353</v>
      </c>
      <c r="M380" s="32"/>
    </row>
  </sheetData>
  <pageMargins left="0.5" right="0.5" top="0.25" bottom="0.25" header="0.3" footer="0.3"/>
  <pageSetup scale="65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00"/>
  <sheetViews>
    <sheetView workbookViewId="0">
      <selection activeCell="B28" sqref="B28"/>
    </sheetView>
  </sheetViews>
  <sheetFormatPr defaultRowHeight="15.2" customHeight="1" x14ac:dyDescent="0.2"/>
  <cols>
    <col min="1" max="1" width="14.85546875" style="1" bestFit="1" customWidth="1"/>
    <col min="2" max="2" width="72.5703125" style="1" bestFit="1" customWidth="1"/>
    <col min="3" max="3" width="6.42578125" style="1" bestFit="1" customWidth="1"/>
    <col min="4" max="4" width="7.5703125" style="1" bestFit="1" customWidth="1"/>
    <col min="5" max="5" width="9.5703125" style="1" bestFit="1" customWidth="1"/>
    <col min="6" max="6" width="8.7109375" style="1" bestFit="1" customWidth="1"/>
    <col min="7" max="7" width="11.140625" style="1" bestFit="1" customWidth="1"/>
    <col min="8" max="8" width="16.7109375" style="1" bestFit="1" customWidth="1"/>
    <col min="9" max="9" width="14.7109375" style="1" bestFit="1" customWidth="1"/>
    <col min="10" max="10" width="7.28515625" style="1" bestFit="1" customWidth="1"/>
    <col min="11" max="11" width="16.42578125" style="1" bestFit="1" customWidth="1"/>
    <col min="12" max="12" width="43.7109375" style="1" bestFit="1" customWidth="1"/>
    <col min="13" max="13" width="49.42578125" style="1" bestFit="1" customWidth="1"/>
    <col min="14" max="16384" width="9.140625" style="1"/>
  </cols>
  <sheetData>
    <row r="1" spans="1:13" ht="15.2" customHeight="1" x14ac:dyDescent="0.2">
      <c r="A1" s="25" t="s">
        <v>0</v>
      </c>
      <c r="B1" s="25" t="s">
        <v>11929</v>
      </c>
      <c r="C1" s="25" t="s">
        <v>11915</v>
      </c>
      <c r="D1" s="25" t="s">
        <v>11927</v>
      </c>
      <c r="E1" s="25" t="s">
        <v>11928</v>
      </c>
      <c r="F1" s="25" t="s">
        <v>11919</v>
      </c>
      <c r="G1" s="25" t="s">
        <v>11920</v>
      </c>
      <c r="H1" s="25" t="s">
        <v>11921</v>
      </c>
      <c r="I1" s="25" t="s">
        <v>11922</v>
      </c>
      <c r="J1" s="25" t="s">
        <v>11923</v>
      </c>
      <c r="K1" s="25" t="s">
        <v>11924</v>
      </c>
      <c r="L1" s="25" t="s">
        <v>11925</v>
      </c>
      <c r="M1" s="25" t="s">
        <v>11926</v>
      </c>
    </row>
    <row r="2" spans="1:13" ht="15.2" customHeight="1" x14ac:dyDescent="0.2">
      <c r="A2" s="26" t="s">
        <v>3678</v>
      </c>
      <c r="B2" s="27" t="s">
        <v>3679</v>
      </c>
      <c r="C2" s="28">
        <v>2</v>
      </c>
      <c r="D2" s="29">
        <v>35</v>
      </c>
      <c r="E2" s="29">
        <v>70</v>
      </c>
      <c r="F2" s="30">
        <v>129</v>
      </c>
      <c r="G2" s="29">
        <v>258</v>
      </c>
      <c r="H2" s="28" t="s">
        <v>3680</v>
      </c>
      <c r="I2" s="27" t="s">
        <v>271</v>
      </c>
      <c r="J2" s="31" t="s">
        <v>14</v>
      </c>
      <c r="K2" s="27" t="s">
        <v>132</v>
      </c>
      <c r="L2" s="27" t="s">
        <v>999</v>
      </c>
      <c r="M2" s="32" t="str">
        <f>HYPERLINK("http://slimages.macys.com/is/image/MCY/3357162 ")</f>
        <v xml:space="preserve">http://slimages.macys.com/is/image/MCY/3357162 </v>
      </c>
    </row>
    <row r="3" spans="1:13" ht="15.2" customHeight="1" x14ac:dyDescent="0.2">
      <c r="A3" s="26" t="s">
        <v>1087</v>
      </c>
      <c r="B3" s="27" t="s">
        <v>1088</v>
      </c>
      <c r="C3" s="28">
        <v>1</v>
      </c>
      <c r="D3" s="29">
        <v>27</v>
      </c>
      <c r="E3" s="29">
        <v>27</v>
      </c>
      <c r="F3" s="30">
        <v>69.5</v>
      </c>
      <c r="G3" s="29">
        <v>69.5</v>
      </c>
      <c r="H3" s="28" t="s">
        <v>19</v>
      </c>
      <c r="I3" s="27" t="s">
        <v>82</v>
      </c>
      <c r="J3" s="31" t="s">
        <v>21</v>
      </c>
      <c r="K3" s="27" t="s">
        <v>17</v>
      </c>
      <c r="L3" s="27" t="s">
        <v>18</v>
      </c>
      <c r="M3" s="32" t="str">
        <f>HYPERLINK("http://slimages.macys.com/is/image/MCY/3971150 ")</f>
        <v xml:space="preserve">http://slimages.macys.com/is/image/MCY/3971150 </v>
      </c>
    </row>
    <row r="4" spans="1:13" ht="15.2" customHeight="1" x14ac:dyDescent="0.2">
      <c r="A4" s="26" t="s">
        <v>3681</v>
      </c>
      <c r="B4" s="27" t="s">
        <v>3682</v>
      </c>
      <c r="C4" s="28">
        <v>1</v>
      </c>
      <c r="D4" s="29">
        <v>25.5</v>
      </c>
      <c r="E4" s="29">
        <v>25.5</v>
      </c>
      <c r="F4" s="30">
        <v>79</v>
      </c>
      <c r="G4" s="29">
        <v>79</v>
      </c>
      <c r="H4" s="28">
        <v>48389</v>
      </c>
      <c r="I4" s="27" t="s">
        <v>4</v>
      </c>
      <c r="J4" s="31"/>
      <c r="K4" s="27" t="s">
        <v>24</v>
      </c>
      <c r="L4" s="27" t="s">
        <v>35</v>
      </c>
      <c r="M4" s="32" t="str">
        <f>HYPERLINK("http://slimages.macys.com/is/image/MCY/3615231 ")</f>
        <v xml:space="preserve">http://slimages.macys.com/is/image/MCY/3615231 </v>
      </c>
    </row>
    <row r="5" spans="1:13" ht="15.2" customHeight="1" x14ac:dyDescent="0.2">
      <c r="A5" s="26" t="s">
        <v>3683</v>
      </c>
      <c r="B5" s="27" t="s">
        <v>3684</v>
      </c>
      <c r="C5" s="28">
        <v>1</v>
      </c>
      <c r="D5" s="29">
        <v>25.5</v>
      </c>
      <c r="E5" s="29">
        <v>25.5</v>
      </c>
      <c r="F5" s="30">
        <v>79</v>
      </c>
      <c r="G5" s="29">
        <v>79</v>
      </c>
      <c r="H5" s="28">
        <v>48389</v>
      </c>
      <c r="I5" s="27" t="s">
        <v>4</v>
      </c>
      <c r="J5" s="31"/>
      <c r="K5" s="27" t="s">
        <v>24</v>
      </c>
      <c r="L5" s="27" t="s">
        <v>35</v>
      </c>
      <c r="M5" s="32" t="str">
        <f>HYPERLINK("http://slimages.macys.com/is/image/MCY/3615231 ")</f>
        <v xml:space="preserve">http://slimages.macys.com/is/image/MCY/3615231 </v>
      </c>
    </row>
    <row r="6" spans="1:13" ht="15.2" customHeight="1" x14ac:dyDescent="0.2">
      <c r="A6" s="26" t="s">
        <v>1094</v>
      </c>
      <c r="B6" s="27" t="s">
        <v>1095</v>
      </c>
      <c r="C6" s="28">
        <v>1</v>
      </c>
      <c r="D6" s="29">
        <v>24.97</v>
      </c>
      <c r="E6" s="29">
        <v>24.97</v>
      </c>
      <c r="F6" s="30">
        <v>69.5</v>
      </c>
      <c r="G6" s="29">
        <v>69.5</v>
      </c>
      <c r="H6" s="28" t="s">
        <v>1093</v>
      </c>
      <c r="I6" s="27" t="s">
        <v>22</v>
      </c>
      <c r="J6" s="31" t="s">
        <v>5</v>
      </c>
      <c r="K6" s="27" t="s">
        <v>41</v>
      </c>
      <c r="L6" s="27" t="s">
        <v>45</v>
      </c>
      <c r="M6" s="32" t="str">
        <f>HYPERLINK("http://slimages.macys.com/is/image/MCY/2962546 ")</f>
        <v xml:space="preserve">http://slimages.macys.com/is/image/MCY/2962546 </v>
      </c>
    </row>
    <row r="7" spans="1:13" ht="15.2" customHeight="1" x14ac:dyDescent="0.2">
      <c r="A7" s="26" t="s">
        <v>2081</v>
      </c>
      <c r="B7" s="27" t="s">
        <v>2082</v>
      </c>
      <c r="C7" s="28">
        <v>1</v>
      </c>
      <c r="D7" s="29">
        <v>24</v>
      </c>
      <c r="E7" s="29">
        <v>24</v>
      </c>
      <c r="F7" s="30">
        <v>69</v>
      </c>
      <c r="G7" s="29">
        <v>69</v>
      </c>
      <c r="H7" s="28" t="s">
        <v>2079</v>
      </c>
      <c r="I7" s="27" t="s">
        <v>94</v>
      </c>
      <c r="J7" s="31" t="s">
        <v>5</v>
      </c>
      <c r="K7" s="27" t="s">
        <v>37</v>
      </c>
      <c r="L7" s="27" t="s">
        <v>38</v>
      </c>
      <c r="M7" s="32" t="str">
        <f>HYPERLINK("http://slimages.macys.com/is/image/MCY/3801919 ")</f>
        <v xml:space="preserve">http://slimages.macys.com/is/image/MCY/3801919 </v>
      </c>
    </row>
    <row r="8" spans="1:13" ht="15.2" customHeight="1" x14ac:dyDescent="0.2">
      <c r="A8" s="26" t="s">
        <v>3685</v>
      </c>
      <c r="B8" s="27" t="s">
        <v>3686</v>
      </c>
      <c r="C8" s="28">
        <v>1</v>
      </c>
      <c r="D8" s="29">
        <v>23.8</v>
      </c>
      <c r="E8" s="29">
        <v>23.8</v>
      </c>
      <c r="F8" s="30">
        <v>59.5</v>
      </c>
      <c r="G8" s="29">
        <v>59.5</v>
      </c>
      <c r="H8" s="28" t="s">
        <v>670</v>
      </c>
      <c r="I8" s="27" t="s">
        <v>59</v>
      </c>
      <c r="J8" s="31" t="s">
        <v>52</v>
      </c>
      <c r="K8" s="27" t="s">
        <v>27</v>
      </c>
      <c r="L8" s="27" t="s">
        <v>28</v>
      </c>
      <c r="M8" s="32" t="str">
        <f>HYPERLINK("http://slimages.macys.com/is/image/MCY/3902112 ")</f>
        <v xml:space="preserve">http://slimages.macys.com/is/image/MCY/3902112 </v>
      </c>
    </row>
    <row r="9" spans="1:13" ht="15.2" customHeight="1" x14ac:dyDescent="0.2">
      <c r="A9" s="26" t="s">
        <v>1733</v>
      </c>
      <c r="B9" s="27" t="s">
        <v>1734</v>
      </c>
      <c r="C9" s="28">
        <v>1</v>
      </c>
      <c r="D9" s="29">
        <v>23.8</v>
      </c>
      <c r="E9" s="29">
        <v>23.8</v>
      </c>
      <c r="F9" s="30">
        <v>59.5</v>
      </c>
      <c r="G9" s="29">
        <v>59.5</v>
      </c>
      <c r="H9" s="28" t="s">
        <v>670</v>
      </c>
      <c r="I9" s="27" t="s">
        <v>238</v>
      </c>
      <c r="J9" s="31" t="s">
        <v>5</v>
      </c>
      <c r="K9" s="27" t="s">
        <v>27</v>
      </c>
      <c r="L9" s="27" t="s">
        <v>28</v>
      </c>
      <c r="M9" s="32" t="str">
        <f>HYPERLINK("http://slimages.macys.com/is/image/MCY/3902112 ")</f>
        <v xml:space="preserve">http://slimages.macys.com/is/image/MCY/3902112 </v>
      </c>
    </row>
    <row r="10" spans="1:13" ht="15.2" customHeight="1" x14ac:dyDescent="0.2">
      <c r="A10" s="26" t="s">
        <v>3687</v>
      </c>
      <c r="B10" s="27" t="s">
        <v>3688</v>
      </c>
      <c r="C10" s="28">
        <v>1</v>
      </c>
      <c r="D10" s="29">
        <v>23.8</v>
      </c>
      <c r="E10" s="29">
        <v>23.8</v>
      </c>
      <c r="F10" s="30">
        <v>59.5</v>
      </c>
      <c r="G10" s="29">
        <v>59.5</v>
      </c>
      <c r="H10" s="28" t="s">
        <v>670</v>
      </c>
      <c r="I10" s="27" t="s">
        <v>238</v>
      </c>
      <c r="J10" s="31" t="s">
        <v>52</v>
      </c>
      <c r="K10" s="27" t="s">
        <v>27</v>
      </c>
      <c r="L10" s="27" t="s">
        <v>28</v>
      </c>
      <c r="M10" s="32" t="str">
        <f>HYPERLINK("http://slimages.macys.com/is/image/MCY/3902112 ")</f>
        <v xml:space="preserve">http://slimages.macys.com/is/image/MCY/3902112 </v>
      </c>
    </row>
    <row r="11" spans="1:13" ht="15.2" customHeight="1" x14ac:dyDescent="0.2">
      <c r="A11" s="26" t="s">
        <v>3689</v>
      </c>
      <c r="B11" s="27" t="s">
        <v>3690</v>
      </c>
      <c r="C11" s="28">
        <v>1</v>
      </c>
      <c r="D11" s="29">
        <v>23</v>
      </c>
      <c r="E11" s="29">
        <v>23</v>
      </c>
      <c r="F11" s="30">
        <v>54.99</v>
      </c>
      <c r="G11" s="29">
        <v>54.99</v>
      </c>
      <c r="H11" s="28" t="s">
        <v>3691</v>
      </c>
      <c r="I11" s="27" t="s">
        <v>152</v>
      </c>
      <c r="J11" s="31" t="s">
        <v>230</v>
      </c>
      <c r="K11" s="27" t="s">
        <v>70</v>
      </c>
      <c r="L11" s="27" t="s">
        <v>650</v>
      </c>
      <c r="M11" s="32" t="str">
        <f>HYPERLINK("http://slimages.macys.com/is/image/MCY/3924464 ")</f>
        <v xml:space="preserve">http://slimages.macys.com/is/image/MCY/3924464 </v>
      </c>
    </row>
    <row r="12" spans="1:13" ht="15.2" customHeight="1" x14ac:dyDescent="0.2">
      <c r="A12" s="26" t="s">
        <v>3692</v>
      </c>
      <c r="B12" s="27" t="s">
        <v>3693</v>
      </c>
      <c r="C12" s="28">
        <v>1</v>
      </c>
      <c r="D12" s="29">
        <v>22.55</v>
      </c>
      <c r="E12" s="29">
        <v>22.55</v>
      </c>
      <c r="F12" s="30">
        <v>64.5</v>
      </c>
      <c r="G12" s="29">
        <v>64.5</v>
      </c>
      <c r="H12" s="28" t="s">
        <v>3694</v>
      </c>
      <c r="I12" s="27" t="s">
        <v>75</v>
      </c>
      <c r="J12" s="31" t="s">
        <v>21</v>
      </c>
      <c r="K12" s="27" t="s">
        <v>53</v>
      </c>
      <c r="L12" s="27" t="s">
        <v>54</v>
      </c>
      <c r="M12" s="32" t="str">
        <f>HYPERLINK("http://slimages.macys.com/is/image/MCY/3274918 ")</f>
        <v xml:space="preserve">http://slimages.macys.com/is/image/MCY/3274918 </v>
      </c>
    </row>
    <row r="13" spans="1:13" ht="15.2" customHeight="1" x14ac:dyDescent="0.2">
      <c r="A13" s="26" t="s">
        <v>3695</v>
      </c>
      <c r="B13" s="27" t="s">
        <v>3696</v>
      </c>
      <c r="C13" s="28">
        <v>1</v>
      </c>
      <c r="D13" s="29">
        <v>22</v>
      </c>
      <c r="E13" s="29">
        <v>22</v>
      </c>
      <c r="F13" s="30">
        <v>69</v>
      </c>
      <c r="G13" s="29">
        <v>69</v>
      </c>
      <c r="H13" s="28" t="s">
        <v>3697</v>
      </c>
      <c r="I13" s="27" t="s">
        <v>36</v>
      </c>
      <c r="J13" s="31" t="s">
        <v>52</v>
      </c>
      <c r="K13" s="27" t="s">
        <v>37</v>
      </c>
      <c r="L13" s="27" t="s">
        <v>38</v>
      </c>
      <c r="M13" s="32" t="str">
        <f>HYPERLINK("http://slimages.macys.com/is/image/MCY/3717659 ")</f>
        <v xml:space="preserve">http://slimages.macys.com/is/image/MCY/3717659 </v>
      </c>
    </row>
    <row r="14" spans="1:13" ht="15.2" customHeight="1" x14ac:dyDescent="0.2">
      <c r="A14" s="26" t="s">
        <v>3698</v>
      </c>
      <c r="B14" s="27" t="s">
        <v>3699</v>
      </c>
      <c r="C14" s="28">
        <v>1</v>
      </c>
      <c r="D14" s="29">
        <v>22</v>
      </c>
      <c r="E14" s="29">
        <v>22</v>
      </c>
      <c r="F14" s="30">
        <v>69</v>
      </c>
      <c r="G14" s="29">
        <v>69</v>
      </c>
      <c r="H14" s="28" t="s">
        <v>2817</v>
      </c>
      <c r="I14" s="27" t="s">
        <v>1280</v>
      </c>
      <c r="J14" s="31" t="s">
        <v>113</v>
      </c>
      <c r="K14" s="27" t="s">
        <v>24</v>
      </c>
      <c r="L14" s="27" t="s">
        <v>25</v>
      </c>
      <c r="M14" s="32" t="str">
        <f>HYPERLINK("http://slimages.macys.com/is/image/MCY/3937114 ")</f>
        <v xml:space="preserve">http://slimages.macys.com/is/image/MCY/3937114 </v>
      </c>
    </row>
    <row r="15" spans="1:13" ht="15.2" customHeight="1" x14ac:dyDescent="0.2">
      <c r="A15" s="26" t="s">
        <v>3700</v>
      </c>
      <c r="B15" s="27" t="s">
        <v>3701</v>
      </c>
      <c r="C15" s="28">
        <v>1</v>
      </c>
      <c r="D15" s="29">
        <v>22</v>
      </c>
      <c r="E15" s="29">
        <v>22</v>
      </c>
      <c r="F15" s="30">
        <v>69</v>
      </c>
      <c r="G15" s="29">
        <v>69</v>
      </c>
      <c r="H15" s="28" t="s">
        <v>3702</v>
      </c>
      <c r="I15" s="27" t="s">
        <v>36</v>
      </c>
      <c r="J15" s="31" t="s">
        <v>5</v>
      </c>
      <c r="K15" s="27" t="s">
        <v>37</v>
      </c>
      <c r="L15" s="27" t="s">
        <v>38</v>
      </c>
      <c r="M15" s="32" t="str">
        <f>HYPERLINK("http://slimages.macys.com/is/image/MCY/3801749 ")</f>
        <v xml:space="preserve">http://slimages.macys.com/is/image/MCY/3801749 </v>
      </c>
    </row>
    <row r="16" spans="1:13" ht="15.2" customHeight="1" x14ac:dyDescent="0.2">
      <c r="A16" s="26" t="s">
        <v>3703</v>
      </c>
      <c r="B16" s="27" t="s">
        <v>3704</v>
      </c>
      <c r="C16" s="28">
        <v>1</v>
      </c>
      <c r="D16" s="29">
        <v>22</v>
      </c>
      <c r="E16" s="29">
        <v>22</v>
      </c>
      <c r="F16" s="30">
        <v>69</v>
      </c>
      <c r="G16" s="29">
        <v>69</v>
      </c>
      <c r="H16" s="28" t="s">
        <v>2817</v>
      </c>
      <c r="I16" s="27" t="s">
        <v>1280</v>
      </c>
      <c r="J16" s="31" t="s">
        <v>23</v>
      </c>
      <c r="K16" s="27" t="s">
        <v>24</v>
      </c>
      <c r="L16" s="27" t="s">
        <v>25</v>
      </c>
      <c r="M16" s="32" t="str">
        <f>HYPERLINK("http://slimages.macys.com/is/image/MCY/3937114 ")</f>
        <v xml:space="preserve">http://slimages.macys.com/is/image/MCY/3937114 </v>
      </c>
    </row>
    <row r="17" spans="1:13" ht="15.2" customHeight="1" x14ac:dyDescent="0.2">
      <c r="A17" s="26" t="s">
        <v>3705</v>
      </c>
      <c r="B17" s="27" t="s">
        <v>3706</v>
      </c>
      <c r="C17" s="28">
        <v>1</v>
      </c>
      <c r="D17" s="29">
        <v>20.65</v>
      </c>
      <c r="E17" s="29">
        <v>20.65</v>
      </c>
      <c r="F17" s="30">
        <v>59</v>
      </c>
      <c r="G17" s="29">
        <v>59</v>
      </c>
      <c r="H17" s="28" t="s">
        <v>3707</v>
      </c>
      <c r="I17" s="27" t="s">
        <v>248</v>
      </c>
      <c r="J17" s="31" t="s">
        <v>71</v>
      </c>
      <c r="K17" s="27" t="s">
        <v>37</v>
      </c>
      <c r="L17" s="27" t="s">
        <v>38</v>
      </c>
      <c r="M17" s="32" t="str">
        <f>HYPERLINK("http://slimages.macys.com/is/image/MCY/3820522 ")</f>
        <v xml:space="preserve">http://slimages.macys.com/is/image/MCY/3820522 </v>
      </c>
    </row>
    <row r="18" spans="1:13" ht="15.2" customHeight="1" x14ac:dyDescent="0.2">
      <c r="A18" s="26" t="s">
        <v>3708</v>
      </c>
      <c r="B18" s="27" t="s">
        <v>3709</v>
      </c>
      <c r="C18" s="28">
        <v>2</v>
      </c>
      <c r="D18" s="29">
        <v>20.079999999999998</v>
      </c>
      <c r="E18" s="29">
        <v>40.159999999999997</v>
      </c>
      <c r="F18" s="30">
        <v>46.25</v>
      </c>
      <c r="G18" s="29">
        <v>92.5</v>
      </c>
      <c r="H18" s="28" t="s">
        <v>2564</v>
      </c>
      <c r="I18" s="27" t="s">
        <v>10</v>
      </c>
      <c r="J18" s="31" t="s">
        <v>205</v>
      </c>
      <c r="K18" s="27" t="s">
        <v>41</v>
      </c>
      <c r="L18" s="27" t="s">
        <v>45</v>
      </c>
      <c r="M18" s="32" t="str">
        <f>HYPERLINK("http://slimages.macys.com/is/image/MCY/3724372 ")</f>
        <v xml:space="preserve">http://slimages.macys.com/is/image/MCY/3724372 </v>
      </c>
    </row>
    <row r="19" spans="1:13" ht="15.2" customHeight="1" x14ac:dyDescent="0.2">
      <c r="A19" s="26" t="s">
        <v>3710</v>
      </c>
      <c r="B19" s="27" t="s">
        <v>3711</v>
      </c>
      <c r="C19" s="28">
        <v>1</v>
      </c>
      <c r="D19" s="29">
        <v>20.079999999999998</v>
      </c>
      <c r="E19" s="29">
        <v>20.079999999999998</v>
      </c>
      <c r="F19" s="30">
        <v>46.25</v>
      </c>
      <c r="G19" s="29">
        <v>46.25</v>
      </c>
      <c r="H19" s="28" t="s">
        <v>2564</v>
      </c>
      <c r="I19" s="27" t="s">
        <v>10</v>
      </c>
      <c r="J19" s="31" t="s">
        <v>3712</v>
      </c>
      <c r="K19" s="27" t="s">
        <v>41</v>
      </c>
      <c r="L19" s="27" t="s">
        <v>45</v>
      </c>
      <c r="M19" s="32" t="str">
        <f>HYPERLINK("http://slimages.macys.com/is/image/MCY/3724372 ")</f>
        <v xml:space="preserve">http://slimages.macys.com/is/image/MCY/3724372 </v>
      </c>
    </row>
    <row r="20" spans="1:13" ht="15.2" customHeight="1" x14ac:dyDescent="0.2">
      <c r="A20" s="26" t="s">
        <v>3713</v>
      </c>
      <c r="B20" s="27" t="s">
        <v>3714</v>
      </c>
      <c r="C20" s="28">
        <v>1</v>
      </c>
      <c r="D20" s="29">
        <v>19.98</v>
      </c>
      <c r="E20" s="29">
        <v>19.98</v>
      </c>
      <c r="F20" s="30">
        <v>54</v>
      </c>
      <c r="G20" s="29">
        <v>54</v>
      </c>
      <c r="H20" s="28" t="s">
        <v>3715</v>
      </c>
      <c r="I20" s="27" t="s">
        <v>59</v>
      </c>
      <c r="J20" s="31" t="s">
        <v>21</v>
      </c>
      <c r="K20" s="27" t="s">
        <v>989</v>
      </c>
      <c r="L20" s="27" t="s">
        <v>990</v>
      </c>
      <c r="M20" s="32" t="str">
        <f>HYPERLINK("http://slimages.macys.com/is/image/MCY/3793630 ")</f>
        <v xml:space="preserve">http://slimages.macys.com/is/image/MCY/3793630 </v>
      </c>
    </row>
    <row r="21" spans="1:13" ht="15.2" customHeight="1" x14ac:dyDescent="0.2">
      <c r="A21" s="26" t="s">
        <v>3716</v>
      </c>
      <c r="B21" s="27" t="s">
        <v>3717</v>
      </c>
      <c r="C21" s="28">
        <v>1</v>
      </c>
      <c r="D21" s="29">
        <v>19.5</v>
      </c>
      <c r="E21" s="29">
        <v>19.5</v>
      </c>
      <c r="F21" s="30">
        <v>59</v>
      </c>
      <c r="G21" s="29">
        <v>59</v>
      </c>
      <c r="H21" s="28" t="s">
        <v>689</v>
      </c>
      <c r="I21" s="27" t="s">
        <v>144</v>
      </c>
      <c r="J21" s="31" t="s">
        <v>40</v>
      </c>
      <c r="K21" s="27" t="s">
        <v>37</v>
      </c>
      <c r="L21" s="27" t="s">
        <v>38</v>
      </c>
      <c r="M21" s="32" t="str">
        <f>HYPERLINK("http://slimages.macys.com/is/image/MCY/3899530 ")</f>
        <v xml:space="preserve">http://slimages.macys.com/is/image/MCY/3899530 </v>
      </c>
    </row>
    <row r="22" spans="1:13" ht="15.2" customHeight="1" x14ac:dyDescent="0.2">
      <c r="A22" s="26" t="s">
        <v>3718</v>
      </c>
      <c r="B22" s="27" t="s">
        <v>3719</v>
      </c>
      <c r="C22" s="28">
        <v>1</v>
      </c>
      <c r="D22" s="29">
        <v>19.5</v>
      </c>
      <c r="E22" s="29">
        <v>19.5</v>
      </c>
      <c r="F22" s="30">
        <v>59</v>
      </c>
      <c r="G22" s="29">
        <v>59</v>
      </c>
      <c r="H22" s="28" t="s">
        <v>689</v>
      </c>
      <c r="I22" s="27" t="s">
        <v>144</v>
      </c>
      <c r="J22" s="31" t="s">
        <v>71</v>
      </c>
      <c r="K22" s="27" t="s">
        <v>37</v>
      </c>
      <c r="L22" s="27" t="s">
        <v>38</v>
      </c>
      <c r="M22" s="32" t="str">
        <f>HYPERLINK("http://slimages.macys.com/is/image/MCY/3899530 ")</f>
        <v xml:space="preserve">http://slimages.macys.com/is/image/MCY/3899530 </v>
      </c>
    </row>
    <row r="23" spans="1:13" ht="15.2" customHeight="1" x14ac:dyDescent="0.2">
      <c r="A23" s="26" t="s">
        <v>3146</v>
      </c>
      <c r="B23" s="27" t="s">
        <v>3147</v>
      </c>
      <c r="C23" s="28">
        <v>1</v>
      </c>
      <c r="D23" s="29">
        <v>18.989999999999998</v>
      </c>
      <c r="E23" s="29">
        <v>18.989999999999998</v>
      </c>
      <c r="F23" s="30">
        <v>43.5</v>
      </c>
      <c r="G23" s="29">
        <v>43.5</v>
      </c>
      <c r="H23" s="28" t="s">
        <v>1126</v>
      </c>
      <c r="I23" s="27" t="s">
        <v>103</v>
      </c>
      <c r="J23" s="31" t="s">
        <v>234</v>
      </c>
      <c r="K23" s="27" t="s">
        <v>41</v>
      </c>
      <c r="L23" s="27" t="s">
        <v>45</v>
      </c>
      <c r="M23" s="32" t="str">
        <f t="shared" ref="M23:M28" si="0">HYPERLINK("http://slimages.macys.com/is/image/MCY/3721274 ")</f>
        <v xml:space="preserve">http://slimages.macys.com/is/image/MCY/3721274 </v>
      </c>
    </row>
    <row r="24" spans="1:13" ht="15.2" customHeight="1" x14ac:dyDescent="0.2">
      <c r="A24" s="26" t="s">
        <v>1741</v>
      </c>
      <c r="B24" s="27" t="s">
        <v>1742</v>
      </c>
      <c r="C24" s="28">
        <v>1</v>
      </c>
      <c r="D24" s="29">
        <v>18.989999999999998</v>
      </c>
      <c r="E24" s="29">
        <v>18.989999999999998</v>
      </c>
      <c r="F24" s="30">
        <v>43.5</v>
      </c>
      <c r="G24" s="29">
        <v>43.5</v>
      </c>
      <c r="H24" s="28" t="s">
        <v>1126</v>
      </c>
      <c r="I24" s="27" t="s">
        <v>103</v>
      </c>
      <c r="J24" s="31" t="s">
        <v>113</v>
      </c>
      <c r="K24" s="27" t="s">
        <v>41</v>
      </c>
      <c r="L24" s="27" t="s">
        <v>45</v>
      </c>
      <c r="M24" s="32" t="str">
        <f t="shared" si="0"/>
        <v xml:space="preserve">http://slimages.macys.com/is/image/MCY/3721274 </v>
      </c>
    </row>
    <row r="25" spans="1:13" ht="15.2" customHeight="1" x14ac:dyDescent="0.2">
      <c r="A25" s="26" t="s">
        <v>3150</v>
      </c>
      <c r="B25" s="27" t="s">
        <v>3151</v>
      </c>
      <c r="C25" s="28">
        <v>1</v>
      </c>
      <c r="D25" s="29">
        <v>18.989999999999998</v>
      </c>
      <c r="E25" s="29">
        <v>18.989999999999998</v>
      </c>
      <c r="F25" s="30">
        <v>43.5</v>
      </c>
      <c r="G25" s="29">
        <v>43.5</v>
      </c>
      <c r="H25" s="28" t="s">
        <v>1126</v>
      </c>
      <c r="I25" s="27" t="s">
        <v>94</v>
      </c>
      <c r="J25" s="31" t="s">
        <v>23</v>
      </c>
      <c r="K25" s="27" t="s">
        <v>41</v>
      </c>
      <c r="L25" s="27" t="s">
        <v>45</v>
      </c>
      <c r="M25" s="32" t="str">
        <f t="shared" si="0"/>
        <v xml:space="preserve">http://slimages.macys.com/is/image/MCY/3721274 </v>
      </c>
    </row>
    <row r="26" spans="1:13" ht="15.2" customHeight="1" x14ac:dyDescent="0.2">
      <c r="A26" s="26" t="s">
        <v>3720</v>
      </c>
      <c r="B26" s="27" t="s">
        <v>3721</v>
      </c>
      <c r="C26" s="28">
        <v>1</v>
      </c>
      <c r="D26" s="29">
        <v>18.989999999999998</v>
      </c>
      <c r="E26" s="29">
        <v>18.989999999999998</v>
      </c>
      <c r="F26" s="30">
        <v>43.5</v>
      </c>
      <c r="G26" s="29">
        <v>43.5</v>
      </c>
      <c r="H26" s="28" t="s">
        <v>1126</v>
      </c>
      <c r="I26" s="27" t="s">
        <v>22</v>
      </c>
      <c r="J26" s="31" t="s">
        <v>214</v>
      </c>
      <c r="K26" s="27" t="s">
        <v>41</v>
      </c>
      <c r="L26" s="27" t="s">
        <v>45</v>
      </c>
      <c r="M26" s="32" t="str">
        <f t="shared" si="0"/>
        <v xml:space="preserve">http://slimages.macys.com/is/image/MCY/3721274 </v>
      </c>
    </row>
    <row r="27" spans="1:13" ht="15.2" customHeight="1" x14ac:dyDescent="0.2">
      <c r="A27" s="26" t="s">
        <v>2570</v>
      </c>
      <c r="B27" s="27" t="s">
        <v>2571</v>
      </c>
      <c r="C27" s="28">
        <v>2</v>
      </c>
      <c r="D27" s="29">
        <v>18.989999999999998</v>
      </c>
      <c r="E27" s="29">
        <v>37.979999999999997</v>
      </c>
      <c r="F27" s="30">
        <v>43.5</v>
      </c>
      <c r="G27" s="29">
        <v>87</v>
      </c>
      <c r="H27" s="28" t="s">
        <v>1126</v>
      </c>
      <c r="I27" s="27" t="s">
        <v>94</v>
      </c>
      <c r="J27" s="31" t="s">
        <v>205</v>
      </c>
      <c r="K27" s="27" t="s">
        <v>41</v>
      </c>
      <c r="L27" s="27" t="s">
        <v>45</v>
      </c>
      <c r="M27" s="32" t="str">
        <f t="shared" si="0"/>
        <v xml:space="preserve">http://slimages.macys.com/is/image/MCY/3721274 </v>
      </c>
    </row>
    <row r="28" spans="1:13" ht="15.2" customHeight="1" x14ac:dyDescent="0.2">
      <c r="A28" s="26" t="s">
        <v>3722</v>
      </c>
      <c r="B28" s="27" t="s">
        <v>3723</v>
      </c>
      <c r="C28" s="28">
        <v>1</v>
      </c>
      <c r="D28" s="29">
        <v>18.989999999999998</v>
      </c>
      <c r="E28" s="29">
        <v>18.989999999999998</v>
      </c>
      <c r="F28" s="30">
        <v>43.5</v>
      </c>
      <c r="G28" s="29">
        <v>43.5</v>
      </c>
      <c r="H28" s="28" t="s">
        <v>1126</v>
      </c>
      <c r="I28" s="27" t="s">
        <v>103</v>
      </c>
      <c r="J28" s="31" t="s">
        <v>214</v>
      </c>
      <c r="K28" s="27" t="s">
        <v>41</v>
      </c>
      <c r="L28" s="27" t="s">
        <v>45</v>
      </c>
      <c r="M28" s="32" t="str">
        <f t="shared" si="0"/>
        <v xml:space="preserve">http://slimages.macys.com/is/image/MCY/3721274 </v>
      </c>
    </row>
    <row r="29" spans="1:13" ht="15.2" customHeight="1" x14ac:dyDescent="0.2">
      <c r="A29" s="26" t="s">
        <v>3161</v>
      </c>
      <c r="B29" s="27" t="s">
        <v>3162</v>
      </c>
      <c r="C29" s="28">
        <v>1</v>
      </c>
      <c r="D29" s="29">
        <v>18.75</v>
      </c>
      <c r="E29" s="29">
        <v>18.75</v>
      </c>
      <c r="F29" s="30">
        <v>59</v>
      </c>
      <c r="G29" s="29">
        <v>59</v>
      </c>
      <c r="H29" s="28" t="s">
        <v>74</v>
      </c>
      <c r="I29" s="27" t="s">
        <v>75</v>
      </c>
      <c r="J29" s="31"/>
      <c r="K29" s="27" t="s">
        <v>37</v>
      </c>
      <c r="L29" s="27" t="s">
        <v>38</v>
      </c>
      <c r="M29" s="32" t="str">
        <f>HYPERLINK("http://slimages.macys.com/is/image/MCY/3937226 ")</f>
        <v xml:space="preserve">http://slimages.macys.com/is/image/MCY/3937226 </v>
      </c>
    </row>
    <row r="30" spans="1:13" ht="15.2" customHeight="1" x14ac:dyDescent="0.2">
      <c r="A30" s="26" t="s">
        <v>3724</v>
      </c>
      <c r="B30" s="27" t="s">
        <v>3725</v>
      </c>
      <c r="C30" s="28">
        <v>1</v>
      </c>
      <c r="D30" s="29">
        <v>18.75</v>
      </c>
      <c r="E30" s="29">
        <v>18.75</v>
      </c>
      <c r="F30" s="30">
        <v>59</v>
      </c>
      <c r="G30" s="29">
        <v>59</v>
      </c>
      <c r="H30" s="28" t="s">
        <v>74</v>
      </c>
      <c r="I30" s="27" t="s">
        <v>144</v>
      </c>
      <c r="J30" s="31"/>
      <c r="K30" s="27" t="s">
        <v>37</v>
      </c>
      <c r="L30" s="27" t="s">
        <v>38</v>
      </c>
      <c r="M30" s="32" t="str">
        <f>HYPERLINK("http://slimages.macys.com/is/image/MCY/3937226 ")</f>
        <v xml:space="preserve">http://slimages.macys.com/is/image/MCY/3937226 </v>
      </c>
    </row>
    <row r="31" spans="1:13" ht="15.2" customHeight="1" x14ac:dyDescent="0.2">
      <c r="A31" s="26" t="s">
        <v>3726</v>
      </c>
      <c r="B31" s="27" t="s">
        <v>3727</v>
      </c>
      <c r="C31" s="28">
        <v>1</v>
      </c>
      <c r="D31" s="29">
        <v>18.75</v>
      </c>
      <c r="E31" s="29">
        <v>18.75</v>
      </c>
      <c r="F31" s="30">
        <v>59</v>
      </c>
      <c r="G31" s="29">
        <v>59</v>
      </c>
      <c r="H31" s="28" t="s">
        <v>3165</v>
      </c>
      <c r="I31" s="27" t="s">
        <v>10</v>
      </c>
      <c r="J31" s="31"/>
      <c r="K31" s="27" t="s">
        <v>37</v>
      </c>
      <c r="L31" s="27" t="s">
        <v>38</v>
      </c>
      <c r="M31" s="32" t="str">
        <f>HYPERLINK("http://slimages.macys.com/is/image/MCY/3675892 ")</f>
        <v xml:space="preserve">http://slimages.macys.com/is/image/MCY/3675892 </v>
      </c>
    </row>
    <row r="32" spans="1:13" ht="15.2" customHeight="1" x14ac:dyDescent="0.2">
      <c r="A32" s="26" t="s">
        <v>3728</v>
      </c>
      <c r="B32" s="27" t="s">
        <v>3729</v>
      </c>
      <c r="C32" s="28">
        <v>1</v>
      </c>
      <c r="D32" s="29">
        <v>18.75</v>
      </c>
      <c r="E32" s="29">
        <v>18.75</v>
      </c>
      <c r="F32" s="30">
        <v>59</v>
      </c>
      <c r="G32" s="29">
        <v>59</v>
      </c>
      <c r="H32" s="28" t="s">
        <v>3165</v>
      </c>
      <c r="I32" s="27" t="s">
        <v>10</v>
      </c>
      <c r="J32" s="31"/>
      <c r="K32" s="27" t="s">
        <v>37</v>
      </c>
      <c r="L32" s="27" t="s">
        <v>38</v>
      </c>
      <c r="M32" s="32" t="str">
        <f>HYPERLINK("http://slimages.macys.com/is/image/MCY/3675892 ")</f>
        <v xml:space="preserve">http://slimages.macys.com/is/image/MCY/3675892 </v>
      </c>
    </row>
    <row r="33" spans="1:13" ht="15.2" customHeight="1" x14ac:dyDescent="0.2">
      <c r="A33" s="26" t="s">
        <v>72</v>
      </c>
      <c r="B33" s="27" t="s">
        <v>73</v>
      </c>
      <c r="C33" s="28">
        <v>1</v>
      </c>
      <c r="D33" s="29">
        <v>18.75</v>
      </c>
      <c r="E33" s="29">
        <v>18.75</v>
      </c>
      <c r="F33" s="30">
        <v>59</v>
      </c>
      <c r="G33" s="29">
        <v>59</v>
      </c>
      <c r="H33" s="28" t="s">
        <v>74</v>
      </c>
      <c r="I33" s="27" t="s">
        <v>75</v>
      </c>
      <c r="J33" s="31"/>
      <c r="K33" s="27" t="s">
        <v>37</v>
      </c>
      <c r="L33" s="27" t="s">
        <v>38</v>
      </c>
      <c r="M33" s="32" t="str">
        <f>HYPERLINK("http://slimages.macys.com/is/image/MCY/3937226 ")</f>
        <v xml:space="preserve">http://slimages.macys.com/is/image/MCY/3937226 </v>
      </c>
    </row>
    <row r="34" spans="1:13" ht="15.2" customHeight="1" x14ac:dyDescent="0.2">
      <c r="A34" s="26" t="s">
        <v>1745</v>
      </c>
      <c r="B34" s="27" t="s">
        <v>1746</v>
      </c>
      <c r="C34" s="28">
        <v>1</v>
      </c>
      <c r="D34" s="29">
        <v>18.75</v>
      </c>
      <c r="E34" s="29">
        <v>18.75</v>
      </c>
      <c r="F34" s="30">
        <v>59</v>
      </c>
      <c r="G34" s="29">
        <v>59</v>
      </c>
      <c r="H34" s="28" t="s">
        <v>74</v>
      </c>
      <c r="I34" s="27" t="s">
        <v>144</v>
      </c>
      <c r="J34" s="31"/>
      <c r="K34" s="27" t="s">
        <v>37</v>
      </c>
      <c r="L34" s="27" t="s">
        <v>38</v>
      </c>
      <c r="M34" s="32" t="str">
        <f>HYPERLINK("http://slimages.macys.com/is/image/MCY/3937226 ")</f>
        <v xml:space="preserve">http://slimages.macys.com/is/image/MCY/3937226 </v>
      </c>
    </row>
    <row r="35" spans="1:13" ht="15.2" customHeight="1" x14ac:dyDescent="0.2">
      <c r="A35" s="26" t="s">
        <v>2572</v>
      </c>
      <c r="B35" s="27" t="s">
        <v>2573</v>
      </c>
      <c r="C35" s="28">
        <v>1</v>
      </c>
      <c r="D35" s="29">
        <v>18.75</v>
      </c>
      <c r="E35" s="29">
        <v>18.75</v>
      </c>
      <c r="F35" s="30">
        <v>59</v>
      </c>
      <c r="G35" s="29">
        <v>59</v>
      </c>
      <c r="H35" s="28" t="s">
        <v>74</v>
      </c>
      <c r="I35" s="27" t="s">
        <v>144</v>
      </c>
      <c r="J35" s="31"/>
      <c r="K35" s="27" t="s">
        <v>37</v>
      </c>
      <c r="L35" s="27" t="s">
        <v>38</v>
      </c>
      <c r="M35" s="32" t="str">
        <f>HYPERLINK("http://slimages.macys.com/is/image/MCY/3937226 ")</f>
        <v xml:space="preserve">http://slimages.macys.com/is/image/MCY/3937226 </v>
      </c>
    </row>
    <row r="36" spans="1:13" ht="15.2" customHeight="1" x14ac:dyDescent="0.2">
      <c r="A36" s="26" t="s">
        <v>3730</v>
      </c>
      <c r="B36" s="27" t="s">
        <v>3731</v>
      </c>
      <c r="C36" s="28">
        <v>1</v>
      </c>
      <c r="D36" s="29">
        <v>18.23</v>
      </c>
      <c r="E36" s="29">
        <v>18.23</v>
      </c>
      <c r="F36" s="30">
        <v>49.99</v>
      </c>
      <c r="G36" s="29">
        <v>49.99</v>
      </c>
      <c r="H36" s="28" t="s">
        <v>1141</v>
      </c>
      <c r="I36" s="27" t="s">
        <v>1</v>
      </c>
      <c r="J36" s="31" t="s">
        <v>21</v>
      </c>
      <c r="K36" s="27" t="s">
        <v>41</v>
      </c>
      <c r="L36" s="27" t="s">
        <v>83</v>
      </c>
      <c r="M36" s="32" t="str">
        <f>HYPERLINK("http://slimages.macys.com/is/image/MCY/3954961 ")</f>
        <v xml:space="preserve">http://slimages.macys.com/is/image/MCY/3954961 </v>
      </c>
    </row>
    <row r="37" spans="1:13" ht="15.2" customHeight="1" x14ac:dyDescent="0.2">
      <c r="A37" s="26" t="s">
        <v>95</v>
      </c>
      <c r="B37" s="27" t="s">
        <v>96</v>
      </c>
      <c r="C37" s="28">
        <v>1</v>
      </c>
      <c r="D37" s="29">
        <v>18.059999999999999</v>
      </c>
      <c r="E37" s="29">
        <v>18.059999999999999</v>
      </c>
      <c r="F37" s="30">
        <v>49.5</v>
      </c>
      <c r="G37" s="29">
        <v>49.5</v>
      </c>
      <c r="H37" s="28" t="s">
        <v>93</v>
      </c>
      <c r="I37" s="27" t="s">
        <v>94</v>
      </c>
      <c r="J37" s="31" t="s">
        <v>5</v>
      </c>
      <c r="K37" s="27" t="s">
        <v>41</v>
      </c>
      <c r="L37" s="27" t="s">
        <v>45</v>
      </c>
      <c r="M37" s="32" t="str">
        <f>HYPERLINK("http://slimages.macys.com/is/image/MCY/3954975 ")</f>
        <v xml:space="preserve">http://slimages.macys.com/is/image/MCY/3954975 </v>
      </c>
    </row>
    <row r="38" spans="1:13" ht="15.2" customHeight="1" x14ac:dyDescent="0.2">
      <c r="A38" s="26" t="s">
        <v>3732</v>
      </c>
      <c r="B38" s="27" t="s">
        <v>3733</v>
      </c>
      <c r="C38" s="28">
        <v>1</v>
      </c>
      <c r="D38" s="29">
        <v>17.850000000000001</v>
      </c>
      <c r="E38" s="29">
        <v>17.850000000000001</v>
      </c>
      <c r="F38" s="30">
        <v>59.5</v>
      </c>
      <c r="G38" s="29">
        <v>59.5</v>
      </c>
      <c r="H38" s="28">
        <v>49022900</v>
      </c>
      <c r="I38" s="27" t="s">
        <v>20</v>
      </c>
      <c r="J38" s="31" t="s">
        <v>40</v>
      </c>
      <c r="K38" s="27" t="s">
        <v>6</v>
      </c>
      <c r="L38" s="27" t="s">
        <v>7</v>
      </c>
      <c r="M38" s="32" t="str">
        <f>HYPERLINK("http://slimages.macys.com/is/image/MCY/3939787 ")</f>
        <v xml:space="preserve">http://slimages.macys.com/is/image/MCY/3939787 </v>
      </c>
    </row>
    <row r="39" spans="1:13" ht="15.2" customHeight="1" x14ac:dyDescent="0.2">
      <c r="A39" s="26" t="s">
        <v>3178</v>
      </c>
      <c r="B39" s="27" t="s">
        <v>3179</v>
      </c>
      <c r="C39" s="28">
        <v>1</v>
      </c>
      <c r="D39" s="29">
        <v>17.670000000000002</v>
      </c>
      <c r="E39" s="29">
        <v>17.670000000000002</v>
      </c>
      <c r="F39" s="30">
        <v>49.5</v>
      </c>
      <c r="G39" s="29">
        <v>49.5</v>
      </c>
      <c r="H39" s="28" t="s">
        <v>2587</v>
      </c>
      <c r="I39" s="27" t="s">
        <v>75</v>
      </c>
      <c r="J39" s="31" t="s">
        <v>21</v>
      </c>
      <c r="K39" s="27" t="s">
        <v>53</v>
      </c>
      <c r="L39" s="27" t="s">
        <v>54</v>
      </c>
      <c r="M39" s="32" t="str">
        <f>HYPERLINK("http://slimages.macys.com/is/image/MCY/3758286 ")</f>
        <v xml:space="preserve">http://slimages.macys.com/is/image/MCY/3758286 </v>
      </c>
    </row>
    <row r="40" spans="1:13" ht="15.2" customHeight="1" x14ac:dyDescent="0.2">
      <c r="A40" s="26" t="s">
        <v>3176</v>
      </c>
      <c r="B40" s="27" t="s">
        <v>3177</v>
      </c>
      <c r="C40" s="28">
        <v>1</v>
      </c>
      <c r="D40" s="29">
        <v>17.670000000000002</v>
      </c>
      <c r="E40" s="29">
        <v>17.670000000000002</v>
      </c>
      <c r="F40" s="30">
        <v>49.5</v>
      </c>
      <c r="G40" s="29">
        <v>49.5</v>
      </c>
      <c r="H40" s="28" t="s">
        <v>2587</v>
      </c>
      <c r="I40" s="27" t="s">
        <v>75</v>
      </c>
      <c r="J40" s="31" t="s">
        <v>40</v>
      </c>
      <c r="K40" s="27" t="s">
        <v>53</v>
      </c>
      <c r="L40" s="27" t="s">
        <v>54</v>
      </c>
      <c r="M40" s="32" t="str">
        <f>HYPERLINK("http://slimages.macys.com/is/image/MCY/3758286 ")</f>
        <v xml:space="preserve">http://slimages.macys.com/is/image/MCY/3758286 </v>
      </c>
    </row>
    <row r="41" spans="1:13" ht="15.2" customHeight="1" x14ac:dyDescent="0.2">
      <c r="A41" s="26" t="s">
        <v>3734</v>
      </c>
      <c r="B41" s="27" t="s">
        <v>3735</v>
      </c>
      <c r="C41" s="28">
        <v>1</v>
      </c>
      <c r="D41" s="29">
        <v>17.55</v>
      </c>
      <c r="E41" s="29">
        <v>17.55</v>
      </c>
      <c r="F41" s="30">
        <v>49.5</v>
      </c>
      <c r="G41" s="29">
        <v>49.5</v>
      </c>
      <c r="H41" s="28" t="s">
        <v>3736</v>
      </c>
      <c r="I41" s="27" t="s">
        <v>82</v>
      </c>
      <c r="J41" s="31" t="s">
        <v>52</v>
      </c>
      <c r="K41" s="27" t="s">
        <v>41</v>
      </c>
      <c r="L41" s="27" t="s">
        <v>45</v>
      </c>
      <c r="M41" s="32" t="str">
        <f>HYPERLINK("http://slimages.macys.com/is/image/MCY/3650934 ")</f>
        <v xml:space="preserve">http://slimages.macys.com/is/image/MCY/3650934 </v>
      </c>
    </row>
    <row r="42" spans="1:13" ht="15.2" customHeight="1" x14ac:dyDescent="0.2">
      <c r="A42" s="26" t="s">
        <v>3188</v>
      </c>
      <c r="B42" s="27" t="s">
        <v>3189</v>
      </c>
      <c r="C42" s="28">
        <v>1</v>
      </c>
      <c r="D42" s="29">
        <v>17.25</v>
      </c>
      <c r="E42" s="29">
        <v>17.25</v>
      </c>
      <c r="F42" s="30">
        <v>49</v>
      </c>
      <c r="G42" s="29">
        <v>49</v>
      </c>
      <c r="H42" s="28" t="s">
        <v>2828</v>
      </c>
      <c r="I42" s="27" t="s">
        <v>4</v>
      </c>
      <c r="J42" s="31" t="s">
        <v>40</v>
      </c>
      <c r="K42" s="27" t="s">
        <v>37</v>
      </c>
      <c r="L42" s="27" t="s">
        <v>38</v>
      </c>
      <c r="M42" s="32" t="str">
        <f>HYPERLINK("http://slimages.macys.com/is/image/MCY/3801775 ")</f>
        <v xml:space="preserve">http://slimages.macys.com/is/image/MCY/3801775 </v>
      </c>
    </row>
    <row r="43" spans="1:13" ht="15.2" customHeight="1" x14ac:dyDescent="0.2">
      <c r="A43" s="26" t="s">
        <v>3737</v>
      </c>
      <c r="B43" s="27" t="s">
        <v>3738</v>
      </c>
      <c r="C43" s="28">
        <v>1</v>
      </c>
      <c r="D43" s="29">
        <v>17.25</v>
      </c>
      <c r="E43" s="29">
        <v>17.25</v>
      </c>
      <c r="F43" s="30">
        <v>49</v>
      </c>
      <c r="G43" s="29">
        <v>49</v>
      </c>
      <c r="H43" s="28" t="s">
        <v>119</v>
      </c>
      <c r="I43" s="27" t="s">
        <v>10</v>
      </c>
      <c r="J43" s="31" t="s">
        <v>52</v>
      </c>
      <c r="K43" s="27" t="s">
        <v>37</v>
      </c>
      <c r="L43" s="27" t="s">
        <v>38</v>
      </c>
      <c r="M43" s="32" t="str">
        <f>HYPERLINK("http://slimages.macys.com/is/image/MCY/3507100 ")</f>
        <v xml:space="preserve">http://slimages.macys.com/is/image/MCY/3507100 </v>
      </c>
    </row>
    <row r="44" spans="1:13" ht="15.2" customHeight="1" x14ac:dyDescent="0.2">
      <c r="A44" s="26" t="s">
        <v>114</v>
      </c>
      <c r="B44" s="27" t="s">
        <v>115</v>
      </c>
      <c r="C44" s="28">
        <v>1</v>
      </c>
      <c r="D44" s="29">
        <v>17.25</v>
      </c>
      <c r="E44" s="29">
        <v>17.25</v>
      </c>
      <c r="F44" s="30">
        <v>49</v>
      </c>
      <c r="G44" s="29">
        <v>49</v>
      </c>
      <c r="H44" s="28" t="s">
        <v>116</v>
      </c>
      <c r="I44" s="27" t="s">
        <v>36</v>
      </c>
      <c r="J44" s="31" t="s">
        <v>21</v>
      </c>
      <c r="K44" s="27" t="s">
        <v>37</v>
      </c>
      <c r="L44" s="27" t="s">
        <v>38</v>
      </c>
      <c r="M44" s="32" t="str">
        <f>HYPERLINK("http://slimages.macys.com/is/image/MCY/3820526 ")</f>
        <v xml:space="preserve">http://slimages.macys.com/is/image/MCY/3820526 </v>
      </c>
    </row>
    <row r="45" spans="1:13" ht="15.2" customHeight="1" x14ac:dyDescent="0.2">
      <c r="A45" s="26" t="s">
        <v>2826</v>
      </c>
      <c r="B45" s="27" t="s">
        <v>2827</v>
      </c>
      <c r="C45" s="28">
        <v>1</v>
      </c>
      <c r="D45" s="29">
        <v>17.25</v>
      </c>
      <c r="E45" s="29">
        <v>17.25</v>
      </c>
      <c r="F45" s="30">
        <v>49</v>
      </c>
      <c r="G45" s="29">
        <v>49</v>
      </c>
      <c r="H45" s="28" t="s">
        <v>2828</v>
      </c>
      <c r="I45" s="27" t="s">
        <v>4</v>
      </c>
      <c r="J45" s="31" t="s">
        <v>52</v>
      </c>
      <c r="K45" s="27" t="s">
        <v>37</v>
      </c>
      <c r="L45" s="27" t="s">
        <v>38</v>
      </c>
      <c r="M45" s="32" t="str">
        <f>HYPERLINK("http://slimages.macys.com/is/image/MCY/3801775 ")</f>
        <v xml:space="preserve">http://slimages.macys.com/is/image/MCY/3801775 </v>
      </c>
    </row>
    <row r="46" spans="1:13" ht="15.2" customHeight="1" x14ac:dyDescent="0.2">
      <c r="A46" s="26" t="s">
        <v>3739</v>
      </c>
      <c r="B46" s="27" t="s">
        <v>3740</v>
      </c>
      <c r="C46" s="28">
        <v>1</v>
      </c>
      <c r="D46" s="29">
        <v>17.2</v>
      </c>
      <c r="E46" s="29">
        <v>17.2</v>
      </c>
      <c r="F46" s="30">
        <v>34.99</v>
      </c>
      <c r="G46" s="29">
        <v>34.99</v>
      </c>
      <c r="H46" s="28">
        <v>228950003</v>
      </c>
      <c r="I46" s="27" t="s">
        <v>144</v>
      </c>
      <c r="J46" s="31" t="s">
        <v>40</v>
      </c>
      <c r="K46" s="27" t="s">
        <v>2</v>
      </c>
      <c r="L46" s="27" t="s">
        <v>3</v>
      </c>
      <c r="M46" s="32" t="str">
        <f>HYPERLINK("http://slimages.macys.com/is/image/MCY/3829640 ")</f>
        <v xml:space="preserve">http://slimages.macys.com/is/image/MCY/3829640 </v>
      </c>
    </row>
    <row r="47" spans="1:13" ht="15.2" customHeight="1" x14ac:dyDescent="0.2">
      <c r="A47" s="26" t="s">
        <v>3741</v>
      </c>
      <c r="B47" s="27" t="s">
        <v>3742</v>
      </c>
      <c r="C47" s="28">
        <v>1</v>
      </c>
      <c r="D47" s="29">
        <v>16.5</v>
      </c>
      <c r="E47" s="29">
        <v>16.5</v>
      </c>
      <c r="F47" s="30">
        <v>64</v>
      </c>
      <c r="G47" s="29">
        <v>64</v>
      </c>
      <c r="H47" s="28" t="s">
        <v>2101</v>
      </c>
      <c r="I47" s="27" t="s">
        <v>207</v>
      </c>
      <c r="J47" s="31" t="s">
        <v>11</v>
      </c>
      <c r="K47" s="27" t="s">
        <v>132</v>
      </c>
      <c r="L47" s="27" t="s">
        <v>133</v>
      </c>
      <c r="M47" s="32" t="str">
        <f>HYPERLINK("http://slimages.macys.com/is/image/MCY/3738523 ")</f>
        <v xml:space="preserve">http://slimages.macys.com/is/image/MCY/3738523 </v>
      </c>
    </row>
    <row r="48" spans="1:13" ht="15.2" customHeight="1" x14ac:dyDescent="0.2">
      <c r="A48" s="26" t="s">
        <v>3743</v>
      </c>
      <c r="B48" s="27" t="s">
        <v>3744</v>
      </c>
      <c r="C48" s="28">
        <v>1</v>
      </c>
      <c r="D48" s="29">
        <v>16.5</v>
      </c>
      <c r="E48" s="29">
        <v>16.5</v>
      </c>
      <c r="F48" s="30">
        <v>59</v>
      </c>
      <c r="G48" s="29">
        <v>59</v>
      </c>
      <c r="H48" s="28" t="s">
        <v>3745</v>
      </c>
      <c r="I48" s="27" t="s">
        <v>1</v>
      </c>
      <c r="J48" s="31" t="s">
        <v>30</v>
      </c>
      <c r="K48" s="27" t="s">
        <v>132</v>
      </c>
      <c r="L48" s="27" t="s">
        <v>254</v>
      </c>
      <c r="M48" s="32" t="str">
        <f>HYPERLINK("http://slimages.macys.com/is/image/MCY/3931840 ")</f>
        <v xml:space="preserve">http://slimages.macys.com/is/image/MCY/3931840 </v>
      </c>
    </row>
    <row r="49" spans="1:13" ht="15.2" customHeight="1" x14ac:dyDescent="0.2">
      <c r="A49" s="26" t="s">
        <v>3746</v>
      </c>
      <c r="B49" s="27" t="s">
        <v>3747</v>
      </c>
      <c r="C49" s="28">
        <v>1</v>
      </c>
      <c r="D49" s="29">
        <v>16.46</v>
      </c>
      <c r="E49" s="29">
        <v>16.46</v>
      </c>
      <c r="F49" s="30">
        <v>44.5</v>
      </c>
      <c r="G49" s="29">
        <v>44.5</v>
      </c>
      <c r="H49" s="28" t="s">
        <v>3748</v>
      </c>
      <c r="I49" s="27" t="s">
        <v>4</v>
      </c>
      <c r="J49" s="31" t="s">
        <v>65</v>
      </c>
      <c r="K49" s="27" t="s">
        <v>53</v>
      </c>
      <c r="L49" s="27" t="s">
        <v>167</v>
      </c>
      <c r="M49" s="32" t="str">
        <f>HYPERLINK("http://slimages.macys.com/is/image/MCY/3836412 ")</f>
        <v xml:space="preserve">http://slimages.macys.com/is/image/MCY/3836412 </v>
      </c>
    </row>
    <row r="50" spans="1:13" ht="15.2" customHeight="1" x14ac:dyDescent="0.2">
      <c r="A50" s="26" t="s">
        <v>3749</v>
      </c>
      <c r="B50" s="27" t="s">
        <v>3750</v>
      </c>
      <c r="C50" s="28">
        <v>1</v>
      </c>
      <c r="D50" s="29">
        <v>16.239999999999998</v>
      </c>
      <c r="E50" s="29">
        <v>16.239999999999998</v>
      </c>
      <c r="F50" s="30">
        <v>44.5</v>
      </c>
      <c r="G50" s="29">
        <v>44.5</v>
      </c>
      <c r="H50" s="28" t="s">
        <v>711</v>
      </c>
      <c r="I50" s="27" t="s">
        <v>49</v>
      </c>
      <c r="J50" s="31" t="s">
        <v>172</v>
      </c>
      <c r="K50" s="27" t="s">
        <v>41</v>
      </c>
      <c r="L50" s="27" t="s">
        <v>90</v>
      </c>
      <c r="M50" s="32" t="str">
        <f>HYPERLINK("http://slimages.macys.com/is/image/MCY/3774436 ")</f>
        <v xml:space="preserve">http://slimages.macys.com/is/image/MCY/3774436 </v>
      </c>
    </row>
    <row r="51" spans="1:13" ht="15.2" customHeight="1" x14ac:dyDescent="0.2">
      <c r="A51" s="26" t="s">
        <v>3751</v>
      </c>
      <c r="B51" s="27" t="s">
        <v>3752</v>
      </c>
      <c r="C51" s="28">
        <v>1</v>
      </c>
      <c r="D51" s="29">
        <v>16</v>
      </c>
      <c r="E51" s="29">
        <v>16</v>
      </c>
      <c r="F51" s="30">
        <v>59</v>
      </c>
      <c r="G51" s="29">
        <v>59</v>
      </c>
      <c r="H51" s="28" t="s">
        <v>3753</v>
      </c>
      <c r="I51" s="27" t="s">
        <v>4</v>
      </c>
      <c r="J51" s="31" t="s">
        <v>30</v>
      </c>
      <c r="K51" s="27" t="s">
        <v>132</v>
      </c>
      <c r="L51" s="27" t="s">
        <v>514</v>
      </c>
      <c r="M51" s="32" t="str">
        <f>HYPERLINK("http://slimages.macys.com/is/image/MCY/3975502 ")</f>
        <v xml:space="preserve">http://slimages.macys.com/is/image/MCY/3975502 </v>
      </c>
    </row>
    <row r="52" spans="1:13" ht="15.2" customHeight="1" x14ac:dyDescent="0.2">
      <c r="A52" s="26" t="s">
        <v>3754</v>
      </c>
      <c r="B52" s="27" t="s">
        <v>3755</v>
      </c>
      <c r="C52" s="28">
        <v>1</v>
      </c>
      <c r="D52" s="29">
        <v>15.8</v>
      </c>
      <c r="E52" s="29">
        <v>15.8</v>
      </c>
      <c r="F52" s="30">
        <v>39.5</v>
      </c>
      <c r="G52" s="29">
        <v>39.5</v>
      </c>
      <c r="H52" s="28" t="s">
        <v>1760</v>
      </c>
      <c r="I52" s="27" t="s">
        <v>29</v>
      </c>
      <c r="J52" s="31" t="s">
        <v>52</v>
      </c>
      <c r="K52" s="27" t="s">
        <v>27</v>
      </c>
      <c r="L52" s="27" t="s">
        <v>28</v>
      </c>
      <c r="M52" s="32" t="str">
        <f>HYPERLINK("http://slimages.macys.com/is/image/MCY/3900659 ")</f>
        <v xml:space="preserve">http://slimages.macys.com/is/image/MCY/3900659 </v>
      </c>
    </row>
    <row r="53" spans="1:13" ht="15.2" customHeight="1" x14ac:dyDescent="0.2">
      <c r="A53" s="26" t="s">
        <v>3756</v>
      </c>
      <c r="B53" s="27" t="s">
        <v>3757</v>
      </c>
      <c r="C53" s="28">
        <v>1</v>
      </c>
      <c r="D53" s="29">
        <v>15.75</v>
      </c>
      <c r="E53" s="29">
        <v>15.75</v>
      </c>
      <c r="F53" s="30">
        <v>49</v>
      </c>
      <c r="G53" s="29">
        <v>49</v>
      </c>
      <c r="H53" s="28" t="s">
        <v>145</v>
      </c>
      <c r="I53" s="27" t="s">
        <v>146</v>
      </c>
      <c r="J53" s="31" t="s">
        <v>40</v>
      </c>
      <c r="K53" s="27" t="s">
        <v>37</v>
      </c>
      <c r="L53" s="27" t="s">
        <v>38</v>
      </c>
      <c r="M53" s="32" t="str">
        <f>HYPERLINK("http://slimages.macys.com/is/image/MCY/3667805 ")</f>
        <v xml:space="preserve">http://slimages.macys.com/is/image/MCY/3667805 </v>
      </c>
    </row>
    <row r="54" spans="1:13" ht="15.2" customHeight="1" x14ac:dyDescent="0.2">
      <c r="A54" s="26" t="s">
        <v>2841</v>
      </c>
      <c r="B54" s="27" t="s">
        <v>2842</v>
      </c>
      <c r="C54" s="28">
        <v>1</v>
      </c>
      <c r="D54" s="29">
        <v>15</v>
      </c>
      <c r="E54" s="29">
        <v>15</v>
      </c>
      <c r="F54" s="30">
        <v>59</v>
      </c>
      <c r="G54" s="29">
        <v>59</v>
      </c>
      <c r="H54" s="28" t="s">
        <v>158</v>
      </c>
      <c r="I54" s="27"/>
      <c r="J54" s="31" t="s">
        <v>40</v>
      </c>
      <c r="K54" s="27" t="s">
        <v>154</v>
      </c>
      <c r="L54" s="27" t="s">
        <v>155</v>
      </c>
      <c r="M54" s="32" t="str">
        <f>HYPERLINK("http://slimages.macys.com/is/image/MCY/3667495 ")</f>
        <v xml:space="preserve">http://slimages.macys.com/is/image/MCY/3667495 </v>
      </c>
    </row>
    <row r="55" spans="1:13" ht="15.2" customHeight="1" x14ac:dyDescent="0.2">
      <c r="A55" s="26" t="s">
        <v>3758</v>
      </c>
      <c r="B55" s="27" t="s">
        <v>3759</v>
      </c>
      <c r="C55" s="28">
        <v>1</v>
      </c>
      <c r="D55" s="29">
        <v>15</v>
      </c>
      <c r="E55" s="29">
        <v>15</v>
      </c>
      <c r="F55" s="30">
        <v>49</v>
      </c>
      <c r="G55" s="29">
        <v>49</v>
      </c>
      <c r="H55" s="28" t="s">
        <v>153</v>
      </c>
      <c r="I55" s="27" t="s">
        <v>82</v>
      </c>
      <c r="J55" s="31" t="s">
        <v>71</v>
      </c>
      <c r="K55" s="27" t="s">
        <v>154</v>
      </c>
      <c r="L55" s="27" t="s">
        <v>155</v>
      </c>
      <c r="M55" s="32" t="str">
        <f>HYPERLINK("http://slimages.macys.com/is/image/MCY/3801894 ")</f>
        <v xml:space="preserve">http://slimages.macys.com/is/image/MCY/3801894 </v>
      </c>
    </row>
    <row r="56" spans="1:13" ht="15.2" customHeight="1" x14ac:dyDescent="0.2">
      <c r="A56" s="26" t="s">
        <v>156</v>
      </c>
      <c r="B56" s="27" t="s">
        <v>157</v>
      </c>
      <c r="C56" s="28">
        <v>1</v>
      </c>
      <c r="D56" s="29">
        <v>15</v>
      </c>
      <c r="E56" s="29">
        <v>15</v>
      </c>
      <c r="F56" s="30">
        <v>59</v>
      </c>
      <c r="G56" s="29">
        <v>59</v>
      </c>
      <c r="H56" s="28" t="s">
        <v>158</v>
      </c>
      <c r="I56" s="27"/>
      <c r="J56" s="31" t="s">
        <v>65</v>
      </c>
      <c r="K56" s="27" t="s">
        <v>154</v>
      </c>
      <c r="L56" s="27" t="s">
        <v>155</v>
      </c>
      <c r="M56" s="32" t="str">
        <f>HYPERLINK("http://slimages.macys.com/is/image/MCY/3667495 ")</f>
        <v xml:space="preserve">http://slimages.macys.com/is/image/MCY/3667495 </v>
      </c>
    </row>
    <row r="57" spans="1:13" ht="15.2" customHeight="1" x14ac:dyDescent="0.2">
      <c r="A57" s="26" t="s">
        <v>3760</v>
      </c>
      <c r="B57" s="27" t="s">
        <v>3761</v>
      </c>
      <c r="C57" s="28">
        <v>1</v>
      </c>
      <c r="D57" s="29">
        <v>14.77</v>
      </c>
      <c r="E57" s="29">
        <v>14.77</v>
      </c>
      <c r="F57" s="30">
        <v>39.5</v>
      </c>
      <c r="G57" s="29">
        <v>39.5</v>
      </c>
      <c r="H57" s="28" t="s">
        <v>3762</v>
      </c>
      <c r="I57" s="27" t="s">
        <v>215</v>
      </c>
      <c r="J57" s="31" t="s">
        <v>21</v>
      </c>
      <c r="K57" s="27" t="s">
        <v>41</v>
      </c>
      <c r="L57" s="27" t="s">
        <v>45</v>
      </c>
      <c r="M57" s="32" t="str">
        <f>HYPERLINK("http://slimages.macys.com/is/image/MCY/3802120 ")</f>
        <v xml:space="preserve">http://slimages.macys.com/is/image/MCY/3802120 </v>
      </c>
    </row>
    <row r="58" spans="1:13" ht="15.2" customHeight="1" x14ac:dyDescent="0.2">
      <c r="A58" s="26" t="s">
        <v>3763</v>
      </c>
      <c r="B58" s="27" t="s">
        <v>3764</v>
      </c>
      <c r="C58" s="28">
        <v>1</v>
      </c>
      <c r="D58" s="29">
        <v>14.5</v>
      </c>
      <c r="E58" s="29">
        <v>14.5</v>
      </c>
      <c r="F58" s="30">
        <v>59</v>
      </c>
      <c r="G58" s="29">
        <v>59</v>
      </c>
      <c r="H58" s="28" t="s">
        <v>2594</v>
      </c>
      <c r="I58" s="27" t="s">
        <v>295</v>
      </c>
      <c r="J58" s="31" t="s">
        <v>137</v>
      </c>
      <c r="K58" s="27" t="s">
        <v>132</v>
      </c>
      <c r="L58" s="27" t="s">
        <v>133</v>
      </c>
      <c r="M58" s="32" t="str">
        <f>HYPERLINK("http://slimages.macys.com/is/image/MCY/3798070 ")</f>
        <v xml:space="preserve">http://slimages.macys.com/is/image/MCY/3798070 </v>
      </c>
    </row>
    <row r="59" spans="1:13" ht="15.2" customHeight="1" x14ac:dyDescent="0.2">
      <c r="A59" s="26" t="s">
        <v>3765</v>
      </c>
      <c r="B59" s="27" t="s">
        <v>3766</v>
      </c>
      <c r="C59" s="28">
        <v>3</v>
      </c>
      <c r="D59" s="29">
        <v>14.5</v>
      </c>
      <c r="E59" s="29">
        <v>43.5</v>
      </c>
      <c r="F59" s="30">
        <v>45</v>
      </c>
      <c r="G59" s="29">
        <v>135</v>
      </c>
      <c r="H59" s="28" t="s">
        <v>729</v>
      </c>
      <c r="I59" s="27" t="s">
        <v>82</v>
      </c>
      <c r="J59" s="31" t="s">
        <v>65</v>
      </c>
      <c r="K59" s="27" t="s">
        <v>154</v>
      </c>
      <c r="L59" s="27" t="s">
        <v>155</v>
      </c>
      <c r="M59" s="32" t="str">
        <f>HYPERLINK("http://slimages.macys.com/is/image/MCY/3801889 ")</f>
        <v xml:space="preserve">http://slimages.macys.com/is/image/MCY/3801889 </v>
      </c>
    </row>
    <row r="60" spans="1:13" ht="15.2" customHeight="1" x14ac:dyDescent="0.2">
      <c r="A60" s="26" t="s">
        <v>3767</v>
      </c>
      <c r="B60" s="27" t="s">
        <v>3768</v>
      </c>
      <c r="C60" s="28">
        <v>1</v>
      </c>
      <c r="D60" s="29">
        <v>14.5</v>
      </c>
      <c r="E60" s="29">
        <v>14.5</v>
      </c>
      <c r="F60" s="30">
        <v>39</v>
      </c>
      <c r="G60" s="29">
        <v>39</v>
      </c>
      <c r="H60" s="28" t="s">
        <v>3769</v>
      </c>
      <c r="I60" s="27" t="s">
        <v>271</v>
      </c>
      <c r="J60" s="31" t="s">
        <v>52</v>
      </c>
      <c r="K60" s="27" t="s">
        <v>154</v>
      </c>
      <c r="L60" s="27" t="s">
        <v>155</v>
      </c>
      <c r="M60" s="32" t="str">
        <f>HYPERLINK("http://slimages.macys.com/is/image/MCY/3801871 ")</f>
        <v xml:space="preserve">http://slimages.macys.com/is/image/MCY/3801871 </v>
      </c>
    </row>
    <row r="61" spans="1:13" ht="15.2" customHeight="1" x14ac:dyDescent="0.2">
      <c r="A61" s="26" t="s">
        <v>162</v>
      </c>
      <c r="B61" s="27" t="s">
        <v>163</v>
      </c>
      <c r="C61" s="28">
        <v>2</v>
      </c>
      <c r="D61" s="29">
        <v>14.5</v>
      </c>
      <c r="E61" s="29">
        <v>29</v>
      </c>
      <c r="F61" s="30">
        <v>39.5</v>
      </c>
      <c r="G61" s="29">
        <v>79</v>
      </c>
      <c r="H61" s="28" t="s">
        <v>164</v>
      </c>
      <c r="I61" s="27" t="s">
        <v>4</v>
      </c>
      <c r="J61" s="31" t="s">
        <v>5</v>
      </c>
      <c r="K61" s="27" t="s">
        <v>53</v>
      </c>
      <c r="L61" s="27" t="s">
        <v>165</v>
      </c>
      <c r="M61" s="32" t="str">
        <f>HYPERLINK("http://slimages.macys.com/is/image/MCY/3954949 ")</f>
        <v xml:space="preserve">http://slimages.macys.com/is/image/MCY/3954949 </v>
      </c>
    </row>
    <row r="62" spans="1:13" ht="15.2" customHeight="1" x14ac:dyDescent="0.2">
      <c r="A62" s="26" t="s">
        <v>730</v>
      </c>
      <c r="B62" s="27" t="s">
        <v>731</v>
      </c>
      <c r="C62" s="28">
        <v>2</v>
      </c>
      <c r="D62" s="29">
        <v>14.5</v>
      </c>
      <c r="E62" s="29">
        <v>29</v>
      </c>
      <c r="F62" s="30">
        <v>39.5</v>
      </c>
      <c r="G62" s="29">
        <v>79</v>
      </c>
      <c r="H62" s="28" t="s">
        <v>166</v>
      </c>
      <c r="I62" s="27" t="s">
        <v>4</v>
      </c>
      <c r="J62" s="31" t="s">
        <v>21</v>
      </c>
      <c r="K62" s="27" t="s">
        <v>53</v>
      </c>
      <c r="L62" s="27" t="s">
        <v>167</v>
      </c>
      <c r="M62" s="32" t="str">
        <f>HYPERLINK("http://slimages.macys.com/is/image/MCY/3954889 ")</f>
        <v xml:space="preserve">http://slimages.macys.com/is/image/MCY/3954889 </v>
      </c>
    </row>
    <row r="63" spans="1:13" ht="15.2" customHeight="1" x14ac:dyDescent="0.2">
      <c r="A63" s="26" t="s">
        <v>2135</v>
      </c>
      <c r="B63" s="27" t="s">
        <v>2136</v>
      </c>
      <c r="C63" s="28">
        <v>3</v>
      </c>
      <c r="D63" s="29">
        <v>14.5</v>
      </c>
      <c r="E63" s="29">
        <v>43.5</v>
      </c>
      <c r="F63" s="30">
        <v>45</v>
      </c>
      <c r="G63" s="29">
        <v>135</v>
      </c>
      <c r="H63" s="28" t="s">
        <v>1768</v>
      </c>
      <c r="I63" s="27" t="s">
        <v>26</v>
      </c>
      <c r="J63" s="31" t="s">
        <v>5</v>
      </c>
      <c r="K63" s="27" t="s">
        <v>154</v>
      </c>
      <c r="L63" s="27" t="s">
        <v>155</v>
      </c>
      <c r="M63" s="32" t="str">
        <f>HYPERLINK("http://slimages.macys.com/is/image/MCY/3841161 ")</f>
        <v xml:space="preserve">http://slimages.macys.com/is/image/MCY/3841161 </v>
      </c>
    </row>
    <row r="64" spans="1:13" ht="15.2" customHeight="1" x14ac:dyDescent="0.2">
      <c r="A64" s="26" t="s">
        <v>3770</v>
      </c>
      <c r="B64" s="27" t="s">
        <v>3771</v>
      </c>
      <c r="C64" s="28">
        <v>1</v>
      </c>
      <c r="D64" s="29">
        <v>14.5</v>
      </c>
      <c r="E64" s="29">
        <v>14.5</v>
      </c>
      <c r="F64" s="30">
        <v>39.5</v>
      </c>
      <c r="G64" s="29">
        <v>39.5</v>
      </c>
      <c r="H64" s="28" t="s">
        <v>164</v>
      </c>
      <c r="I64" s="27" t="s">
        <v>4</v>
      </c>
      <c r="J64" s="31" t="s">
        <v>52</v>
      </c>
      <c r="K64" s="27" t="s">
        <v>53</v>
      </c>
      <c r="L64" s="27" t="s">
        <v>165</v>
      </c>
      <c r="M64" s="32" t="str">
        <f>HYPERLINK("http://slimages.macys.com/is/image/MCY/3954949 ")</f>
        <v xml:space="preserve">http://slimages.macys.com/is/image/MCY/3954949 </v>
      </c>
    </row>
    <row r="65" spans="1:13" ht="15.2" customHeight="1" x14ac:dyDescent="0.2">
      <c r="A65" s="26" t="s">
        <v>1180</v>
      </c>
      <c r="B65" s="27" t="s">
        <v>1181</v>
      </c>
      <c r="C65" s="28">
        <v>1</v>
      </c>
      <c r="D65" s="29">
        <v>14.5</v>
      </c>
      <c r="E65" s="29">
        <v>14.5</v>
      </c>
      <c r="F65" s="30">
        <v>39.5</v>
      </c>
      <c r="G65" s="29">
        <v>39.5</v>
      </c>
      <c r="H65" s="28" t="s">
        <v>164</v>
      </c>
      <c r="I65" s="27" t="s">
        <v>4</v>
      </c>
      <c r="J65" s="31" t="s">
        <v>21</v>
      </c>
      <c r="K65" s="27" t="s">
        <v>53</v>
      </c>
      <c r="L65" s="27" t="s">
        <v>165</v>
      </c>
      <c r="M65" s="32" t="str">
        <f>HYPERLINK("http://slimages.macys.com/is/image/MCY/3954949 ")</f>
        <v xml:space="preserve">http://slimages.macys.com/is/image/MCY/3954949 </v>
      </c>
    </row>
    <row r="66" spans="1:13" ht="15.2" customHeight="1" x14ac:dyDescent="0.2">
      <c r="A66" s="26" t="s">
        <v>2137</v>
      </c>
      <c r="B66" s="27" t="s">
        <v>2138</v>
      </c>
      <c r="C66" s="28">
        <v>2</v>
      </c>
      <c r="D66" s="29">
        <v>14.5</v>
      </c>
      <c r="E66" s="29">
        <v>29</v>
      </c>
      <c r="F66" s="30">
        <v>45</v>
      </c>
      <c r="G66" s="29">
        <v>90</v>
      </c>
      <c r="H66" s="28" t="s">
        <v>1768</v>
      </c>
      <c r="I66" s="27" t="s">
        <v>26</v>
      </c>
      <c r="J66" s="31" t="s">
        <v>52</v>
      </c>
      <c r="K66" s="27" t="s">
        <v>154</v>
      </c>
      <c r="L66" s="27" t="s">
        <v>155</v>
      </c>
      <c r="M66" s="32" t="str">
        <f>HYPERLINK("http://slimages.macys.com/is/image/MCY/3841161 ")</f>
        <v xml:space="preserve">http://slimages.macys.com/is/image/MCY/3841161 </v>
      </c>
    </row>
    <row r="67" spans="1:13" ht="15.2" customHeight="1" x14ac:dyDescent="0.2">
      <c r="A67" s="26" t="s">
        <v>3772</v>
      </c>
      <c r="B67" s="27" t="s">
        <v>3773</v>
      </c>
      <c r="C67" s="28">
        <v>1</v>
      </c>
      <c r="D67" s="29">
        <v>14.5</v>
      </c>
      <c r="E67" s="29">
        <v>14.5</v>
      </c>
      <c r="F67" s="30">
        <v>39.5</v>
      </c>
      <c r="G67" s="29">
        <v>39.5</v>
      </c>
      <c r="H67" s="28" t="s">
        <v>2595</v>
      </c>
      <c r="I67" s="27" t="s">
        <v>4</v>
      </c>
      <c r="J67" s="31" t="s">
        <v>52</v>
      </c>
      <c r="K67" s="27" t="s">
        <v>53</v>
      </c>
      <c r="L67" s="27" t="s">
        <v>165</v>
      </c>
      <c r="M67" s="32" t="str">
        <f>HYPERLINK("http://slimages.macys.com/is/image/MCY/3883116 ")</f>
        <v xml:space="preserve">http://slimages.macys.com/is/image/MCY/3883116 </v>
      </c>
    </row>
    <row r="68" spans="1:13" ht="15.2" customHeight="1" x14ac:dyDescent="0.2">
      <c r="A68" s="26" t="s">
        <v>3774</v>
      </c>
      <c r="B68" s="27" t="s">
        <v>3775</v>
      </c>
      <c r="C68" s="28">
        <v>1</v>
      </c>
      <c r="D68" s="29">
        <v>14.5</v>
      </c>
      <c r="E68" s="29">
        <v>14.5</v>
      </c>
      <c r="F68" s="30">
        <v>39.5</v>
      </c>
      <c r="G68" s="29">
        <v>39.5</v>
      </c>
      <c r="H68" s="28" t="s">
        <v>164</v>
      </c>
      <c r="I68" s="27" t="s">
        <v>4</v>
      </c>
      <c r="J68" s="31" t="s">
        <v>65</v>
      </c>
      <c r="K68" s="27" t="s">
        <v>53</v>
      </c>
      <c r="L68" s="27" t="s">
        <v>165</v>
      </c>
      <c r="M68" s="32" t="str">
        <f>HYPERLINK("http://slimages.macys.com/is/image/MCY/3954949 ")</f>
        <v xml:space="preserve">http://slimages.macys.com/is/image/MCY/3954949 </v>
      </c>
    </row>
    <row r="69" spans="1:13" ht="15.2" customHeight="1" x14ac:dyDescent="0.2">
      <c r="A69" s="26" t="s">
        <v>1185</v>
      </c>
      <c r="B69" s="27" t="s">
        <v>1186</v>
      </c>
      <c r="C69" s="28">
        <v>1</v>
      </c>
      <c r="D69" s="29">
        <v>14.49</v>
      </c>
      <c r="E69" s="29">
        <v>14.49</v>
      </c>
      <c r="F69" s="30">
        <v>39.5</v>
      </c>
      <c r="G69" s="29">
        <v>39.5</v>
      </c>
      <c r="H69" s="28" t="s">
        <v>171</v>
      </c>
      <c r="I69" s="27" t="s">
        <v>64</v>
      </c>
      <c r="J69" s="31" t="s">
        <v>5</v>
      </c>
      <c r="K69" s="27" t="s">
        <v>53</v>
      </c>
      <c r="L69" s="27" t="s">
        <v>54</v>
      </c>
      <c r="M69" s="32" t="str">
        <f>HYPERLINK("http://slimages.macys.com/is/image/MCY/3369009 ")</f>
        <v xml:space="preserve">http://slimages.macys.com/is/image/MCY/3369009 </v>
      </c>
    </row>
    <row r="70" spans="1:13" ht="15.2" customHeight="1" x14ac:dyDescent="0.2">
      <c r="A70" s="26" t="s">
        <v>173</v>
      </c>
      <c r="B70" s="27" t="s">
        <v>174</v>
      </c>
      <c r="C70" s="28">
        <v>1</v>
      </c>
      <c r="D70" s="29">
        <v>14.49</v>
      </c>
      <c r="E70" s="29">
        <v>14.49</v>
      </c>
      <c r="F70" s="30">
        <v>39.5</v>
      </c>
      <c r="G70" s="29">
        <v>39.5</v>
      </c>
      <c r="H70" s="28" t="s">
        <v>171</v>
      </c>
      <c r="I70" s="27" t="s">
        <v>64</v>
      </c>
      <c r="J70" s="31" t="s">
        <v>65</v>
      </c>
      <c r="K70" s="27" t="s">
        <v>53</v>
      </c>
      <c r="L70" s="27" t="s">
        <v>54</v>
      </c>
      <c r="M70" s="32" t="str">
        <f>HYPERLINK("http://slimages.macys.com/is/image/MCY/3369009 ")</f>
        <v xml:space="preserve">http://slimages.macys.com/is/image/MCY/3369009 </v>
      </c>
    </row>
    <row r="71" spans="1:13" ht="15.2" customHeight="1" x14ac:dyDescent="0.2">
      <c r="A71" s="26" t="s">
        <v>178</v>
      </c>
      <c r="B71" s="27" t="s">
        <v>179</v>
      </c>
      <c r="C71" s="28">
        <v>1</v>
      </c>
      <c r="D71" s="29">
        <v>14.49</v>
      </c>
      <c r="E71" s="29">
        <v>14.49</v>
      </c>
      <c r="F71" s="30">
        <v>39.5</v>
      </c>
      <c r="G71" s="29">
        <v>39.5</v>
      </c>
      <c r="H71" s="28" t="s">
        <v>171</v>
      </c>
      <c r="I71" s="27" t="s">
        <v>64</v>
      </c>
      <c r="J71" s="31" t="s">
        <v>52</v>
      </c>
      <c r="K71" s="27" t="s">
        <v>53</v>
      </c>
      <c r="L71" s="27" t="s">
        <v>54</v>
      </c>
      <c r="M71" s="32" t="str">
        <f>HYPERLINK("http://slimages.macys.com/is/image/MCY/3369009 ")</f>
        <v xml:space="preserve">http://slimages.macys.com/is/image/MCY/3369009 </v>
      </c>
    </row>
    <row r="72" spans="1:13" ht="15.2" customHeight="1" x14ac:dyDescent="0.2">
      <c r="A72" s="26" t="s">
        <v>3776</v>
      </c>
      <c r="B72" s="27" t="s">
        <v>3777</v>
      </c>
      <c r="C72" s="28">
        <v>1</v>
      </c>
      <c r="D72" s="29">
        <v>14</v>
      </c>
      <c r="E72" s="29">
        <v>14</v>
      </c>
      <c r="F72" s="30">
        <v>69</v>
      </c>
      <c r="G72" s="29">
        <v>69</v>
      </c>
      <c r="H72" s="28" t="s">
        <v>3778</v>
      </c>
      <c r="I72" s="27" t="s">
        <v>4</v>
      </c>
      <c r="J72" s="31" t="s">
        <v>172</v>
      </c>
      <c r="K72" s="27" t="s">
        <v>132</v>
      </c>
      <c r="L72" s="27" t="s">
        <v>514</v>
      </c>
      <c r="M72" s="32" t="str">
        <f>HYPERLINK("http://slimages.macys.com/is/image/MCY/3561790 ")</f>
        <v xml:space="preserve">http://slimages.macys.com/is/image/MCY/3561790 </v>
      </c>
    </row>
    <row r="73" spans="1:13" ht="15.2" customHeight="1" x14ac:dyDescent="0.2">
      <c r="A73" s="26" t="s">
        <v>3779</v>
      </c>
      <c r="B73" s="27" t="s">
        <v>3780</v>
      </c>
      <c r="C73" s="28">
        <v>1</v>
      </c>
      <c r="D73" s="29">
        <v>13.5</v>
      </c>
      <c r="E73" s="29">
        <v>13.5</v>
      </c>
      <c r="F73" s="30">
        <v>59</v>
      </c>
      <c r="G73" s="29">
        <v>59</v>
      </c>
      <c r="H73" s="28" t="s">
        <v>3781</v>
      </c>
      <c r="I73" s="27" t="s">
        <v>4</v>
      </c>
      <c r="J73" s="31" t="s">
        <v>71</v>
      </c>
      <c r="K73" s="27" t="s">
        <v>132</v>
      </c>
      <c r="L73" s="27" t="s">
        <v>190</v>
      </c>
      <c r="M73" s="32" t="str">
        <f>HYPERLINK("http://slimages.macys.com/is/image/MCY/3456548 ")</f>
        <v xml:space="preserve">http://slimages.macys.com/is/image/MCY/3456548 </v>
      </c>
    </row>
    <row r="74" spans="1:13" ht="15.2" customHeight="1" x14ac:dyDescent="0.2">
      <c r="A74" s="26" t="s">
        <v>3782</v>
      </c>
      <c r="B74" s="27" t="s">
        <v>3783</v>
      </c>
      <c r="C74" s="28">
        <v>1</v>
      </c>
      <c r="D74" s="29">
        <v>13.5</v>
      </c>
      <c r="E74" s="29">
        <v>13.5</v>
      </c>
      <c r="F74" s="30">
        <v>29.99</v>
      </c>
      <c r="G74" s="29">
        <v>29.99</v>
      </c>
      <c r="H74" s="28" t="s">
        <v>739</v>
      </c>
      <c r="I74" s="27" t="s">
        <v>207</v>
      </c>
      <c r="J74" s="31" t="s">
        <v>205</v>
      </c>
      <c r="K74" s="27" t="s">
        <v>200</v>
      </c>
      <c r="L74" s="27" t="s">
        <v>133</v>
      </c>
      <c r="M74" s="32" t="str">
        <f>HYPERLINK("http://slimages.macys.com/is/image/MCY/3866347 ")</f>
        <v xml:space="preserve">http://slimages.macys.com/is/image/MCY/3866347 </v>
      </c>
    </row>
    <row r="75" spans="1:13" ht="15.2" customHeight="1" x14ac:dyDescent="0.2">
      <c r="A75" s="26" t="s">
        <v>1773</v>
      </c>
      <c r="B75" s="27" t="s">
        <v>1774</v>
      </c>
      <c r="C75" s="28">
        <v>1</v>
      </c>
      <c r="D75" s="29">
        <v>13.5</v>
      </c>
      <c r="E75" s="29">
        <v>13.5</v>
      </c>
      <c r="F75" s="30">
        <v>39</v>
      </c>
      <c r="G75" s="29">
        <v>39</v>
      </c>
      <c r="H75" s="28" t="s">
        <v>1775</v>
      </c>
      <c r="I75" s="27"/>
      <c r="J75" s="31" t="s">
        <v>5</v>
      </c>
      <c r="K75" s="27" t="s">
        <v>154</v>
      </c>
      <c r="L75" s="27" t="s">
        <v>155</v>
      </c>
      <c r="M75" s="32" t="str">
        <f>HYPERLINK("http://slimages.macys.com/is/image/MCY/3748064 ")</f>
        <v xml:space="preserve">http://slimages.macys.com/is/image/MCY/3748064 </v>
      </c>
    </row>
    <row r="76" spans="1:13" ht="15.2" customHeight="1" x14ac:dyDescent="0.2">
      <c r="A76" s="26" t="s">
        <v>3236</v>
      </c>
      <c r="B76" s="27" t="s">
        <v>3237</v>
      </c>
      <c r="C76" s="28">
        <v>1</v>
      </c>
      <c r="D76" s="29">
        <v>13.5</v>
      </c>
      <c r="E76" s="29">
        <v>13.5</v>
      </c>
      <c r="F76" s="30">
        <v>29.99</v>
      </c>
      <c r="G76" s="29">
        <v>29.99</v>
      </c>
      <c r="H76" s="28" t="s">
        <v>739</v>
      </c>
      <c r="I76" s="27" t="s">
        <v>207</v>
      </c>
      <c r="J76" s="31" t="s">
        <v>214</v>
      </c>
      <c r="K76" s="27" t="s">
        <v>200</v>
      </c>
      <c r="L76" s="27" t="s">
        <v>133</v>
      </c>
      <c r="M76" s="32" t="str">
        <f>HYPERLINK("http://slimages.macys.com/is/image/MCY/3866347 ")</f>
        <v xml:space="preserve">http://slimages.macys.com/is/image/MCY/3866347 </v>
      </c>
    </row>
    <row r="77" spans="1:13" ht="15.2" customHeight="1" x14ac:dyDescent="0.2">
      <c r="A77" s="26" t="s">
        <v>3784</v>
      </c>
      <c r="B77" s="27" t="s">
        <v>3785</v>
      </c>
      <c r="C77" s="28">
        <v>1</v>
      </c>
      <c r="D77" s="29">
        <v>13.5</v>
      </c>
      <c r="E77" s="29">
        <v>13.5</v>
      </c>
      <c r="F77" s="30">
        <v>49</v>
      </c>
      <c r="G77" s="29">
        <v>49</v>
      </c>
      <c r="H77" s="28" t="s">
        <v>3786</v>
      </c>
      <c r="I77" s="27" t="s">
        <v>144</v>
      </c>
      <c r="J77" s="31" t="s">
        <v>50</v>
      </c>
      <c r="K77" s="27" t="s">
        <v>132</v>
      </c>
      <c r="L77" s="27" t="s">
        <v>150</v>
      </c>
      <c r="M77" s="32" t="str">
        <f>HYPERLINK("http://slimages.macys.com/is/image/MCY/3736761 ")</f>
        <v xml:space="preserve">http://slimages.macys.com/is/image/MCY/3736761 </v>
      </c>
    </row>
    <row r="78" spans="1:13" ht="15.2" customHeight="1" x14ac:dyDescent="0.2">
      <c r="A78" s="26" t="s">
        <v>3787</v>
      </c>
      <c r="B78" s="27" t="s">
        <v>3788</v>
      </c>
      <c r="C78" s="28">
        <v>2</v>
      </c>
      <c r="D78" s="29">
        <v>13.23</v>
      </c>
      <c r="E78" s="29">
        <v>26.46</v>
      </c>
      <c r="F78" s="30">
        <v>39.5</v>
      </c>
      <c r="G78" s="29">
        <v>79</v>
      </c>
      <c r="H78" s="28" t="s">
        <v>198</v>
      </c>
      <c r="I78" s="27" t="s">
        <v>4</v>
      </c>
      <c r="J78" s="31" t="s">
        <v>52</v>
      </c>
      <c r="K78" s="27" t="s">
        <v>53</v>
      </c>
      <c r="L78" s="27" t="s">
        <v>165</v>
      </c>
      <c r="M78" s="32" t="str">
        <f>HYPERLINK("http://slimages.macys.com/is/image/MCY/3808484 ")</f>
        <v xml:space="preserve">http://slimages.macys.com/is/image/MCY/3808484 </v>
      </c>
    </row>
    <row r="79" spans="1:13" ht="15.2" customHeight="1" x14ac:dyDescent="0.2">
      <c r="A79" s="26" t="s">
        <v>3789</v>
      </c>
      <c r="B79" s="27" t="s">
        <v>3790</v>
      </c>
      <c r="C79" s="28">
        <v>1</v>
      </c>
      <c r="D79" s="29">
        <v>13.23</v>
      </c>
      <c r="E79" s="29">
        <v>13.23</v>
      </c>
      <c r="F79" s="30">
        <v>39.5</v>
      </c>
      <c r="G79" s="29">
        <v>39.5</v>
      </c>
      <c r="H79" s="28" t="s">
        <v>198</v>
      </c>
      <c r="I79" s="27" t="s">
        <v>26</v>
      </c>
      <c r="J79" s="31" t="s">
        <v>40</v>
      </c>
      <c r="K79" s="27" t="s">
        <v>53</v>
      </c>
      <c r="L79" s="27" t="s">
        <v>165</v>
      </c>
      <c r="M79" s="32" t="str">
        <f>HYPERLINK("http://slimages.macys.com/is/image/MCY/3808484 ")</f>
        <v xml:space="preserve">http://slimages.macys.com/is/image/MCY/3808484 </v>
      </c>
    </row>
    <row r="80" spans="1:13" ht="15.2" customHeight="1" x14ac:dyDescent="0.2">
      <c r="A80" s="26" t="s">
        <v>2144</v>
      </c>
      <c r="B80" s="27" t="s">
        <v>2145</v>
      </c>
      <c r="C80" s="28">
        <v>2</v>
      </c>
      <c r="D80" s="29">
        <v>13.23</v>
      </c>
      <c r="E80" s="29">
        <v>26.46</v>
      </c>
      <c r="F80" s="30">
        <v>39.5</v>
      </c>
      <c r="G80" s="29">
        <v>79</v>
      </c>
      <c r="H80" s="28" t="s">
        <v>198</v>
      </c>
      <c r="I80" s="27" t="s">
        <v>4</v>
      </c>
      <c r="J80" s="31" t="s">
        <v>5</v>
      </c>
      <c r="K80" s="27" t="s">
        <v>53</v>
      </c>
      <c r="L80" s="27" t="s">
        <v>165</v>
      </c>
      <c r="M80" s="32" t="str">
        <f>HYPERLINK("http://slimages.macys.com/is/image/MCY/3808484 ")</f>
        <v xml:space="preserve">http://slimages.macys.com/is/image/MCY/3808484 </v>
      </c>
    </row>
    <row r="81" spans="1:13" ht="15.2" customHeight="1" x14ac:dyDescent="0.2">
      <c r="A81" s="26" t="s">
        <v>2147</v>
      </c>
      <c r="B81" s="27" t="s">
        <v>2148</v>
      </c>
      <c r="C81" s="28">
        <v>1</v>
      </c>
      <c r="D81" s="29">
        <v>13</v>
      </c>
      <c r="E81" s="29">
        <v>13</v>
      </c>
      <c r="F81" s="30">
        <v>29.99</v>
      </c>
      <c r="G81" s="29">
        <v>29.99</v>
      </c>
      <c r="H81" s="28" t="s">
        <v>1206</v>
      </c>
      <c r="I81" s="27" t="s">
        <v>4</v>
      </c>
      <c r="J81" s="31" t="s">
        <v>210</v>
      </c>
      <c r="K81" s="27" t="s">
        <v>200</v>
      </c>
      <c r="L81" s="27" t="s">
        <v>133</v>
      </c>
      <c r="M81" s="32" t="str">
        <f>HYPERLINK("http://slimages.macys.com/is/image/MCY/3874256 ")</f>
        <v xml:space="preserve">http://slimages.macys.com/is/image/MCY/3874256 </v>
      </c>
    </row>
    <row r="82" spans="1:13" ht="15.2" customHeight="1" x14ac:dyDescent="0.2">
      <c r="A82" s="26" t="s">
        <v>3791</v>
      </c>
      <c r="B82" s="27" t="s">
        <v>3792</v>
      </c>
      <c r="C82" s="28">
        <v>1</v>
      </c>
      <c r="D82" s="29">
        <v>13</v>
      </c>
      <c r="E82" s="29">
        <v>13</v>
      </c>
      <c r="F82" s="30">
        <v>29.99</v>
      </c>
      <c r="G82" s="29">
        <v>29.99</v>
      </c>
      <c r="H82" s="28" t="s">
        <v>1207</v>
      </c>
      <c r="I82" s="27" t="s">
        <v>4</v>
      </c>
      <c r="J82" s="31" t="s">
        <v>69</v>
      </c>
      <c r="K82" s="27" t="s">
        <v>200</v>
      </c>
      <c r="L82" s="27" t="s">
        <v>133</v>
      </c>
      <c r="M82" s="32" t="str">
        <f>HYPERLINK("http://slimages.macys.com/is/image/MCY/3874062 ")</f>
        <v xml:space="preserve">http://slimages.macys.com/is/image/MCY/3874062 </v>
      </c>
    </row>
    <row r="83" spans="1:13" ht="15.2" customHeight="1" x14ac:dyDescent="0.2">
      <c r="A83" s="26" t="s">
        <v>3793</v>
      </c>
      <c r="B83" s="27" t="s">
        <v>3794</v>
      </c>
      <c r="C83" s="28">
        <v>1</v>
      </c>
      <c r="D83" s="29">
        <v>13</v>
      </c>
      <c r="E83" s="29">
        <v>13</v>
      </c>
      <c r="F83" s="30">
        <v>59</v>
      </c>
      <c r="G83" s="29">
        <v>59</v>
      </c>
      <c r="H83" s="28" t="s">
        <v>745</v>
      </c>
      <c r="I83" s="27" t="s">
        <v>26</v>
      </c>
      <c r="J83" s="31" t="s">
        <v>172</v>
      </c>
      <c r="K83" s="27" t="s">
        <v>132</v>
      </c>
      <c r="L83" s="27" t="s">
        <v>190</v>
      </c>
      <c r="M83" s="32" t="str">
        <f>HYPERLINK("http://slimages.macys.com/is/image/MCY/2078966 ")</f>
        <v xml:space="preserve">http://slimages.macys.com/is/image/MCY/2078966 </v>
      </c>
    </row>
    <row r="84" spans="1:13" ht="15.2" customHeight="1" x14ac:dyDescent="0.2">
      <c r="A84" s="26" t="s">
        <v>1783</v>
      </c>
      <c r="B84" s="27" t="s">
        <v>1784</v>
      </c>
      <c r="C84" s="28">
        <v>2</v>
      </c>
      <c r="D84" s="29">
        <v>12.77</v>
      </c>
      <c r="E84" s="29">
        <v>25.54</v>
      </c>
      <c r="F84" s="30">
        <v>34.99</v>
      </c>
      <c r="G84" s="29">
        <v>69.98</v>
      </c>
      <c r="H84" s="28" t="s">
        <v>758</v>
      </c>
      <c r="I84" s="27" t="s">
        <v>33</v>
      </c>
      <c r="J84" s="31" t="s">
        <v>5</v>
      </c>
      <c r="K84" s="27" t="s">
        <v>41</v>
      </c>
      <c r="L84" s="27" t="s">
        <v>90</v>
      </c>
      <c r="M84" s="32" t="str">
        <f>HYPERLINK("http://slimages.macys.com/is/image/MCY/3913270 ")</f>
        <v xml:space="preserve">http://slimages.macys.com/is/image/MCY/3913270 </v>
      </c>
    </row>
    <row r="85" spans="1:13" ht="15.2" customHeight="1" x14ac:dyDescent="0.2">
      <c r="A85" s="26" t="s">
        <v>1210</v>
      </c>
      <c r="B85" s="27" t="s">
        <v>1211</v>
      </c>
      <c r="C85" s="28">
        <v>1</v>
      </c>
      <c r="D85" s="29">
        <v>12.77</v>
      </c>
      <c r="E85" s="29">
        <v>12.77</v>
      </c>
      <c r="F85" s="30">
        <v>34.99</v>
      </c>
      <c r="G85" s="29">
        <v>34.99</v>
      </c>
      <c r="H85" s="28" t="s">
        <v>758</v>
      </c>
      <c r="I85" s="27" t="s">
        <v>22</v>
      </c>
      <c r="J85" s="31" t="s">
        <v>5</v>
      </c>
      <c r="K85" s="27" t="s">
        <v>41</v>
      </c>
      <c r="L85" s="27" t="s">
        <v>90</v>
      </c>
      <c r="M85" s="32" t="str">
        <f>HYPERLINK("http://slimages.macys.com/is/image/MCY/3913270 ")</f>
        <v xml:space="preserve">http://slimages.macys.com/is/image/MCY/3913270 </v>
      </c>
    </row>
    <row r="86" spans="1:13" ht="15.2" customHeight="1" x14ac:dyDescent="0.2">
      <c r="A86" s="26" t="s">
        <v>3795</v>
      </c>
      <c r="B86" s="27" t="s">
        <v>3796</v>
      </c>
      <c r="C86" s="28">
        <v>1</v>
      </c>
      <c r="D86" s="29">
        <v>12.75</v>
      </c>
      <c r="E86" s="29">
        <v>12.75</v>
      </c>
      <c r="F86" s="30">
        <v>49</v>
      </c>
      <c r="G86" s="29">
        <v>49</v>
      </c>
      <c r="H86" s="28" t="s">
        <v>204</v>
      </c>
      <c r="I86" s="27" t="s">
        <v>59</v>
      </c>
      <c r="J86" s="31" t="s">
        <v>32</v>
      </c>
      <c r="K86" s="27" t="s">
        <v>132</v>
      </c>
      <c r="L86" s="27" t="s">
        <v>150</v>
      </c>
      <c r="M86" s="32" t="str">
        <f>HYPERLINK("http://slimages.macys.com/is/image/MCY/3542069 ")</f>
        <v xml:space="preserve">http://slimages.macys.com/is/image/MCY/3542069 </v>
      </c>
    </row>
    <row r="87" spans="1:13" ht="15.2" customHeight="1" x14ac:dyDescent="0.2">
      <c r="A87" s="26" t="s">
        <v>202</v>
      </c>
      <c r="B87" s="27" t="s">
        <v>203</v>
      </c>
      <c r="C87" s="28">
        <v>2</v>
      </c>
      <c r="D87" s="29">
        <v>12.75</v>
      </c>
      <c r="E87" s="29">
        <v>25.5</v>
      </c>
      <c r="F87" s="30">
        <v>49</v>
      </c>
      <c r="G87" s="29">
        <v>98</v>
      </c>
      <c r="H87" s="28" t="s">
        <v>204</v>
      </c>
      <c r="I87" s="27" t="s">
        <v>59</v>
      </c>
      <c r="J87" s="31" t="s">
        <v>50</v>
      </c>
      <c r="K87" s="27" t="s">
        <v>132</v>
      </c>
      <c r="L87" s="27" t="s">
        <v>150</v>
      </c>
      <c r="M87" s="32" t="str">
        <f>HYPERLINK("http://slimages.macys.com/is/image/MCY/3542069 ")</f>
        <v xml:space="preserve">http://slimages.macys.com/is/image/MCY/3542069 </v>
      </c>
    </row>
    <row r="88" spans="1:13" ht="15.2" customHeight="1" x14ac:dyDescent="0.2">
      <c r="A88" s="26" t="s">
        <v>3797</v>
      </c>
      <c r="B88" s="27" t="s">
        <v>3798</v>
      </c>
      <c r="C88" s="28">
        <v>1</v>
      </c>
      <c r="D88" s="29">
        <v>12.5</v>
      </c>
      <c r="E88" s="29">
        <v>12.5</v>
      </c>
      <c r="F88" s="30">
        <v>39</v>
      </c>
      <c r="G88" s="29">
        <v>39</v>
      </c>
      <c r="H88" s="28" t="s">
        <v>3799</v>
      </c>
      <c r="I88" s="27" t="s">
        <v>82</v>
      </c>
      <c r="J88" s="31" t="s">
        <v>21</v>
      </c>
      <c r="K88" s="27" t="s">
        <v>154</v>
      </c>
      <c r="L88" s="27" t="s">
        <v>155</v>
      </c>
      <c r="M88" s="32" t="str">
        <f>HYPERLINK("http://slimages.macys.com/is/image/MCY/3748152 ")</f>
        <v xml:space="preserve">http://slimages.macys.com/is/image/MCY/3748152 </v>
      </c>
    </row>
    <row r="89" spans="1:13" ht="15.2" customHeight="1" x14ac:dyDescent="0.2">
      <c r="A89" s="26" t="s">
        <v>3250</v>
      </c>
      <c r="B89" s="27" t="s">
        <v>3251</v>
      </c>
      <c r="C89" s="28">
        <v>1</v>
      </c>
      <c r="D89" s="29">
        <v>12.5</v>
      </c>
      <c r="E89" s="29">
        <v>12.5</v>
      </c>
      <c r="F89" s="30">
        <v>29.99</v>
      </c>
      <c r="G89" s="29">
        <v>29.99</v>
      </c>
      <c r="H89" s="28" t="s">
        <v>2168</v>
      </c>
      <c r="I89" s="27" t="s">
        <v>207</v>
      </c>
      <c r="J89" s="31" t="s">
        <v>69</v>
      </c>
      <c r="K89" s="27" t="s">
        <v>200</v>
      </c>
      <c r="L89" s="27" t="s">
        <v>133</v>
      </c>
      <c r="M89" s="32" t="str">
        <f>HYPERLINK("http://slimages.macys.com/is/image/MCY/3874242 ")</f>
        <v xml:space="preserve">http://slimages.macys.com/is/image/MCY/3874242 </v>
      </c>
    </row>
    <row r="90" spans="1:13" ht="15.2" customHeight="1" x14ac:dyDescent="0.2">
      <c r="A90" s="26" t="s">
        <v>3800</v>
      </c>
      <c r="B90" s="27" t="s">
        <v>3801</v>
      </c>
      <c r="C90" s="28">
        <v>1</v>
      </c>
      <c r="D90" s="29">
        <v>12.5</v>
      </c>
      <c r="E90" s="29">
        <v>12.5</v>
      </c>
      <c r="F90" s="30">
        <v>44</v>
      </c>
      <c r="G90" s="29">
        <v>44</v>
      </c>
      <c r="H90" s="28" t="s">
        <v>3802</v>
      </c>
      <c r="I90" s="27" t="s">
        <v>4</v>
      </c>
      <c r="J90" s="31" t="s">
        <v>21</v>
      </c>
      <c r="K90" s="27" t="s">
        <v>42</v>
      </c>
      <c r="L90" s="27" t="s">
        <v>43</v>
      </c>
      <c r="M90" s="32" t="str">
        <f>HYPERLINK("http://slimages.macys.com/is/image/MCY/3611440 ")</f>
        <v xml:space="preserve">http://slimages.macys.com/is/image/MCY/3611440 </v>
      </c>
    </row>
    <row r="91" spans="1:13" ht="15.2" customHeight="1" x14ac:dyDescent="0.2">
      <c r="A91" s="26" t="s">
        <v>3803</v>
      </c>
      <c r="B91" s="27" t="s">
        <v>3804</v>
      </c>
      <c r="C91" s="28">
        <v>1</v>
      </c>
      <c r="D91" s="29">
        <v>12.5</v>
      </c>
      <c r="E91" s="29">
        <v>12.5</v>
      </c>
      <c r="F91" s="30">
        <v>39</v>
      </c>
      <c r="G91" s="29">
        <v>39</v>
      </c>
      <c r="H91" s="28" t="s">
        <v>3805</v>
      </c>
      <c r="I91" s="27" t="s">
        <v>4</v>
      </c>
      <c r="J91" s="31" t="s">
        <v>40</v>
      </c>
      <c r="K91" s="27" t="s">
        <v>154</v>
      </c>
      <c r="L91" s="27" t="s">
        <v>155</v>
      </c>
      <c r="M91" s="32" t="str">
        <f>HYPERLINK("http://slimages.macys.com/is/image/MCY/3781238 ")</f>
        <v xml:space="preserve">http://slimages.macys.com/is/image/MCY/3781238 </v>
      </c>
    </row>
    <row r="92" spans="1:13" ht="15.2" customHeight="1" x14ac:dyDescent="0.2">
      <c r="A92" s="26" t="s">
        <v>2177</v>
      </c>
      <c r="B92" s="27" t="s">
        <v>2178</v>
      </c>
      <c r="C92" s="28">
        <v>1</v>
      </c>
      <c r="D92" s="29">
        <v>12.5</v>
      </c>
      <c r="E92" s="29">
        <v>12.5</v>
      </c>
      <c r="F92" s="30">
        <v>29.99</v>
      </c>
      <c r="G92" s="29">
        <v>29.99</v>
      </c>
      <c r="H92" s="28" t="s">
        <v>772</v>
      </c>
      <c r="I92" s="27" t="s">
        <v>4</v>
      </c>
      <c r="J92" s="31" t="s">
        <v>69</v>
      </c>
      <c r="K92" s="27" t="s">
        <v>200</v>
      </c>
      <c r="L92" s="27" t="s">
        <v>133</v>
      </c>
      <c r="M92" s="32" t="str">
        <f>HYPERLINK("http://slimages.macys.com/is/image/MCY/3873065 ")</f>
        <v xml:space="preserve">http://slimages.macys.com/is/image/MCY/3873065 </v>
      </c>
    </row>
    <row r="93" spans="1:13" ht="15.2" customHeight="1" x14ac:dyDescent="0.2">
      <c r="A93" s="26" t="s">
        <v>3806</v>
      </c>
      <c r="B93" s="27" t="s">
        <v>3807</v>
      </c>
      <c r="C93" s="28">
        <v>2</v>
      </c>
      <c r="D93" s="29">
        <v>12</v>
      </c>
      <c r="E93" s="29">
        <v>24</v>
      </c>
      <c r="F93" s="30">
        <v>39</v>
      </c>
      <c r="G93" s="29">
        <v>78</v>
      </c>
      <c r="H93" s="28" t="s">
        <v>1229</v>
      </c>
      <c r="I93" s="27" t="s">
        <v>82</v>
      </c>
      <c r="J93" s="31" t="s">
        <v>5</v>
      </c>
      <c r="K93" s="27" t="s">
        <v>154</v>
      </c>
      <c r="L93" s="27" t="s">
        <v>155</v>
      </c>
      <c r="M93" s="32" t="str">
        <f>HYPERLINK("http://slimages.macys.com/is/image/MCY/3781182 ")</f>
        <v xml:space="preserve">http://slimages.macys.com/is/image/MCY/3781182 </v>
      </c>
    </row>
    <row r="94" spans="1:13" ht="15.2" customHeight="1" x14ac:dyDescent="0.2">
      <c r="A94" s="26" t="s">
        <v>3808</v>
      </c>
      <c r="B94" s="27" t="s">
        <v>3809</v>
      </c>
      <c r="C94" s="28">
        <v>1</v>
      </c>
      <c r="D94" s="29">
        <v>12</v>
      </c>
      <c r="E94" s="29">
        <v>12</v>
      </c>
      <c r="F94" s="30">
        <v>39</v>
      </c>
      <c r="G94" s="29">
        <v>39</v>
      </c>
      <c r="H94" s="28" t="s">
        <v>3810</v>
      </c>
      <c r="I94" s="27" t="s">
        <v>82</v>
      </c>
      <c r="J94" s="31" t="s">
        <v>52</v>
      </c>
      <c r="K94" s="27" t="s">
        <v>154</v>
      </c>
      <c r="L94" s="27" t="s">
        <v>155</v>
      </c>
      <c r="M94" s="32" t="str">
        <f>HYPERLINK("http://slimages.macys.com/is/image/MCY/3547021 ")</f>
        <v xml:space="preserve">http://slimages.macys.com/is/image/MCY/3547021 </v>
      </c>
    </row>
    <row r="95" spans="1:13" ht="15.2" customHeight="1" x14ac:dyDescent="0.2">
      <c r="A95" s="26" t="s">
        <v>3811</v>
      </c>
      <c r="B95" s="27" t="s">
        <v>3812</v>
      </c>
      <c r="C95" s="28">
        <v>3</v>
      </c>
      <c r="D95" s="29">
        <v>11.89</v>
      </c>
      <c r="E95" s="29">
        <v>35.67</v>
      </c>
      <c r="F95" s="30">
        <v>27.99</v>
      </c>
      <c r="G95" s="29">
        <v>83.97</v>
      </c>
      <c r="H95" s="28" t="s">
        <v>778</v>
      </c>
      <c r="I95" s="27" t="s">
        <v>29</v>
      </c>
      <c r="J95" s="31" t="s">
        <v>52</v>
      </c>
      <c r="K95" s="27" t="s">
        <v>224</v>
      </c>
      <c r="L95" s="27" t="s">
        <v>237</v>
      </c>
      <c r="M95" s="32" t="str">
        <f t="shared" ref="M95:M101" si="1">HYPERLINK("http://slimages.macys.com/is/image/MCY/3910851 ")</f>
        <v xml:space="preserve">http://slimages.macys.com/is/image/MCY/3910851 </v>
      </c>
    </row>
    <row r="96" spans="1:13" ht="15.2" customHeight="1" x14ac:dyDescent="0.2">
      <c r="A96" s="26" t="s">
        <v>1244</v>
      </c>
      <c r="B96" s="27" t="s">
        <v>1245</v>
      </c>
      <c r="C96" s="28">
        <v>1</v>
      </c>
      <c r="D96" s="29">
        <v>11.89</v>
      </c>
      <c r="E96" s="29">
        <v>11.89</v>
      </c>
      <c r="F96" s="30">
        <v>27.99</v>
      </c>
      <c r="G96" s="29">
        <v>27.99</v>
      </c>
      <c r="H96" s="28" t="s">
        <v>778</v>
      </c>
      <c r="I96" s="27" t="s">
        <v>238</v>
      </c>
      <c r="J96" s="31" t="s">
        <v>21</v>
      </c>
      <c r="K96" s="27" t="s">
        <v>224</v>
      </c>
      <c r="L96" s="27" t="s">
        <v>237</v>
      </c>
      <c r="M96" s="32" t="str">
        <f t="shared" si="1"/>
        <v xml:space="preserve">http://slimages.macys.com/is/image/MCY/3910851 </v>
      </c>
    </row>
    <row r="97" spans="1:13" ht="15.2" customHeight="1" x14ac:dyDescent="0.2">
      <c r="A97" s="26" t="s">
        <v>1246</v>
      </c>
      <c r="B97" s="27" t="s">
        <v>1247</v>
      </c>
      <c r="C97" s="28">
        <v>1</v>
      </c>
      <c r="D97" s="29">
        <v>11.89</v>
      </c>
      <c r="E97" s="29">
        <v>11.89</v>
      </c>
      <c r="F97" s="30">
        <v>27.99</v>
      </c>
      <c r="G97" s="29">
        <v>27.99</v>
      </c>
      <c r="H97" s="28" t="s">
        <v>778</v>
      </c>
      <c r="I97" s="27" t="s">
        <v>280</v>
      </c>
      <c r="J97" s="31" t="s">
        <v>52</v>
      </c>
      <c r="K97" s="27" t="s">
        <v>224</v>
      </c>
      <c r="L97" s="27" t="s">
        <v>237</v>
      </c>
      <c r="M97" s="32" t="str">
        <f t="shared" si="1"/>
        <v xml:space="preserve">http://slimages.macys.com/is/image/MCY/3910851 </v>
      </c>
    </row>
    <row r="98" spans="1:13" ht="15.2" customHeight="1" x14ac:dyDescent="0.2">
      <c r="A98" s="26" t="s">
        <v>1242</v>
      </c>
      <c r="B98" s="27" t="s">
        <v>1243</v>
      </c>
      <c r="C98" s="28">
        <v>1</v>
      </c>
      <c r="D98" s="29">
        <v>11.89</v>
      </c>
      <c r="E98" s="29">
        <v>11.89</v>
      </c>
      <c r="F98" s="30">
        <v>27.99</v>
      </c>
      <c r="G98" s="29">
        <v>27.99</v>
      </c>
      <c r="H98" s="28" t="s">
        <v>778</v>
      </c>
      <c r="I98" s="27" t="s">
        <v>238</v>
      </c>
      <c r="J98" s="31" t="s">
        <v>5</v>
      </c>
      <c r="K98" s="27" t="s">
        <v>224</v>
      </c>
      <c r="L98" s="27" t="s">
        <v>237</v>
      </c>
      <c r="M98" s="32" t="str">
        <f t="shared" si="1"/>
        <v xml:space="preserve">http://slimages.macys.com/is/image/MCY/3910851 </v>
      </c>
    </row>
    <row r="99" spans="1:13" ht="15.2" customHeight="1" x14ac:dyDescent="0.2">
      <c r="A99" s="26" t="s">
        <v>1238</v>
      </c>
      <c r="B99" s="27" t="s">
        <v>1239</v>
      </c>
      <c r="C99" s="28">
        <v>2</v>
      </c>
      <c r="D99" s="29">
        <v>11.89</v>
      </c>
      <c r="E99" s="29">
        <v>23.78</v>
      </c>
      <c r="F99" s="30">
        <v>27.99</v>
      </c>
      <c r="G99" s="29">
        <v>55.98</v>
      </c>
      <c r="H99" s="28" t="s">
        <v>778</v>
      </c>
      <c r="I99" s="27" t="s">
        <v>238</v>
      </c>
      <c r="J99" s="31" t="s">
        <v>52</v>
      </c>
      <c r="K99" s="27" t="s">
        <v>224</v>
      </c>
      <c r="L99" s="27" t="s">
        <v>237</v>
      </c>
      <c r="M99" s="32" t="str">
        <f t="shared" si="1"/>
        <v xml:space="preserve">http://slimages.macys.com/is/image/MCY/3910851 </v>
      </c>
    </row>
    <row r="100" spans="1:13" ht="15.2" customHeight="1" x14ac:dyDescent="0.2">
      <c r="A100" s="26" t="s">
        <v>1236</v>
      </c>
      <c r="B100" s="27" t="s">
        <v>1237</v>
      </c>
      <c r="C100" s="28">
        <v>1</v>
      </c>
      <c r="D100" s="29">
        <v>11.89</v>
      </c>
      <c r="E100" s="29">
        <v>11.89</v>
      </c>
      <c r="F100" s="30">
        <v>27.99</v>
      </c>
      <c r="G100" s="29">
        <v>27.99</v>
      </c>
      <c r="H100" s="28" t="s">
        <v>778</v>
      </c>
      <c r="I100" s="27" t="s">
        <v>4</v>
      </c>
      <c r="J100" s="31" t="s">
        <v>52</v>
      </c>
      <c r="K100" s="27" t="s">
        <v>224</v>
      </c>
      <c r="L100" s="27" t="s">
        <v>237</v>
      </c>
      <c r="M100" s="32" t="str">
        <f t="shared" si="1"/>
        <v xml:space="preserve">http://slimages.macys.com/is/image/MCY/3910851 </v>
      </c>
    </row>
    <row r="101" spans="1:13" ht="15.2" customHeight="1" x14ac:dyDescent="0.2">
      <c r="A101" s="26" t="s">
        <v>3272</v>
      </c>
      <c r="B101" s="27" t="s">
        <v>3273</v>
      </c>
      <c r="C101" s="28">
        <v>2</v>
      </c>
      <c r="D101" s="29">
        <v>11.89</v>
      </c>
      <c r="E101" s="29">
        <v>23.78</v>
      </c>
      <c r="F101" s="30">
        <v>27.99</v>
      </c>
      <c r="G101" s="29">
        <v>55.98</v>
      </c>
      <c r="H101" s="28" t="s">
        <v>778</v>
      </c>
      <c r="I101" s="27" t="s">
        <v>29</v>
      </c>
      <c r="J101" s="31" t="s">
        <v>5</v>
      </c>
      <c r="K101" s="27" t="s">
        <v>224</v>
      </c>
      <c r="L101" s="27" t="s">
        <v>237</v>
      </c>
      <c r="M101" s="32" t="str">
        <f t="shared" si="1"/>
        <v xml:space="preserve">http://slimages.macys.com/is/image/MCY/3910851 </v>
      </c>
    </row>
    <row r="102" spans="1:13" ht="15.2" customHeight="1" x14ac:dyDescent="0.2">
      <c r="A102" s="26" t="s">
        <v>3813</v>
      </c>
      <c r="B102" s="27" t="s">
        <v>3814</v>
      </c>
      <c r="C102" s="28">
        <v>1</v>
      </c>
      <c r="D102" s="29">
        <v>11.5</v>
      </c>
      <c r="E102" s="29">
        <v>11.5</v>
      </c>
      <c r="F102" s="30">
        <v>25.99</v>
      </c>
      <c r="G102" s="29">
        <v>25.99</v>
      </c>
      <c r="H102" s="28" t="s">
        <v>1269</v>
      </c>
      <c r="I102" s="27" t="s">
        <v>189</v>
      </c>
      <c r="J102" s="31" t="s">
        <v>69</v>
      </c>
      <c r="K102" s="27" t="s">
        <v>200</v>
      </c>
      <c r="L102" s="27" t="s">
        <v>133</v>
      </c>
      <c r="M102" s="32" t="str">
        <f>HYPERLINK("http://slimages.macys.com/is/image/MCY/3858043 ")</f>
        <v xml:space="preserve">http://slimages.macys.com/is/image/MCY/3858043 </v>
      </c>
    </row>
    <row r="103" spans="1:13" ht="15.2" customHeight="1" x14ac:dyDescent="0.2">
      <c r="A103" s="26" t="s">
        <v>3815</v>
      </c>
      <c r="B103" s="27" t="s">
        <v>3816</v>
      </c>
      <c r="C103" s="28">
        <v>1</v>
      </c>
      <c r="D103" s="29">
        <v>11.5</v>
      </c>
      <c r="E103" s="29">
        <v>11.5</v>
      </c>
      <c r="F103" s="30">
        <v>29.99</v>
      </c>
      <c r="G103" s="29">
        <v>29.99</v>
      </c>
      <c r="H103" s="28" t="s">
        <v>2190</v>
      </c>
      <c r="I103" s="27" t="s">
        <v>22</v>
      </c>
      <c r="J103" s="31" t="s">
        <v>205</v>
      </c>
      <c r="K103" s="27" t="s">
        <v>200</v>
      </c>
      <c r="L103" s="27" t="s">
        <v>201</v>
      </c>
      <c r="M103" s="32" t="str">
        <f>HYPERLINK("http://slimages.macys.com/is/image/MCY/3899606 ")</f>
        <v xml:space="preserve">http://slimages.macys.com/is/image/MCY/3899606 </v>
      </c>
    </row>
    <row r="104" spans="1:13" ht="15.2" customHeight="1" x14ac:dyDescent="0.2">
      <c r="A104" s="26" t="s">
        <v>3817</v>
      </c>
      <c r="B104" s="27" t="s">
        <v>3818</v>
      </c>
      <c r="C104" s="28">
        <v>1</v>
      </c>
      <c r="D104" s="29">
        <v>11.5</v>
      </c>
      <c r="E104" s="29">
        <v>11.5</v>
      </c>
      <c r="F104" s="30">
        <v>22.99</v>
      </c>
      <c r="G104" s="29">
        <v>22.99</v>
      </c>
      <c r="H104" s="28" t="s">
        <v>3819</v>
      </c>
      <c r="I104" s="27" t="s">
        <v>144</v>
      </c>
      <c r="J104" s="31" t="s">
        <v>52</v>
      </c>
      <c r="K104" s="27" t="s">
        <v>200</v>
      </c>
      <c r="L104" s="27" t="s">
        <v>552</v>
      </c>
      <c r="M104" s="32" t="str">
        <f>HYPERLINK("http://slimages.macys.com/is/image/MCY/3954130 ")</f>
        <v xml:space="preserve">http://slimages.macys.com/is/image/MCY/3954130 </v>
      </c>
    </row>
    <row r="105" spans="1:13" ht="15.2" customHeight="1" x14ac:dyDescent="0.2">
      <c r="A105" s="26" t="s">
        <v>3820</v>
      </c>
      <c r="B105" s="27" t="s">
        <v>3821</v>
      </c>
      <c r="C105" s="28">
        <v>1</v>
      </c>
      <c r="D105" s="29">
        <v>11.5</v>
      </c>
      <c r="E105" s="29">
        <v>11.5</v>
      </c>
      <c r="F105" s="30">
        <v>29.99</v>
      </c>
      <c r="G105" s="29">
        <v>29.99</v>
      </c>
      <c r="H105" s="28" t="s">
        <v>3822</v>
      </c>
      <c r="I105" s="27" t="s">
        <v>1</v>
      </c>
      <c r="J105" s="31" t="s">
        <v>23</v>
      </c>
      <c r="K105" s="27" t="s">
        <v>200</v>
      </c>
      <c r="L105" s="27" t="s">
        <v>765</v>
      </c>
      <c r="M105" s="32" t="str">
        <f>HYPERLINK("http://slimages.macys.com/is/image/MCY/3581689 ")</f>
        <v xml:space="preserve">http://slimages.macys.com/is/image/MCY/3581689 </v>
      </c>
    </row>
    <row r="106" spans="1:13" ht="15.2" customHeight="1" x14ac:dyDescent="0.2">
      <c r="A106" s="26" t="s">
        <v>1273</v>
      </c>
      <c r="B106" s="27" t="s">
        <v>1274</v>
      </c>
      <c r="C106" s="28">
        <v>1</v>
      </c>
      <c r="D106" s="29">
        <v>11.25</v>
      </c>
      <c r="E106" s="29">
        <v>11.25</v>
      </c>
      <c r="F106" s="30">
        <v>29.99</v>
      </c>
      <c r="G106" s="29">
        <v>29.99</v>
      </c>
      <c r="H106" s="28" t="s">
        <v>1272</v>
      </c>
      <c r="I106" s="27" t="s">
        <v>343</v>
      </c>
      <c r="J106" s="31" t="s">
        <v>69</v>
      </c>
      <c r="K106" s="27" t="s">
        <v>200</v>
      </c>
      <c r="L106" s="27" t="s">
        <v>201</v>
      </c>
      <c r="M106" s="32" t="str">
        <f>HYPERLINK("http://slimages.macys.com/is/image/MCY/3825803 ")</f>
        <v xml:space="preserve">http://slimages.macys.com/is/image/MCY/3825803 </v>
      </c>
    </row>
    <row r="107" spans="1:13" ht="15.2" customHeight="1" x14ac:dyDescent="0.2">
      <c r="A107" s="26" t="s">
        <v>3823</v>
      </c>
      <c r="B107" s="27" t="s">
        <v>3824</v>
      </c>
      <c r="C107" s="28">
        <v>1</v>
      </c>
      <c r="D107" s="29">
        <v>11.25</v>
      </c>
      <c r="E107" s="29">
        <v>11.25</v>
      </c>
      <c r="F107" s="30">
        <v>29.99</v>
      </c>
      <c r="G107" s="29">
        <v>29.99</v>
      </c>
      <c r="H107" s="28" t="s">
        <v>1272</v>
      </c>
      <c r="I107" s="27" t="s">
        <v>343</v>
      </c>
      <c r="J107" s="31" t="s">
        <v>214</v>
      </c>
      <c r="K107" s="27" t="s">
        <v>200</v>
      </c>
      <c r="L107" s="27" t="s">
        <v>201</v>
      </c>
      <c r="M107" s="32" t="str">
        <f>HYPERLINK("http://slimages.macys.com/is/image/MCY/3825803 ")</f>
        <v xml:space="preserve">http://slimages.macys.com/is/image/MCY/3825803 </v>
      </c>
    </row>
    <row r="108" spans="1:13" ht="15.2" customHeight="1" x14ac:dyDescent="0.2">
      <c r="A108" s="26" t="s">
        <v>1275</v>
      </c>
      <c r="B108" s="27" t="s">
        <v>1276</v>
      </c>
      <c r="C108" s="28">
        <v>1</v>
      </c>
      <c r="D108" s="29">
        <v>11.25</v>
      </c>
      <c r="E108" s="29">
        <v>11.25</v>
      </c>
      <c r="F108" s="30">
        <v>29.99</v>
      </c>
      <c r="G108" s="29">
        <v>29.99</v>
      </c>
      <c r="H108" s="28" t="s">
        <v>1272</v>
      </c>
      <c r="I108" s="27" t="s">
        <v>343</v>
      </c>
      <c r="J108" s="31" t="s">
        <v>210</v>
      </c>
      <c r="K108" s="27" t="s">
        <v>200</v>
      </c>
      <c r="L108" s="27" t="s">
        <v>201</v>
      </c>
      <c r="M108" s="32" t="str">
        <f>HYPERLINK("http://slimages.macys.com/is/image/MCY/3825803 ")</f>
        <v xml:space="preserve">http://slimages.macys.com/is/image/MCY/3825803 </v>
      </c>
    </row>
    <row r="109" spans="1:13" ht="15.2" customHeight="1" x14ac:dyDescent="0.2">
      <c r="A109" s="26" t="s">
        <v>3324</v>
      </c>
      <c r="B109" s="27" t="s">
        <v>3325</v>
      </c>
      <c r="C109" s="28">
        <v>1</v>
      </c>
      <c r="D109" s="29">
        <v>10.5</v>
      </c>
      <c r="E109" s="29">
        <v>10.5</v>
      </c>
      <c r="F109" s="30">
        <v>27.99</v>
      </c>
      <c r="G109" s="29">
        <v>27.99</v>
      </c>
      <c r="H109" s="28" t="s">
        <v>790</v>
      </c>
      <c r="I109" s="27"/>
      <c r="J109" s="31" t="s">
        <v>21</v>
      </c>
      <c r="K109" s="27" t="s">
        <v>224</v>
      </c>
      <c r="L109" s="27" t="s">
        <v>239</v>
      </c>
      <c r="M109" s="32" t="str">
        <f>HYPERLINK("http://slimages.macys.com/is/image/MCY/3910853 ")</f>
        <v xml:space="preserve">http://slimages.macys.com/is/image/MCY/3910853 </v>
      </c>
    </row>
    <row r="110" spans="1:13" ht="15.2" customHeight="1" x14ac:dyDescent="0.2">
      <c r="A110" s="26" t="s">
        <v>3825</v>
      </c>
      <c r="B110" s="27" t="s">
        <v>3826</v>
      </c>
      <c r="C110" s="28">
        <v>3</v>
      </c>
      <c r="D110" s="29">
        <v>10.5</v>
      </c>
      <c r="E110" s="29">
        <v>31.5</v>
      </c>
      <c r="F110" s="30">
        <v>27.99</v>
      </c>
      <c r="G110" s="29">
        <v>83.97</v>
      </c>
      <c r="H110" s="28" t="s">
        <v>790</v>
      </c>
      <c r="I110" s="27" t="s">
        <v>285</v>
      </c>
      <c r="J110" s="31" t="s">
        <v>40</v>
      </c>
      <c r="K110" s="27" t="s">
        <v>224</v>
      </c>
      <c r="L110" s="27" t="s">
        <v>239</v>
      </c>
      <c r="M110" s="32" t="str">
        <f>HYPERLINK("http://slimages.macys.com/is/image/MCY/3910858 ")</f>
        <v xml:space="preserve">http://slimages.macys.com/is/image/MCY/3910858 </v>
      </c>
    </row>
    <row r="111" spans="1:13" ht="15.2" customHeight="1" x14ac:dyDescent="0.2">
      <c r="A111" s="26" t="s">
        <v>3827</v>
      </c>
      <c r="B111" s="27" t="s">
        <v>3828</v>
      </c>
      <c r="C111" s="28">
        <v>4</v>
      </c>
      <c r="D111" s="29">
        <v>10.5</v>
      </c>
      <c r="E111" s="29">
        <v>42</v>
      </c>
      <c r="F111" s="30">
        <v>27.99</v>
      </c>
      <c r="G111" s="29">
        <v>111.96</v>
      </c>
      <c r="H111" s="28" t="s">
        <v>790</v>
      </c>
      <c r="I111" s="27" t="s">
        <v>189</v>
      </c>
      <c r="J111" s="31" t="s">
        <v>21</v>
      </c>
      <c r="K111" s="27" t="s">
        <v>224</v>
      </c>
      <c r="L111" s="27" t="s">
        <v>239</v>
      </c>
      <c r="M111" s="32" t="str">
        <f>HYPERLINK("http://slimages.macys.com/is/image/MCY/3910853 ")</f>
        <v xml:space="preserve">http://slimages.macys.com/is/image/MCY/3910853 </v>
      </c>
    </row>
    <row r="112" spans="1:13" ht="15.2" customHeight="1" x14ac:dyDescent="0.2">
      <c r="A112" s="26" t="s">
        <v>1301</v>
      </c>
      <c r="B112" s="27" t="s">
        <v>1302</v>
      </c>
      <c r="C112" s="28">
        <v>1</v>
      </c>
      <c r="D112" s="29">
        <v>10.5</v>
      </c>
      <c r="E112" s="29">
        <v>10.5</v>
      </c>
      <c r="F112" s="30">
        <v>27.99</v>
      </c>
      <c r="G112" s="29">
        <v>27.99</v>
      </c>
      <c r="H112" s="28" t="s">
        <v>790</v>
      </c>
      <c r="I112" s="27" t="s">
        <v>189</v>
      </c>
      <c r="J112" s="31" t="s">
        <v>5</v>
      </c>
      <c r="K112" s="27" t="s">
        <v>224</v>
      </c>
      <c r="L112" s="27" t="s">
        <v>239</v>
      </c>
      <c r="M112" s="32" t="str">
        <f>HYPERLINK("http://slimages.macys.com/is/image/MCY/3910853 ")</f>
        <v xml:space="preserve">http://slimages.macys.com/is/image/MCY/3910853 </v>
      </c>
    </row>
    <row r="113" spans="1:13" ht="15.2" customHeight="1" x14ac:dyDescent="0.2">
      <c r="A113" s="26" t="s">
        <v>3829</v>
      </c>
      <c r="B113" s="27" t="s">
        <v>3830</v>
      </c>
      <c r="C113" s="28">
        <v>1</v>
      </c>
      <c r="D113" s="29">
        <v>10.5</v>
      </c>
      <c r="E113" s="29">
        <v>10.5</v>
      </c>
      <c r="F113" s="30">
        <v>25.99</v>
      </c>
      <c r="G113" s="29">
        <v>25.99</v>
      </c>
      <c r="H113" s="28" t="s">
        <v>1305</v>
      </c>
      <c r="I113" s="27" t="s">
        <v>94</v>
      </c>
      <c r="J113" s="31" t="s">
        <v>216</v>
      </c>
      <c r="K113" s="27" t="s">
        <v>200</v>
      </c>
      <c r="L113" s="27" t="s">
        <v>133</v>
      </c>
      <c r="M113" s="32" t="str">
        <f>HYPERLINK("http://slimages.macys.com/is/image/MCY/3773860 ")</f>
        <v xml:space="preserve">http://slimages.macys.com/is/image/MCY/3773860 </v>
      </c>
    </row>
    <row r="114" spans="1:13" ht="15.2" customHeight="1" x14ac:dyDescent="0.2">
      <c r="A114" s="26" t="s">
        <v>3831</v>
      </c>
      <c r="B114" s="27" t="s">
        <v>3832</v>
      </c>
      <c r="C114" s="28">
        <v>2</v>
      </c>
      <c r="D114" s="29">
        <v>10.5</v>
      </c>
      <c r="E114" s="29">
        <v>21</v>
      </c>
      <c r="F114" s="30">
        <v>25.99</v>
      </c>
      <c r="G114" s="29">
        <v>51.98</v>
      </c>
      <c r="H114" s="28" t="s">
        <v>1305</v>
      </c>
      <c r="I114" s="27" t="s">
        <v>94</v>
      </c>
      <c r="J114" s="31" t="s">
        <v>210</v>
      </c>
      <c r="K114" s="27" t="s">
        <v>200</v>
      </c>
      <c r="L114" s="27" t="s">
        <v>133</v>
      </c>
      <c r="M114" s="32" t="str">
        <f>HYPERLINK("http://slimages.macys.com/is/image/MCY/3773860 ")</f>
        <v xml:space="preserve">http://slimages.macys.com/is/image/MCY/3773860 </v>
      </c>
    </row>
    <row r="115" spans="1:13" ht="15.2" customHeight="1" x14ac:dyDescent="0.2">
      <c r="A115" s="26" t="s">
        <v>1293</v>
      </c>
      <c r="B115" s="27" t="s">
        <v>1294</v>
      </c>
      <c r="C115" s="28">
        <v>1</v>
      </c>
      <c r="D115" s="29">
        <v>10.5</v>
      </c>
      <c r="E115" s="29">
        <v>10.5</v>
      </c>
      <c r="F115" s="30">
        <v>27.99</v>
      </c>
      <c r="G115" s="29">
        <v>27.99</v>
      </c>
      <c r="H115" s="28" t="s">
        <v>790</v>
      </c>
      <c r="I115" s="27" t="s">
        <v>189</v>
      </c>
      <c r="J115" s="31" t="s">
        <v>5</v>
      </c>
      <c r="K115" s="27" t="s">
        <v>224</v>
      </c>
      <c r="L115" s="27" t="s">
        <v>239</v>
      </c>
      <c r="M115" s="32" t="str">
        <f>HYPERLINK("http://slimages.macys.com/is/image/MCY/3910858 ")</f>
        <v xml:space="preserve">http://slimages.macys.com/is/image/MCY/3910858 </v>
      </c>
    </row>
    <row r="116" spans="1:13" ht="15.2" customHeight="1" x14ac:dyDescent="0.2">
      <c r="A116" s="26" t="s">
        <v>3833</v>
      </c>
      <c r="B116" s="27" t="s">
        <v>3834</v>
      </c>
      <c r="C116" s="28">
        <v>1</v>
      </c>
      <c r="D116" s="29">
        <v>10.5</v>
      </c>
      <c r="E116" s="29">
        <v>10.5</v>
      </c>
      <c r="F116" s="30">
        <v>27.99</v>
      </c>
      <c r="G116" s="29">
        <v>27.99</v>
      </c>
      <c r="H116" s="28" t="s">
        <v>790</v>
      </c>
      <c r="I116" s="27" t="s">
        <v>189</v>
      </c>
      <c r="J116" s="31" t="s">
        <v>52</v>
      </c>
      <c r="K116" s="27" t="s">
        <v>224</v>
      </c>
      <c r="L116" s="27" t="s">
        <v>239</v>
      </c>
      <c r="M116" s="32" t="str">
        <f>HYPERLINK("http://slimages.macys.com/is/image/MCY/3910853 ")</f>
        <v xml:space="preserve">http://slimages.macys.com/is/image/MCY/3910853 </v>
      </c>
    </row>
    <row r="117" spans="1:13" ht="15.2" customHeight="1" x14ac:dyDescent="0.2">
      <c r="A117" s="26" t="s">
        <v>1306</v>
      </c>
      <c r="B117" s="27" t="s">
        <v>1307</v>
      </c>
      <c r="C117" s="28">
        <v>1</v>
      </c>
      <c r="D117" s="29">
        <v>10.5</v>
      </c>
      <c r="E117" s="29">
        <v>10.5</v>
      </c>
      <c r="F117" s="30">
        <v>27.99</v>
      </c>
      <c r="G117" s="29">
        <v>27.99</v>
      </c>
      <c r="H117" s="28" t="s">
        <v>790</v>
      </c>
      <c r="I117" s="27" t="s">
        <v>189</v>
      </c>
      <c r="J117" s="31" t="s">
        <v>52</v>
      </c>
      <c r="K117" s="27" t="s">
        <v>224</v>
      </c>
      <c r="L117" s="27" t="s">
        <v>239</v>
      </c>
      <c r="M117" s="32" t="str">
        <f>HYPERLINK("http://slimages.macys.com/is/image/MCY/3910858 ")</f>
        <v xml:space="preserve">http://slimages.macys.com/is/image/MCY/3910858 </v>
      </c>
    </row>
    <row r="118" spans="1:13" ht="15.2" customHeight="1" x14ac:dyDescent="0.2">
      <c r="A118" s="26" t="s">
        <v>3334</v>
      </c>
      <c r="B118" s="27" t="s">
        <v>3335</v>
      </c>
      <c r="C118" s="28">
        <v>8</v>
      </c>
      <c r="D118" s="29">
        <v>10.5</v>
      </c>
      <c r="E118" s="29">
        <v>84</v>
      </c>
      <c r="F118" s="30">
        <v>27.99</v>
      </c>
      <c r="G118" s="29">
        <v>223.92</v>
      </c>
      <c r="H118" s="28" t="s">
        <v>790</v>
      </c>
      <c r="I118" s="27" t="s">
        <v>285</v>
      </c>
      <c r="J118" s="31" t="s">
        <v>5</v>
      </c>
      <c r="K118" s="27" t="s">
        <v>224</v>
      </c>
      <c r="L118" s="27" t="s">
        <v>239</v>
      </c>
      <c r="M118" s="32" t="str">
        <f>HYPERLINK("http://slimages.macys.com/is/image/MCY/3910858 ")</f>
        <v xml:space="preserve">http://slimages.macys.com/is/image/MCY/3910858 </v>
      </c>
    </row>
    <row r="119" spans="1:13" ht="15.2" customHeight="1" x14ac:dyDescent="0.2">
      <c r="A119" s="26" t="s">
        <v>3336</v>
      </c>
      <c r="B119" s="27" t="s">
        <v>3337</v>
      </c>
      <c r="C119" s="28">
        <v>6</v>
      </c>
      <c r="D119" s="29">
        <v>10.5</v>
      </c>
      <c r="E119" s="29">
        <v>63</v>
      </c>
      <c r="F119" s="30">
        <v>27.99</v>
      </c>
      <c r="G119" s="29">
        <v>167.94</v>
      </c>
      <c r="H119" s="28" t="s">
        <v>790</v>
      </c>
      <c r="I119" s="27" t="s">
        <v>189</v>
      </c>
      <c r="J119" s="31" t="s">
        <v>40</v>
      </c>
      <c r="K119" s="27" t="s">
        <v>224</v>
      </c>
      <c r="L119" s="27" t="s">
        <v>239</v>
      </c>
      <c r="M119" s="32" t="str">
        <f>HYPERLINK("http://slimages.macys.com/is/image/MCY/3910853 ")</f>
        <v xml:space="preserve">http://slimages.macys.com/is/image/MCY/3910853 </v>
      </c>
    </row>
    <row r="120" spans="1:13" ht="15.2" customHeight="1" x14ac:dyDescent="0.2">
      <c r="A120" s="26" t="s">
        <v>3318</v>
      </c>
      <c r="B120" s="27" t="s">
        <v>3319</v>
      </c>
      <c r="C120" s="28">
        <v>1</v>
      </c>
      <c r="D120" s="29">
        <v>10.5</v>
      </c>
      <c r="E120" s="29">
        <v>10.5</v>
      </c>
      <c r="F120" s="30">
        <v>27.99</v>
      </c>
      <c r="G120" s="29">
        <v>27.99</v>
      </c>
      <c r="H120" s="28" t="s">
        <v>790</v>
      </c>
      <c r="I120" s="27"/>
      <c r="J120" s="31" t="s">
        <v>71</v>
      </c>
      <c r="K120" s="27" t="s">
        <v>224</v>
      </c>
      <c r="L120" s="27" t="s">
        <v>239</v>
      </c>
      <c r="M120" s="32" t="str">
        <f>HYPERLINK("http://slimages.macys.com/is/image/MCY/3910853 ")</f>
        <v xml:space="preserve">http://slimages.macys.com/is/image/MCY/3910853 </v>
      </c>
    </row>
    <row r="121" spans="1:13" ht="15.2" customHeight="1" x14ac:dyDescent="0.2">
      <c r="A121" s="26" t="s">
        <v>3835</v>
      </c>
      <c r="B121" s="27" t="s">
        <v>3836</v>
      </c>
      <c r="C121" s="28">
        <v>1</v>
      </c>
      <c r="D121" s="29">
        <v>10.5</v>
      </c>
      <c r="E121" s="29">
        <v>10.5</v>
      </c>
      <c r="F121" s="30">
        <v>27.99</v>
      </c>
      <c r="G121" s="29">
        <v>27.99</v>
      </c>
      <c r="H121" s="28" t="s">
        <v>790</v>
      </c>
      <c r="I121" s="27"/>
      <c r="J121" s="31" t="s">
        <v>52</v>
      </c>
      <c r="K121" s="27" t="s">
        <v>224</v>
      </c>
      <c r="L121" s="27" t="s">
        <v>239</v>
      </c>
      <c r="M121" s="32" t="str">
        <f>HYPERLINK("http://slimages.macys.com/is/image/MCY/3910853 ")</f>
        <v xml:space="preserve">http://slimages.macys.com/is/image/MCY/3910853 </v>
      </c>
    </row>
    <row r="122" spans="1:13" ht="15.2" customHeight="1" x14ac:dyDescent="0.2">
      <c r="A122" s="26" t="s">
        <v>2908</v>
      </c>
      <c r="B122" s="27" t="s">
        <v>2909</v>
      </c>
      <c r="C122" s="28">
        <v>2</v>
      </c>
      <c r="D122" s="29">
        <v>10.5</v>
      </c>
      <c r="E122" s="29">
        <v>21</v>
      </c>
      <c r="F122" s="30">
        <v>26.99</v>
      </c>
      <c r="G122" s="29">
        <v>53.98</v>
      </c>
      <c r="H122" s="28" t="s">
        <v>1310</v>
      </c>
      <c r="I122" s="27" t="s">
        <v>15</v>
      </c>
      <c r="J122" s="31" t="s">
        <v>5</v>
      </c>
      <c r="K122" s="27" t="s">
        <v>70</v>
      </c>
      <c r="L122" s="27" t="s">
        <v>650</v>
      </c>
      <c r="M122" s="32" t="str">
        <f>HYPERLINK("http://slimages.macys.com/is/image/MCY/3913023 ")</f>
        <v xml:space="preserve">http://slimages.macys.com/is/image/MCY/3913023 </v>
      </c>
    </row>
    <row r="123" spans="1:13" ht="15.2" customHeight="1" x14ac:dyDescent="0.2">
      <c r="A123" s="26" t="s">
        <v>3837</v>
      </c>
      <c r="B123" s="27" t="s">
        <v>3838</v>
      </c>
      <c r="C123" s="28">
        <v>7</v>
      </c>
      <c r="D123" s="29">
        <v>10.5</v>
      </c>
      <c r="E123" s="29">
        <v>73.5</v>
      </c>
      <c r="F123" s="30">
        <v>27.99</v>
      </c>
      <c r="G123" s="29">
        <v>195.93</v>
      </c>
      <c r="H123" s="28" t="s">
        <v>790</v>
      </c>
      <c r="I123" s="27"/>
      <c r="J123" s="31" t="s">
        <v>40</v>
      </c>
      <c r="K123" s="27" t="s">
        <v>224</v>
      </c>
      <c r="L123" s="27" t="s">
        <v>239</v>
      </c>
      <c r="M123" s="32" t="str">
        <f>HYPERLINK("http://slimages.macys.com/is/image/MCY/3910853 ")</f>
        <v xml:space="preserve">http://slimages.macys.com/is/image/MCY/3910853 </v>
      </c>
    </row>
    <row r="124" spans="1:13" ht="15.2" customHeight="1" x14ac:dyDescent="0.2">
      <c r="A124" s="26" t="s">
        <v>3839</v>
      </c>
      <c r="B124" s="27" t="s">
        <v>3840</v>
      </c>
      <c r="C124" s="28">
        <v>5</v>
      </c>
      <c r="D124" s="29">
        <v>10.5</v>
      </c>
      <c r="E124" s="29">
        <v>52.5</v>
      </c>
      <c r="F124" s="30">
        <v>27.99</v>
      </c>
      <c r="G124" s="29">
        <v>139.94999999999999</v>
      </c>
      <c r="H124" s="28" t="s">
        <v>790</v>
      </c>
      <c r="I124" s="27"/>
      <c r="J124" s="31" t="s">
        <v>5</v>
      </c>
      <c r="K124" s="27" t="s">
        <v>224</v>
      </c>
      <c r="L124" s="27" t="s">
        <v>239</v>
      </c>
      <c r="M124" s="32" t="str">
        <f>HYPERLINK("http://slimages.macys.com/is/image/MCY/3910853 ")</f>
        <v xml:space="preserve">http://slimages.macys.com/is/image/MCY/3910853 </v>
      </c>
    </row>
    <row r="125" spans="1:13" ht="15.2" customHeight="1" x14ac:dyDescent="0.2">
      <c r="A125" s="26" t="s">
        <v>3841</v>
      </c>
      <c r="B125" s="27" t="s">
        <v>3842</v>
      </c>
      <c r="C125" s="28">
        <v>2</v>
      </c>
      <c r="D125" s="29">
        <v>10.5</v>
      </c>
      <c r="E125" s="29">
        <v>21</v>
      </c>
      <c r="F125" s="30">
        <v>27.99</v>
      </c>
      <c r="G125" s="29">
        <v>55.98</v>
      </c>
      <c r="H125" s="28" t="s">
        <v>790</v>
      </c>
      <c r="I125" s="27" t="s">
        <v>285</v>
      </c>
      <c r="J125" s="31" t="s">
        <v>21</v>
      </c>
      <c r="K125" s="27" t="s">
        <v>224</v>
      </c>
      <c r="L125" s="27" t="s">
        <v>239</v>
      </c>
      <c r="M125" s="32" t="str">
        <f>HYPERLINK("http://slimages.macys.com/is/image/MCY/3910858 ")</f>
        <v xml:space="preserve">http://slimages.macys.com/is/image/MCY/3910858 </v>
      </c>
    </row>
    <row r="126" spans="1:13" ht="15.2" customHeight="1" x14ac:dyDescent="0.2">
      <c r="A126" s="26" t="s">
        <v>2630</v>
      </c>
      <c r="B126" s="27" t="s">
        <v>2631</v>
      </c>
      <c r="C126" s="28">
        <v>1</v>
      </c>
      <c r="D126" s="29">
        <v>10.4</v>
      </c>
      <c r="E126" s="29">
        <v>10.4</v>
      </c>
      <c r="F126" s="30">
        <v>24.99</v>
      </c>
      <c r="G126" s="29">
        <v>24.99</v>
      </c>
      <c r="H126" s="28" t="s">
        <v>264</v>
      </c>
      <c r="I126" s="27" t="s">
        <v>248</v>
      </c>
      <c r="J126" s="31" t="s">
        <v>21</v>
      </c>
      <c r="K126" s="27" t="s">
        <v>208</v>
      </c>
      <c r="L126" s="27" t="s">
        <v>197</v>
      </c>
      <c r="M126" s="32" t="str">
        <f>HYPERLINK("http://slimages.macys.com/is/image/MCY/3883081 ")</f>
        <v xml:space="preserve">http://slimages.macys.com/is/image/MCY/3883081 </v>
      </c>
    </row>
    <row r="127" spans="1:13" ht="15.2" customHeight="1" x14ac:dyDescent="0.2">
      <c r="A127" s="26" t="s">
        <v>3843</v>
      </c>
      <c r="B127" s="27" t="s">
        <v>3844</v>
      </c>
      <c r="C127" s="28">
        <v>1</v>
      </c>
      <c r="D127" s="29">
        <v>10</v>
      </c>
      <c r="E127" s="29">
        <v>10</v>
      </c>
      <c r="F127" s="30">
        <v>24.99</v>
      </c>
      <c r="G127" s="29">
        <v>24.99</v>
      </c>
      <c r="H127" s="28" t="s">
        <v>270</v>
      </c>
      <c r="I127" s="27" t="s">
        <v>75</v>
      </c>
      <c r="J127" s="31" t="s">
        <v>40</v>
      </c>
      <c r="K127" s="27" t="s">
        <v>224</v>
      </c>
      <c r="L127" s="27" t="s">
        <v>260</v>
      </c>
      <c r="M127" s="32" t="str">
        <f>HYPERLINK("http://slimages.macys.com/is/image/MCY/3931167 ")</f>
        <v xml:space="preserve">http://slimages.macys.com/is/image/MCY/3931167 </v>
      </c>
    </row>
    <row r="128" spans="1:13" ht="15.2" customHeight="1" x14ac:dyDescent="0.2">
      <c r="A128" s="26" t="s">
        <v>1322</v>
      </c>
      <c r="B128" s="27" t="s">
        <v>1323</v>
      </c>
      <c r="C128" s="28">
        <v>3</v>
      </c>
      <c r="D128" s="29">
        <v>10</v>
      </c>
      <c r="E128" s="29">
        <v>30</v>
      </c>
      <c r="F128" s="30">
        <v>24.99</v>
      </c>
      <c r="G128" s="29">
        <v>74.97</v>
      </c>
      <c r="H128" s="28" t="s">
        <v>270</v>
      </c>
      <c r="I128" s="27" t="s">
        <v>4</v>
      </c>
      <c r="J128" s="31" t="s">
        <v>5</v>
      </c>
      <c r="K128" s="27" t="s">
        <v>224</v>
      </c>
      <c r="L128" s="27" t="s">
        <v>260</v>
      </c>
      <c r="M128" s="32" t="str">
        <f>HYPERLINK("http://slimages.macys.com/is/image/MCY/3931167 ")</f>
        <v xml:space="preserve">http://slimages.macys.com/is/image/MCY/3931167 </v>
      </c>
    </row>
    <row r="129" spans="1:13" ht="15.2" customHeight="1" x14ac:dyDescent="0.2">
      <c r="A129" s="26" t="s">
        <v>3342</v>
      </c>
      <c r="B129" s="27" t="s">
        <v>3343</v>
      </c>
      <c r="C129" s="28">
        <v>1</v>
      </c>
      <c r="D129" s="29">
        <v>10</v>
      </c>
      <c r="E129" s="29">
        <v>10</v>
      </c>
      <c r="F129" s="30">
        <v>24.99</v>
      </c>
      <c r="G129" s="29">
        <v>24.99</v>
      </c>
      <c r="H129" s="28" t="s">
        <v>270</v>
      </c>
      <c r="I129" s="27" t="s">
        <v>274</v>
      </c>
      <c r="J129" s="31" t="s">
        <v>5</v>
      </c>
      <c r="K129" s="27" t="s">
        <v>224</v>
      </c>
      <c r="L129" s="27" t="s">
        <v>260</v>
      </c>
      <c r="M129" s="32" t="str">
        <f>HYPERLINK("http://slimages.macys.com/is/image/MCY/3931167 ")</f>
        <v xml:space="preserve">http://slimages.macys.com/is/image/MCY/3931167 </v>
      </c>
    </row>
    <row r="130" spans="1:13" ht="15.2" customHeight="1" x14ac:dyDescent="0.2">
      <c r="A130" s="26" t="s">
        <v>3845</v>
      </c>
      <c r="B130" s="27" t="s">
        <v>3846</v>
      </c>
      <c r="C130" s="28">
        <v>1</v>
      </c>
      <c r="D130" s="29">
        <v>10</v>
      </c>
      <c r="E130" s="29">
        <v>10</v>
      </c>
      <c r="F130" s="30">
        <v>24.99</v>
      </c>
      <c r="G130" s="29">
        <v>24.99</v>
      </c>
      <c r="H130" s="28">
        <v>59817</v>
      </c>
      <c r="I130" s="27" t="s">
        <v>274</v>
      </c>
      <c r="J130" s="31" t="s">
        <v>21</v>
      </c>
      <c r="K130" s="27" t="s">
        <v>224</v>
      </c>
      <c r="L130" s="27" t="s">
        <v>254</v>
      </c>
      <c r="M130" s="32" t="str">
        <f>HYPERLINK("http://slimages.macys.com/is/image/MCY/3827474 ")</f>
        <v xml:space="preserve">http://slimages.macys.com/is/image/MCY/3827474 </v>
      </c>
    </row>
    <row r="131" spans="1:13" ht="15.2" customHeight="1" x14ac:dyDescent="0.2">
      <c r="A131" s="26" t="s">
        <v>268</v>
      </c>
      <c r="B131" s="27" t="s">
        <v>269</v>
      </c>
      <c r="C131" s="28">
        <v>1</v>
      </c>
      <c r="D131" s="29">
        <v>10</v>
      </c>
      <c r="E131" s="29">
        <v>10</v>
      </c>
      <c r="F131" s="30">
        <v>24.99</v>
      </c>
      <c r="G131" s="29">
        <v>24.99</v>
      </c>
      <c r="H131" s="28" t="s">
        <v>270</v>
      </c>
      <c r="I131" s="27" t="s">
        <v>271</v>
      </c>
      <c r="J131" s="31" t="s">
        <v>40</v>
      </c>
      <c r="K131" s="27" t="s">
        <v>224</v>
      </c>
      <c r="L131" s="27" t="s">
        <v>260</v>
      </c>
      <c r="M131" s="32" t="str">
        <f>HYPERLINK("http://slimages.macys.com/is/image/MCY/3931167 ")</f>
        <v xml:space="preserve">http://slimages.macys.com/is/image/MCY/3931167 </v>
      </c>
    </row>
    <row r="132" spans="1:13" ht="15.2" customHeight="1" x14ac:dyDescent="0.2">
      <c r="A132" s="26" t="s">
        <v>3847</v>
      </c>
      <c r="B132" s="27" t="s">
        <v>3848</v>
      </c>
      <c r="C132" s="28">
        <v>1</v>
      </c>
      <c r="D132" s="29">
        <v>9.5299999999999994</v>
      </c>
      <c r="E132" s="29">
        <v>9.5299999999999994</v>
      </c>
      <c r="F132" s="30">
        <v>21.99</v>
      </c>
      <c r="G132" s="29">
        <v>21.99</v>
      </c>
      <c r="H132" s="28" t="s">
        <v>2226</v>
      </c>
      <c r="I132" s="27" t="s">
        <v>4</v>
      </c>
      <c r="J132" s="31" t="s">
        <v>21</v>
      </c>
      <c r="K132" s="27" t="s">
        <v>159</v>
      </c>
      <c r="L132" s="27" t="s">
        <v>160</v>
      </c>
      <c r="M132" s="32" t="str">
        <f>HYPERLINK("http://slimages.macys.com/is/image/MCY/3735072 ")</f>
        <v xml:space="preserve">http://slimages.macys.com/is/image/MCY/3735072 </v>
      </c>
    </row>
    <row r="133" spans="1:13" ht="15.2" customHeight="1" x14ac:dyDescent="0.2">
      <c r="A133" s="26" t="s">
        <v>3849</v>
      </c>
      <c r="B133" s="27" t="s">
        <v>3850</v>
      </c>
      <c r="C133" s="28">
        <v>3</v>
      </c>
      <c r="D133" s="29">
        <v>9.5</v>
      </c>
      <c r="E133" s="29">
        <v>28.5</v>
      </c>
      <c r="F133" s="30">
        <v>19.989999999999998</v>
      </c>
      <c r="G133" s="29">
        <v>59.97</v>
      </c>
      <c r="H133" s="28" t="s">
        <v>3851</v>
      </c>
      <c r="I133" s="27" t="s">
        <v>22</v>
      </c>
      <c r="J133" s="31" t="s">
        <v>52</v>
      </c>
      <c r="K133" s="27" t="s">
        <v>282</v>
      </c>
      <c r="L133" s="27" t="s">
        <v>283</v>
      </c>
      <c r="M133" s="32" t="str">
        <f>HYPERLINK("http://slimages.macys.com/is/image/MCY/3923909 ")</f>
        <v xml:space="preserve">http://slimages.macys.com/is/image/MCY/3923909 </v>
      </c>
    </row>
    <row r="134" spans="1:13" ht="15.2" customHeight="1" x14ac:dyDescent="0.2">
      <c r="A134" s="26" t="s">
        <v>3852</v>
      </c>
      <c r="B134" s="27" t="s">
        <v>3853</v>
      </c>
      <c r="C134" s="28">
        <v>1</v>
      </c>
      <c r="D134" s="29">
        <v>9.25</v>
      </c>
      <c r="E134" s="29">
        <v>9.25</v>
      </c>
      <c r="F134" s="30">
        <v>19.989999999999998</v>
      </c>
      <c r="G134" s="29">
        <v>19.989999999999998</v>
      </c>
      <c r="H134" s="28" t="s">
        <v>290</v>
      </c>
      <c r="I134" s="27" t="s">
        <v>59</v>
      </c>
      <c r="J134" s="31" t="s">
        <v>5</v>
      </c>
      <c r="K134" s="27" t="s">
        <v>282</v>
      </c>
      <c r="L134" s="27" t="s">
        <v>283</v>
      </c>
      <c r="M134" s="32" t="str">
        <f>HYPERLINK("http://slimages.macys.com/is/image/MCY/3875956 ")</f>
        <v xml:space="preserve">http://slimages.macys.com/is/image/MCY/3875956 </v>
      </c>
    </row>
    <row r="135" spans="1:13" ht="15.2" customHeight="1" x14ac:dyDescent="0.2">
      <c r="A135" s="26" t="s">
        <v>3854</v>
      </c>
      <c r="B135" s="27" t="s">
        <v>3855</v>
      </c>
      <c r="C135" s="28">
        <v>1</v>
      </c>
      <c r="D135" s="29">
        <v>9.24</v>
      </c>
      <c r="E135" s="29">
        <v>9.24</v>
      </c>
      <c r="F135" s="30">
        <v>21.99</v>
      </c>
      <c r="G135" s="29">
        <v>21.99</v>
      </c>
      <c r="H135" s="28" t="s">
        <v>1340</v>
      </c>
      <c r="I135" s="27" t="s">
        <v>4</v>
      </c>
      <c r="J135" s="31" t="s">
        <v>52</v>
      </c>
      <c r="K135" s="27" t="s">
        <v>159</v>
      </c>
      <c r="L135" s="27" t="s">
        <v>160</v>
      </c>
      <c r="M135" s="32" t="str">
        <f>HYPERLINK("http://slimages.macys.com/is/image/MCY/3738496 ")</f>
        <v xml:space="preserve">http://slimages.macys.com/is/image/MCY/3738496 </v>
      </c>
    </row>
    <row r="136" spans="1:13" ht="15.2" customHeight="1" x14ac:dyDescent="0.2">
      <c r="A136" s="26" t="s">
        <v>1833</v>
      </c>
      <c r="B136" s="27" t="s">
        <v>1834</v>
      </c>
      <c r="C136" s="28">
        <v>1</v>
      </c>
      <c r="D136" s="29">
        <v>9.2200000000000006</v>
      </c>
      <c r="E136" s="29">
        <v>9.2200000000000006</v>
      </c>
      <c r="F136" s="30">
        <v>21.99</v>
      </c>
      <c r="G136" s="29">
        <v>21.99</v>
      </c>
      <c r="H136" s="28" t="s">
        <v>1347</v>
      </c>
      <c r="I136" s="27" t="s">
        <v>4</v>
      </c>
      <c r="J136" s="31" t="s">
        <v>71</v>
      </c>
      <c r="K136" s="27" t="s">
        <v>159</v>
      </c>
      <c r="L136" s="27" t="s">
        <v>160</v>
      </c>
      <c r="M136" s="32" t="str">
        <f>HYPERLINK("http://slimages.macys.com/is/image/MCY/3870610 ")</f>
        <v xml:space="preserve">http://slimages.macys.com/is/image/MCY/3870610 </v>
      </c>
    </row>
    <row r="137" spans="1:13" ht="15.2" customHeight="1" x14ac:dyDescent="0.2">
      <c r="A137" s="26" t="s">
        <v>3354</v>
      </c>
      <c r="B137" s="27" t="s">
        <v>3355</v>
      </c>
      <c r="C137" s="28">
        <v>1</v>
      </c>
      <c r="D137" s="29">
        <v>9.2200000000000006</v>
      </c>
      <c r="E137" s="29">
        <v>9.2200000000000006</v>
      </c>
      <c r="F137" s="30">
        <v>21.99</v>
      </c>
      <c r="G137" s="29">
        <v>21.99</v>
      </c>
      <c r="H137" s="28" t="s">
        <v>296</v>
      </c>
      <c r="I137" s="27" t="s">
        <v>36</v>
      </c>
      <c r="J137" s="31" t="s">
        <v>21</v>
      </c>
      <c r="K137" s="27" t="s">
        <v>159</v>
      </c>
      <c r="L137" s="27" t="s">
        <v>160</v>
      </c>
      <c r="M137" s="32" t="str">
        <f>HYPERLINK("http://slimages.macys.com/is/image/MCY/3857710 ")</f>
        <v xml:space="preserve">http://slimages.macys.com/is/image/MCY/3857710 </v>
      </c>
    </row>
    <row r="138" spans="1:13" ht="15.2" customHeight="1" x14ac:dyDescent="0.2">
      <c r="A138" s="26" t="s">
        <v>3856</v>
      </c>
      <c r="B138" s="27" t="s">
        <v>3857</v>
      </c>
      <c r="C138" s="28">
        <v>2</v>
      </c>
      <c r="D138" s="29">
        <v>9.2200000000000006</v>
      </c>
      <c r="E138" s="29">
        <v>18.440000000000001</v>
      </c>
      <c r="F138" s="30">
        <v>21.99</v>
      </c>
      <c r="G138" s="29">
        <v>43.98</v>
      </c>
      <c r="H138" s="28" t="s">
        <v>812</v>
      </c>
      <c r="I138" s="27" t="s">
        <v>36</v>
      </c>
      <c r="J138" s="31" t="s">
        <v>71</v>
      </c>
      <c r="K138" s="27" t="s">
        <v>159</v>
      </c>
      <c r="L138" s="27" t="s">
        <v>160</v>
      </c>
      <c r="M138" s="32" t="str">
        <f>HYPERLINK("http://slimages.macys.com/is/image/MCY/3857711 ")</f>
        <v xml:space="preserve">http://slimages.macys.com/is/image/MCY/3857711 </v>
      </c>
    </row>
    <row r="139" spans="1:13" ht="15.2" customHeight="1" x14ac:dyDescent="0.2">
      <c r="A139" s="26" t="s">
        <v>2946</v>
      </c>
      <c r="B139" s="27" t="s">
        <v>2947</v>
      </c>
      <c r="C139" s="28">
        <v>1</v>
      </c>
      <c r="D139" s="29">
        <v>9.1999999999999993</v>
      </c>
      <c r="E139" s="29">
        <v>9.1999999999999993</v>
      </c>
      <c r="F139" s="30">
        <v>21.99</v>
      </c>
      <c r="G139" s="29">
        <v>21.99</v>
      </c>
      <c r="H139" s="28" t="s">
        <v>300</v>
      </c>
      <c r="I139" s="27" t="s">
        <v>1</v>
      </c>
      <c r="J139" s="31" t="s">
        <v>21</v>
      </c>
      <c r="K139" s="27" t="s">
        <v>159</v>
      </c>
      <c r="L139" s="27" t="s">
        <v>160</v>
      </c>
      <c r="M139" s="32" t="str">
        <f>HYPERLINK("http://slimages.macys.com/is/image/MCY/3857655 ")</f>
        <v xml:space="preserve">http://slimages.macys.com/is/image/MCY/3857655 </v>
      </c>
    </row>
    <row r="140" spans="1:13" ht="15.2" customHeight="1" x14ac:dyDescent="0.2">
      <c r="A140" s="26" t="s">
        <v>2649</v>
      </c>
      <c r="B140" s="27" t="s">
        <v>2650</v>
      </c>
      <c r="C140" s="28">
        <v>1</v>
      </c>
      <c r="D140" s="29">
        <v>9.1999999999999993</v>
      </c>
      <c r="E140" s="29">
        <v>9.1999999999999993</v>
      </c>
      <c r="F140" s="30">
        <v>21.99</v>
      </c>
      <c r="G140" s="29">
        <v>21.99</v>
      </c>
      <c r="H140" s="28" t="s">
        <v>1837</v>
      </c>
      <c r="I140" s="27" t="s">
        <v>103</v>
      </c>
      <c r="J140" s="31" t="s">
        <v>40</v>
      </c>
      <c r="K140" s="27" t="s">
        <v>159</v>
      </c>
      <c r="L140" s="27" t="s">
        <v>160</v>
      </c>
      <c r="M140" s="32" t="str">
        <f>HYPERLINK("http://slimages.macys.com/is/image/MCY/3857655 ")</f>
        <v xml:space="preserve">http://slimages.macys.com/is/image/MCY/3857655 </v>
      </c>
    </row>
    <row r="141" spans="1:13" ht="15.2" customHeight="1" x14ac:dyDescent="0.2">
      <c r="A141" s="26" t="s">
        <v>2647</v>
      </c>
      <c r="B141" s="27" t="s">
        <v>2648</v>
      </c>
      <c r="C141" s="28">
        <v>1</v>
      </c>
      <c r="D141" s="29">
        <v>9.1999999999999993</v>
      </c>
      <c r="E141" s="29">
        <v>9.1999999999999993</v>
      </c>
      <c r="F141" s="30">
        <v>21.99</v>
      </c>
      <c r="G141" s="29">
        <v>21.99</v>
      </c>
      <c r="H141" s="28" t="s">
        <v>1837</v>
      </c>
      <c r="I141" s="27" t="s">
        <v>103</v>
      </c>
      <c r="J141" s="31" t="s">
        <v>21</v>
      </c>
      <c r="K141" s="27" t="s">
        <v>159</v>
      </c>
      <c r="L141" s="27" t="s">
        <v>160</v>
      </c>
      <c r="M141" s="32" t="str">
        <f>HYPERLINK("http://slimages.macys.com/is/image/MCY/3857655 ")</f>
        <v xml:space="preserve">http://slimages.macys.com/is/image/MCY/3857655 </v>
      </c>
    </row>
    <row r="142" spans="1:13" ht="15.2" customHeight="1" x14ac:dyDescent="0.2">
      <c r="A142" s="26" t="s">
        <v>3380</v>
      </c>
      <c r="B142" s="27" t="s">
        <v>3381</v>
      </c>
      <c r="C142" s="28">
        <v>1</v>
      </c>
      <c r="D142" s="29">
        <v>9.1</v>
      </c>
      <c r="E142" s="29">
        <v>9.1</v>
      </c>
      <c r="F142" s="30">
        <v>19.989999999999998</v>
      </c>
      <c r="G142" s="29">
        <v>19.989999999999998</v>
      </c>
      <c r="H142" s="28" t="s">
        <v>1838</v>
      </c>
      <c r="I142" s="27" t="s">
        <v>4</v>
      </c>
      <c r="J142" s="31" t="s">
        <v>5</v>
      </c>
      <c r="K142" s="27" t="s">
        <v>224</v>
      </c>
      <c r="L142" s="27" t="s">
        <v>276</v>
      </c>
      <c r="M142" s="32" t="str">
        <f>HYPERLINK("http://slimages.macys.com/is/image/MCY/3853655 ")</f>
        <v xml:space="preserve">http://slimages.macys.com/is/image/MCY/3853655 </v>
      </c>
    </row>
    <row r="143" spans="1:13" ht="15.2" customHeight="1" x14ac:dyDescent="0.2">
      <c r="A143" s="26" t="s">
        <v>1839</v>
      </c>
      <c r="B143" s="27" t="s">
        <v>1840</v>
      </c>
      <c r="C143" s="28">
        <v>1</v>
      </c>
      <c r="D143" s="29">
        <v>9.1</v>
      </c>
      <c r="E143" s="29">
        <v>9.1</v>
      </c>
      <c r="F143" s="30">
        <v>19.989999999999998</v>
      </c>
      <c r="G143" s="29">
        <v>19.989999999999998</v>
      </c>
      <c r="H143" s="28" t="s">
        <v>305</v>
      </c>
      <c r="I143" s="27" t="s">
        <v>189</v>
      </c>
      <c r="J143" s="31" t="s">
        <v>21</v>
      </c>
      <c r="K143" s="27" t="s">
        <v>224</v>
      </c>
      <c r="L143" s="27" t="s">
        <v>276</v>
      </c>
      <c r="M143" s="32" t="str">
        <f>HYPERLINK("http://slimages.macys.com/is/image/MCY/3821780 ")</f>
        <v xml:space="preserve">http://slimages.macys.com/is/image/MCY/3821780 </v>
      </c>
    </row>
    <row r="144" spans="1:13" ht="15.2" customHeight="1" x14ac:dyDescent="0.2">
      <c r="A144" s="26" t="s">
        <v>3858</v>
      </c>
      <c r="B144" s="27" t="s">
        <v>3859</v>
      </c>
      <c r="C144" s="28">
        <v>1</v>
      </c>
      <c r="D144" s="29">
        <v>9</v>
      </c>
      <c r="E144" s="29">
        <v>9</v>
      </c>
      <c r="F144" s="30">
        <v>19.989999999999998</v>
      </c>
      <c r="G144" s="29">
        <v>19.989999999999998</v>
      </c>
      <c r="H144" s="28" t="s">
        <v>311</v>
      </c>
      <c r="I144" s="27" t="s">
        <v>1</v>
      </c>
      <c r="J144" s="31" t="s">
        <v>52</v>
      </c>
      <c r="K144" s="27" t="s">
        <v>196</v>
      </c>
      <c r="L144" s="27" t="s">
        <v>239</v>
      </c>
      <c r="M144" s="32" t="str">
        <f>HYPERLINK("http://slimages.macys.com/is/image/MCY/3890895 ")</f>
        <v xml:space="preserve">http://slimages.macys.com/is/image/MCY/3890895 </v>
      </c>
    </row>
    <row r="145" spans="1:13" ht="15.2" customHeight="1" x14ac:dyDescent="0.2">
      <c r="A145" s="26" t="s">
        <v>1356</v>
      </c>
      <c r="B145" s="27" t="s">
        <v>1357</v>
      </c>
      <c r="C145" s="28">
        <v>1</v>
      </c>
      <c r="D145" s="29">
        <v>9</v>
      </c>
      <c r="E145" s="29">
        <v>9</v>
      </c>
      <c r="F145" s="30">
        <v>19.989999999999998</v>
      </c>
      <c r="G145" s="29">
        <v>19.989999999999998</v>
      </c>
      <c r="H145" s="28" t="s">
        <v>311</v>
      </c>
      <c r="I145" s="27" t="s">
        <v>215</v>
      </c>
      <c r="J145" s="31" t="s">
        <v>21</v>
      </c>
      <c r="K145" s="27" t="s">
        <v>196</v>
      </c>
      <c r="L145" s="27" t="s">
        <v>239</v>
      </c>
      <c r="M145" s="32" t="str">
        <f>HYPERLINK("http://slimages.macys.com/is/image/MCY/3890895 ")</f>
        <v xml:space="preserve">http://slimages.macys.com/is/image/MCY/3890895 </v>
      </c>
    </row>
    <row r="146" spans="1:13" ht="15.2" customHeight="1" x14ac:dyDescent="0.2">
      <c r="A146" s="26" t="s">
        <v>3860</v>
      </c>
      <c r="B146" s="27" t="s">
        <v>3861</v>
      </c>
      <c r="C146" s="28">
        <v>1</v>
      </c>
      <c r="D146" s="29">
        <v>8.75</v>
      </c>
      <c r="E146" s="29">
        <v>8.75</v>
      </c>
      <c r="F146" s="30">
        <v>19.989999999999998</v>
      </c>
      <c r="G146" s="29">
        <v>19.989999999999998</v>
      </c>
      <c r="H146" s="28">
        <v>60433875</v>
      </c>
      <c r="I146" s="27" t="s">
        <v>75</v>
      </c>
      <c r="J146" s="31" t="s">
        <v>5</v>
      </c>
      <c r="K146" s="27" t="s">
        <v>224</v>
      </c>
      <c r="L146" s="27" t="s">
        <v>255</v>
      </c>
      <c r="M146" s="32" t="str">
        <f>HYPERLINK("http://slimages.macys.com/is/image/MCY/3915853 ")</f>
        <v xml:space="preserve">http://slimages.macys.com/is/image/MCY/3915853 </v>
      </c>
    </row>
    <row r="147" spans="1:13" ht="15.2" customHeight="1" x14ac:dyDescent="0.2">
      <c r="A147" s="26" t="s">
        <v>3862</v>
      </c>
      <c r="B147" s="27" t="s">
        <v>3863</v>
      </c>
      <c r="C147" s="28">
        <v>1</v>
      </c>
      <c r="D147" s="29">
        <v>8.69</v>
      </c>
      <c r="E147" s="29">
        <v>8.69</v>
      </c>
      <c r="F147" s="30">
        <v>16.989999999999998</v>
      </c>
      <c r="G147" s="29">
        <v>16.989999999999998</v>
      </c>
      <c r="H147" s="28">
        <v>60446927</v>
      </c>
      <c r="I147" s="27" t="s">
        <v>4</v>
      </c>
      <c r="J147" s="31" t="s">
        <v>71</v>
      </c>
      <c r="K147" s="27" t="s">
        <v>208</v>
      </c>
      <c r="L147" s="27" t="s">
        <v>255</v>
      </c>
      <c r="M147" s="32" t="str">
        <f>HYPERLINK("http://slimages.macys.com/is/image/MCY/3927792 ")</f>
        <v xml:space="preserve">http://slimages.macys.com/is/image/MCY/3927792 </v>
      </c>
    </row>
    <row r="148" spans="1:13" ht="15.2" customHeight="1" x14ac:dyDescent="0.2">
      <c r="A148" s="26" t="s">
        <v>3864</v>
      </c>
      <c r="B148" s="27" t="s">
        <v>3865</v>
      </c>
      <c r="C148" s="28">
        <v>1</v>
      </c>
      <c r="D148" s="29">
        <v>8.5500000000000007</v>
      </c>
      <c r="E148" s="29">
        <v>8.5500000000000007</v>
      </c>
      <c r="F148" s="30">
        <v>19.989999999999998</v>
      </c>
      <c r="G148" s="29">
        <v>19.989999999999998</v>
      </c>
      <c r="H148" s="28" t="s">
        <v>3398</v>
      </c>
      <c r="I148" s="27" t="s">
        <v>1</v>
      </c>
      <c r="J148" s="31" t="s">
        <v>40</v>
      </c>
      <c r="K148" s="27" t="s">
        <v>224</v>
      </c>
      <c r="L148" s="27" t="s">
        <v>254</v>
      </c>
      <c r="M148" s="32" t="str">
        <f>HYPERLINK("http://slimages.macys.com/is/image/MCY/3931020 ")</f>
        <v xml:space="preserve">http://slimages.macys.com/is/image/MCY/3931020 </v>
      </c>
    </row>
    <row r="149" spans="1:13" ht="15.2" customHeight="1" x14ac:dyDescent="0.2">
      <c r="A149" s="26" t="s">
        <v>3866</v>
      </c>
      <c r="B149" s="27" t="s">
        <v>3867</v>
      </c>
      <c r="C149" s="28">
        <v>1</v>
      </c>
      <c r="D149" s="29">
        <v>8.5500000000000007</v>
      </c>
      <c r="E149" s="29">
        <v>8.5500000000000007</v>
      </c>
      <c r="F149" s="30">
        <v>19.989999999999998</v>
      </c>
      <c r="G149" s="29">
        <v>19.989999999999998</v>
      </c>
      <c r="H149" s="28" t="s">
        <v>315</v>
      </c>
      <c r="I149" s="27" t="s">
        <v>4</v>
      </c>
      <c r="J149" s="31" t="s">
        <v>65</v>
      </c>
      <c r="K149" s="27" t="s">
        <v>224</v>
      </c>
      <c r="L149" s="27" t="s">
        <v>254</v>
      </c>
      <c r="M149" s="32" t="str">
        <f>HYPERLINK("http://slimages.macys.com/is/image/MCY/3787632 ")</f>
        <v xml:space="preserve">http://slimages.macys.com/is/image/MCY/3787632 </v>
      </c>
    </row>
    <row r="150" spans="1:13" ht="15.2" customHeight="1" x14ac:dyDescent="0.2">
      <c r="A150" s="26" t="s">
        <v>3868</v>
      </c>
      <c r="B150" s="27" t="s">
        <v>3869</v>
      </c>
      <c r="C150" s="28">
        <v>1</v>
      </c>
      <c r="D150" s="29">
        <v>8.5</v>
      </c>
      <c r="E150" s="29">
        <v>8.5</v>
      </c>
      <c r="F150" s="30">
        <v>19.989999999999998</v>
      </c>
      <c r="G150" s="29">
        <v>19.989999999999998</v>
      </c>
      <c r="H150" s="28" t="s">
        <v>334</v>
      </c>
      <c r="I150" s="27" t="s">
        <v>274</v>
      </c>
      <c r="J150" s="31" t="s">
        <v>5</v>
      </c>
      <c r="K150" s="27" t="s">
        <v>196</v>
      </c>
      <c r="L150" s="27" t="s">
        <v>239</v>
      </c>
      <c r="M150" s="32" t="str">
        <f>HYPERLINK("http://slimages.macys.com/is/image/MCY/3890886 ")</f>
        <v xml:space="preserve">http://slimages.macys.com/is/image/MCY/3890886 </v>
      </c>
    </row>
    <row r="151" spans="1:13" ht="15.2" customHeight="1" x14ac:dyDescent="0.2">
      <c r="A151" s="26" t="s">
        <v>3870</v>
      </c>
      <c r="B151" s="27" t="s">
        <v>3871</v>
      </c>
      <c r="C151" s="28">
        <v>1</v>
      </c>
      <c r="D151" s="29">
        <v>8.5</v>
      </c>
      <c r="E151" s="29">
        <v>8.5</v>
      </c>
      <c r="F151" s="30">
        <v>19.989999999999998</v>
      </c>
      <c r="G151" s="29">
        <v>19.989999999999998</v>
      </c>
      <c r="H151" s="28" t="s">
        <v>3872</v>
      </c>
      <c r="I151" s="27" t="s">
        <v>10</v>
      </c>
      <c r="J151" s="31" t="s">
        <v>5</v>
      </c>
      <c r="K151" s="27" t="s">
        <v>196</v>
      </c>
      <c r="L151" s="27" t="s">
        <v>256</v>
      </c>
      <c r="M151" s="32" t="str">
        <f>HYPERLINK("http://slimages.macys.com/is/image/MCY/3651029 ")</f>
        <v xml:space="preserve">http://slimages.macys.com/is/image/MCY/3651029 </v>
      </c>
    </row>
    <row r="152" spans="1:13" ht="15.2" customHeight="1" x14ac:dyDescent="0.2">
      <c r="A152" s="26" t="s">
        <v>1368</v>
      </c>
      <c r="B152" s="27" t="s">
        <v>1369</v>
      </c>
      <c r="C152" s="28">
        <v>1</v>
      </c>
      <c r="D152" s="29">
        <v>8.5</v>
      </c>
      <c r="E152" s="29">
        <v>8.5</v>
      </c>
      <c r="F152" s="30">
        <v>19.989999999999998</v>
      </c>
      <c r="G152" s="29">
        <v>19.989999999999998</v>
      </c>
      <c r="H152" s="28" t="s">
        <v>321</v>
      </c>
      <c r="I152" s="27" t="s">
        <v>280</v>
      </c>
      <c r="J152" s="31" t="s">
        <v>52</v>
      </c>
      <c r="K152" s="27" t="s">
        <v>196</v>
      </c>
      <c r="L152" s="27" t="s">
        <v>322</v>
      </c>
      <c r="M152" s="32" t="str">
        <f>HYPERLINK("http://slimages.macys.com/is/image/MCY/3910788 ")</f>
        <v xml:space="preserve">http://slimages.macys.com/is/image/MCY/3910788 </v>
      </c>
    </row>
    <row r="153" spans="1:13" ht="15.2" customHeight="1" x14ac:dyDescent="0.2">
      <c r="A153" s="26" t="s">
        <v>3873</v>
      </c>
      <c r="B153" s="27" t="s">
        <v>3874</v>
      </c>
      <c r="C153" s="28">
        <v>1</v>
      </c>
      <c r="D153" s="29">
        <v>8.5</v>
      </c>
      <c r="E153" s="29">
        <v>8.5</v>
      </c>
      <c r="F153" s="30">
        <v>19.989999999999998</v>
      </c>
      <c r="G153" s="29">
        <v>19.989999999999998</v>
      </c>
      <c r="H153" s="28">
        <v>60433871</v>
      </c>
      <c r="I153" s="27" t="s">
        <v>215</v>
      </c>
      <c r="J153" s="31" t="s">
        <v>40</v>
      </c>
      <c r="K153" s="27" t="s">
        <v>224</v>
      </c>
      <c r="L153" s="27" t="s">
        <v>255</v>
      </c>
      <c r="M153" s="32" t="str">
        <f>HYPERLINK("http://slimages.macys.com/is/image/MCY/3910875 ")</f>
        <v xml:space="preserve">http://slimages.macys.com/is/image/MCY/3910875 </v>
      </c>
    </row>
    <row r="154" spans="1:13" ht="15.2" customHeight="1" x14ac:dyDescent="0.2">
      <c r="A154" s="26" t="s">
        <v>3875</v>
      </c>
      <c r="B154" s="27" t="s">
        <v>3876</v>
      </c>
      <c r="C154" s="28">
        <v>1</v>
      </c>
      <c r="D154" s="29">
        <v>8.4499999999999993</v>
      </c>
      <c r="E154" s="29">
        <v>8.4499999999999993</v>
      </c>
      <c r="F154" s="30">
        <v>19.989999999999998</v>
      </c>
      <c r="G154" s="29">
        <v>19.989999999999998</v>
      </c>
      <c r="H154" s="28" t="s">
        <v>3424</v>
      </c>
      <c r="I154" s="27" t="s">
        <v>4</v>
      </c>
      <c r="J154" s="31" t="s">
        <v>52</v>
      </c>
      <c r="K154" s="27" t="s">
        <v>196</v>
      </c>
      <c r="L154" s="27" t="s">
        <v>322</v>
      </c>
      <c r="M154" s="32" t="str">
        <f>HYPERLINK("http://slimages.macys.com/is/image/MCY/3947122 ")</f>
        <v xml:space="preserve">http://slimages.macys.com/is/image/MCY/3947122 </v>
      </c>
    </row>
    <row r="155" spans="1:13" ht="15.2" customHeight="1" x14ac:dyDescent="0.2">
      <c r="A155" s="26" t="s">
        <v>3877</v>
      </c>
      <c r="B155" s="27" t="s">
        <v>3878</v>
      </c>
      <c r="C155" s="28">
        <v>1</v>
      </c>
      <c r="D155" s="29">
        <v>8.25</v>
      </c>
      <c r="E155" s="29">
        <v>8.25</v>
      </c>
      <c r="F155" s="30">
        <v>19.989999999999998</v>
      </c>
      <c r="G155" s="29">
        <v>19.989999999999998</v>
      </c>
      <c r="H155" s="28" t="s">
        <v>3879</v>
      </c>
      <c r="I155" s="27" t="s">
        <v>82</v>
      </c>
      <c r="J155" s="31" t="s">
        <v>5</v>
      </c>
      <c r="K155" s="27" t="s">
        <v>196</v>
      </c>
      <c r="L155" s="27" t="s">
        <v>322</v>
      </c>
      <c r="M155" s="32" t="str">
        <f>HYPERLINK("http://slimages.macys.com/is/image/MCY/3645183 ")</f>
        <v xml:space="preserve">http://slimages.macys.com/is/image/MCY/3645183 </v>
      </c>
    </row>
    <row r="156" spans="1:13" ht="15.2" customHeight="1" x14ac:dyDescent="0.2">
      <c r="A156" s="26" t="s">
        <v>3880</v>
      </c>
      <c r="B156" s="27" t="s">
        <v>3881</v>
      </c>
      <c r="C156" s="28">
        <v>1</v>
      </c>
      <c r="D156" s="29">
        <v>8.25</v>
      </c>
      <c r="E156" s="29">
        <v>8.25</v>
      </c>
      <c r="F156" s="30">
        <v>19.989999999999998</v>
      </c>
      <c r="G156" s="29">
        <v>19.989999999999998</v>
      </c>
      <c r="H156" s="28" t="s">
        <v>3882</v>
      </c>
      <c r="I156" s="27" t="s">
        <v>94</v>
      </c>
      <c r="J156" s="31" t="s">
        <v>5</v>
      </c>
      <c r="K156" s="27" t="s">
        <v>196</v>
      </c>
      <c r="L156" s="27" t="s">
        <v>256</v>
      </c>
      <c r="M156" s="32" t="str">
        <f>HYPERLINK("http://slimages.macys.com/is/image/MCY/3683136 ")</f>
        <v xml:space="preserve">http://slimages.macys.com/is/image/MCY/3683136 </v>
      </c>
    </row>
    <row r="157" spans="1:13" ht="15.2" customHeight="1" x14ac:dyDescent="0.2">
      <c r="A157" s="26" t="s">
        <v>3883</v>
      </c>
      <c r="B157" s="27" t="s">
        <v>3884</v>
      </c>
      <c r="C157" s="28">
        <v>1</v>
      </c>
      <c r="D157" s="29">
        <v>8.25</v>
      </c>
      <c r="E157" s="29">
        <v>8.25</v>
      </c>
      <c r="F157" s="30">
        <v>19.989999999999998</v>
      </c>
      <c r="G157" s="29">
        <v>19.989999999999998</v>
      </c>
      <c r="H157" s="28" t="s">
        <v>1393</v>
      </c>
      <c r="I157" s="27" t="s">
        <v>248</v>
      </c>
      <c r="J157" s="31" t="s">
        <v>40</v>
      </c>
      <c r="K157" s="27" t="s">
        <v>196</v>
      </c>
      <c r="L157" s="27" t="s">
        <v>225</v>
      </c>
      <c r="M157" s="32" t="str">
        <f>HYPERLINK("http://slimages.macys.com/is/image/MCY/3910904 ")</f>
        <v xml:space="preserve">http://slimages.macys.com/is/image/MCY/3910904 </v>
      </c>
    </row>
    <row r="158" spans="1:13" ht="15.2" customHeight="1" x14ac:dyDescent="0.2">
      <c r="A158" s="26" t="s">
        <v>3885</v>
      </c>
      <c r="B158" s="27" t="s">
        <v>3886</v>
      </c>
      <c r="C158" s="28">
        <v>1</v>
      </c>
      <c r="D158" s="29">
        <v>8.25</v>
      </c>
      <c r="E158" s="29">
        <v>8.25</v>
      </c>
      <c r="F158" s="30">
        <v>16.989999999999998</v>
      </c>
      <c r="G158" s="29">
        <v>16.989999999999998</v>
      </c>
      <c r="H158" s="28" t="s">
        <v>3887</v>
      </c>
      <c r="I158" s="27" t="s">
        <v>29</v>
      </c>
      <c r="J158" s="31" t="s">
        <v>760</v>
      </c>
      <c r="K158" s="27" t="s">
        <v>224</v>
      </c>
      <c r="L158" s="27" t="s">
        <v>254</v>
      </c>
      <c r="M158" s="32" t="str">
        <f>HYPERLINK("http://slimages.macys.com/is/image/MCY/3931081 ")</f>
        <v xml:space="preserve">http://slimages.macys.com/is/image/MCY/3931081 </v>
      </c>
    </row>
    <row r="159" spans="1:13" ht="15.2" customHeight="1" x14ac:dyDescent="0.2">
      <c r="A159" s="26" t="s">
        <v>3888</v>
      </c>
      <c r="B159" s="27" t="s">
        <v>3889</v>
      </c>
      <c r="C159" s="28">
        <v>1</v>
      </c>
      <c r="D159" s="29">
        <v>8.25</v>
      </c>
      <c r="E159" s="29">
        <v>8.25</v>
      </c>
      <c r="F159" s="30">
        <v>16.989999999999998</v>
      </c>
      <c r="G159" s="29">
        <v>16.989999999999998</v>
      </c>
      <c r="H159" s="28" t="s">
        <v>3890</v>
      </c>
      <c r="I159" s="27"/>
      <c r="J159" s="31" t="s">
        <v>760</v>
      </c>
      <c r="K159" s="27" t="s">
        <v>224</v>
      </c>
      <c r="L159" s="27" t="s">
        <v>254</v>
      </c>
      <c r="M159" s="32" t="str">
        <f>HYPERLINK("http://slimages.macys.com/is/image/MCY/3931056 ")</f>
        <v xml:space="preserve">http://slimages.macys.com/is/image/MCY/3931056 </v>
      </c>
    </row>
    <row r="160" spans="1:13" ht="15.2" customHeight="1" x14ac:dyDescent="0.2">
      <c r="A160" s="26" t="s">
        <v>3891</v>
      </c>
      <c r="B160" s="27" t="s">
        <v>3892</v>
      </c>
      <c r="C160" s="28">
        <v>1</v>
      </c>
      <c r="D160" s="29">
        <v>8.1</v>
      </c>
      <c r="E160" s="29">
        <v>8.1</v>
      </c>
      <c r="F160" s="30">
        <v>19.989999999999998</v>
      </c>
      <c r="G160" s="29">
        <v>19.989999999999998</v>
      </c>
      <c r="H160" s="28">
        <v>60449400</v>
      </c>
      <c r="I160" s="27" t="s">
        <v>39</v>
      </c>
      <c r="J160" s="31" t="s">
        <v>52</v>
      </c>
      <c r="K160" s="27" t="s">
        <v>208</v>
      </c>
      <c r="L160" s="27" t="s">
        <v>255</v>
      </c>
      <c r="M160" s="32" t="str">
        <f>HYPERLINK("http://slimages.macys.com/is/image/MCY/3940667 ")</f>
        <v xml:space="preserve">http://slimages.macys.com/is/image/MCY/3940667 </v>
      </c>
    </row>
    <row r="161" spans="1:13" ht="15.2" customHeight="1" x14ac:dyDescent="0.2">
      <c r="A161" s="26" t="s">
        <v>2312</v>
      </c>
      <c r="B161" s="27" t="s">
        <v>2313</v>
      </c>
      <c r="C161" s="28">
        <v>2</v>
      </c>
      <c r="D161" s="29">
        <v>8</v>
      </c>
      <c r="E161" s="29">
        <v>16</v>
      </c>
      <c r="F161" s="30">
        <v>19.989999999999998</v>
      </c>
      <c r="G161" s="29">
        <v>39.979999999999997</v>
      </c>
      <c r="H161" s="28" t="s">
        <v>2309</v>
      </c>
      <c r="I161" s="27" t="s">
        <v>189</v>
      </c>
      <c r="J161" s="31" t="s">
        <v>40</v>
      </c>
      <c r="K161" s="27" t="s">
        <v>196</v>
      </c>
      <c r="L161" s="27" t="s">
        <v>239</v>
      </c>
      <c r="M161" s="32" t="str">
        <f>HYPERLINK("http://slimages.macys.com/is/image/MCY/3719772 ")</f>
        <v xml:space="preserve">http://slimages.macys.com/is/image/MCY/3719772 </v>
      </c>
    </row>
    <row r="162" spans="1:13" ht="15.2" customHeight="1" x14ac:dyDescent="0.2">
      <c r="A162" s="26" t="s">
        <v>3893</v>
      </c>
      <c r="B162" s="27" t="s">
        <v>3894</v>
      </c>
      <c r="C162" s="28">
        <v>1</v>
      </c>
      <c r="D162" s="29">
        <v>8</v>
      </c>
      <c r="E162" s="29">
        <v>8</v>
      </c>
      <c r="F162" s="30">
        <v>19.989999999999998</v>
      </c>
      <c r="G162" s="29">
        <v>19.989999999999998</v>
      </c>
      <c r="H162" s="28" t="s">
        <v>3895</v>
      </c>
      <c r="I162" s="27" t="s">
        <v>4</v>
      </c>
      <c r="J162" s="31" t="s">
        <v>71</v>
      </c>
      <c r="K162" s="27" t="s">
        <v>196</v>
      </c>
      <c r="L162" s="27" t="s">
        <v>322</v>
      </c>
      <c r="M162" s="32" t="str">
        <f>HYPERLINK("http://slimages.macys.com/is/image/MCY/3820941 ")</f>
        <v xml:space="preserve">http://slimages.macys.com/is/image/MCY/3820941 </v>
      </c>
    </row>
    <row r="163" spans="1:13" ht="15.2" customHeight="1" x14ac:dyDescent="0.2">
      <c r="A163" s="26" t="s">
        <v>3896</v>
      </c>
      <c r="B163" s="27" t="s">
        <v>3897</v>
      </c>
      <c r="C163" s="28">
        <v>1</v>
      </c>
      <c r="D163" s="29">
        <v>8</v>
      </c>
      <c r="E163" s="29">
        <v>8</v>
      </c>
      <c r="F163" s="30">
        <v>19.989999999999998</v>
      </c>
      <c r="G163" s="29">
        <v>19.989999999999998</v>
      </c>
      <c r="H163" s="28" t="s">
        <v>2309</v>
      </c>
      <c r="I163" s="27" t="s">
        <v>238</v>
      </c>
      <c r="J163" s="31" t="s">
        <v>71</v>
      </c>
      <c r="K163" s="27" t="s">
        <v>196</v>
      </c>
      <c r="L163" s="27" t="s">
        <v>239</v>
      </c>
      <c r="M163" s="32" t="str">
        <f>HYPERLINK("http://slimages.macys.com/is/image/MCY/3719772 ")</f>
        <v xml:space="preserve">http://slimages.macys.com/is/image/MCY/3719772 </v>
      </c>
    </row>
    <row r="164" spans="1:13" ht="15.2" customHeight="1" x14ac:dyDescent="0.2">
      <c r="A164" s="26" t="s">
        <v>3898</v>
      </c>
      <c r="B164" s="27" t="s">
        <v>3899</v>
      </c>
      <c r="C164" s="28">
        <v>2</v>
      </c>
      <c r="D164" s="29">
        <v>7.82</v>
      </c>
      <c r="E164" s="29">
        <v>15.64</v>
      </c>
      <c r="F164" s="30">
        <v>16.989999999999998</v>
      </c>
      <c r="G164" s="29">
        <v>33.979999999999997</v>
      </c>
      <c r="H164" s="28">
        <v>60450149</v>
      </c>
      <c r="I164" s="27" t="s">
        <v>33</v>
      </c>
      <c r="J164" s="31" t="s">
        <v>21</v>
      </c>
      <c r="K164" s="27" t="s">
        <v>208</v>
      </c>
      <c r="L164" s="27" t="s">
        <v>255</v>
      </c>
      <c r="M164" s="32" t="str">
        <f>HYPERLINK("http://slimages.macys.com/is/image/MCY/3955026 ")</f>
        <v xml:space="preserve">http://slimages.macys.com/is/image/MCY/3955026 </v>
      </c>
    </row>
    <row r="165" spans="1:13" ht="15.2" customHeight="1" x14ac:dyDescent="0.2">
      <c r="A165" s="26" t="s">
        <v>2343</v>
      </c>
      <c r="B165" s="27" t="s">
        <v>2344</v>
      </c>
      <c r="C165" s="28">
        <v>1</v>
      </c>
      <c r="D165" s="29">
        <v>7.63</v>
      </c>
      <c r="E165" s="29">
        <v>7.63</v>
      </c>
      <c r="F165" s="30">
        <v>22.5</v>
      </c>
      <c r="G165" s="29">
        <v>22.5</v>
      </c>
      <c r="H165" s="28" t="s">
        <v>2331</v>
      </c>
      <c r="I165" s="27" t="s">
        <v>4</v>
      </c>
      <c r="J165" s="31" t="s">
        <v>52</v>
      </c>
      <c r="K165" s="27" t="s">
        <v>53</v>
      </c>
      <c r="L165" s="27" t="s">
        <v>372</v>
      </c>
      <c r="M165" s="32" t="str">
        <f>HYPERLINK("http://slimages.macys.com/is/image/MCY/2217104 ")</f>
        <v xml:space="preserve">http://slimages.macys.com/is/image/MCY/2217104 </v>
      </c>
    </row>
    <row r="166" spans="1:13" ht="15.2" customHeight="1" x14ac:dyDescent="0.2">
      <c r="A166" s="26" t="s">
        <v>2329</v>
      </c>
      <c r="B166" s="27" t="s">
        <v>2330</v>
      </c>
      <c r="C166" s="28">
        <v>1</v>
      </c>
      <c r="D166" s="29">
        <v>7.63</v>
      </c>
      <c r="E166" s="29">
        <v>7.63</v>
      </c>
      <c r="F166" s="30">
        <v>22.5</v>
      </c>
      <c r="G166" s="29">
        <v>22.5</v>
      </c>
      <c r="H166" s="28" t="s">
        <v>2331</v>
      </c>
      <c r="I166" s="27" t="s">
        <v>4</v>
      </c>
      <c r="J166" s="31" t="s">
        <v>5</v>
      </c>
      <c r="K166" s="27" t="s">
        <v>53</v>
      </c>
      <c r="L166" s="27" t="s">
        <v>372</v>
      </c>
      <c r="M166" s="32" t="str">
        <f>HYPERLINK("http://slimages.macys.com/is/image/MCY/2217104 ")</f>
        <v xml:space="preserve">http://slimages.macys.com/is/image/MCY/2217104 </v>
      </c>
    </row>
    <row r="167" spans="1:13" ht="15.2" customHeight="1" x14ac:dyDescent="0.2">
      <c r="A167" s="26" t="s">
        <v>2345</v>
      </c>
      <c r="B167" s="27" t="s">
        <v>2346</v>
      </c>
      <c r="C167" s="28">
        <v>1</v>
      </c>
      <c r="D167" s="29">
        <v>7.63</v>
      </c>
      <c r="E167" s="29">
        <v>7.63</v>
      </c>
      <c r="F167" s="30">
        <v>22.5</v>
      </c>
      <c r="G167" s="29">
        <v>22.5</v>
      </c>
      <c r="H167" s="28" t="s">
        <v>2331</v>
      </c>
      <c r="I167" s="27" t="s">
        <v>4</v>
      </c>
      <c r="J167" s="31" t="s">
        <v>40</v>
      </c>
      <c r="K167" s="27" t="s">
        <v>53</v>
      </c>
      <c r="L167" s="27" t="s">
        <v>372</v>
      </c>
      <c r="M167" s="32" t="str">
        <f>HYPERLINK("http://slimages.macys.com/is/image/MCY/2217104 ")</f>
        <v xml:space="preserve">http://slimages.macys.com/is/image/MCY/2217104 </v>
      </c>
    </row>
    <row r="168" spans="1:13" ht="15.2" customHeight="1" x14ac:dyDescent="0.2">
      <c r="A168" s="26" t="s">
        <v>2339</v>
      </c>
      <c r="B168" s="27" t="s">
        <v>2340</v>
      </c>
      <c r="C168" s="28">
        <v>2</v>
      </c>
      <c r="D168" s="29">
        <v>7.63</v>
      </c>
      <c r="E168" s="29">
        <v>15.26</v>
      </c>
      <c r="F168" s="30">
        <v>22.5</v>
      </c>
      <c r="G168" s="29">
        <v>45</v>
      </c>
      <c r="H168" s="28" t="s">
        <v>2331</v>
      </c>
      <c r="I168" s="27" t="s">
        <v>4</v>
      </c>
      <c r="J168" s="31" t="s">
        <v>21</v>
      </c>
      <c r="K168" s="27" t="s">
        <v>53</v>
      </c>
      <c r="L168" s="27" t="s">
        <v>372</v>
      </c>
      <c r="M168" s="32" t="str">
        <f>HYPERLINK("http://slimages.macys.com/is/image/MCY/2217104 ")</f>
        <v xml:space="preserve">http://slimages.macys.com/is/image/MCY/2217104 </v>
      </c>
    </row>
    <row r="169" spans="1:13" ht="15.2" customHeight="1" x14ac:dyDescent="0.2">
      <c r="A169" s="26" t="s">
        <v>2341</v>
      </c>
      <c r="B169" s="27" t="s">
        <v>2342</v>
      </c>
      <c r="C169" s="28">
        <v>2</v>
      </c>
      <c r="D169" s="29">
        <v>7.63</v>
      </c>
      <c r="E169" s="29">
        <v>15.26</v>
      </c>
      <c r="F169" s="30">
        <v>22.5</v>
      </c>
      <c r="G169" s="29">
        <v>45</v>
      </c>
      <c r="H169" s="28" t="s">
        <v>2334</v>
      </c>
      <c r="I169" s="27" t="s">
        <v>4</v>
      </c>
      <c r="J169" s="31" t="s">
        <v>5</v>
      </c>
      <c r="K169" s="27" t="s">
        <v>53</v>
      </c>
      <c r="L169" s="27" t="s">
        <v>372</v>
      </c>
      <c r="M169" s="32" t="str">
        <f>HYPERLINK("http://slimages.macys.com/is/image/MCY/2217105 ")</f>
        <v xml:space="preserve">http://slimages.macys.com/is/image/MCY/2217105 </v>
      </c>
    </row>
    <row r="170" spans="1:13" ht="15.2" customHeight="1" x14ac:dyDescent="0.2">
      <c r="A170" s="26" t="s">
        <v>2979</v>
      </c>
      <c r="B170" s="27" t="s">
        <v>2980</v>
      </c>
      <c r="C170" s="28">
        <v>1</v>
      </c>
      <c r="D170" s="29">
        <v>7.55</v>
      </c>
      <c r="E170" s="29">
        <v>7.55</v>
      </c>
      <c r="F170" s="30">
        <v>22.5</v>
      </c>
      <c r="G170" s="29">
        <v>22.5</v>
      </c>
      <c r="H170" s="28" t="s">
        <v>1423</v>
      </c>
      <c r="I170" s="27" t="s">
        <v>4</v>
      </c>
      <c r="J170" s="31"/>
      <c r="K170" s="27" t="s">
        <v>53</v>
      </c>
      <c r="L170" s="27" t="s">
        <v>372</v>
      </c>
      <c r="M170" s="32" t="str">
        <f>HYPERLINK("http://slimages.macys.com/is/image/MCY/1506837 ")</f>
        <v xml:space="preserve">http://slimages.macys.com/is/image/MCY/1506837 </v>
      </c>
    </row>
    <row r="171" spans="1:13" ht="15.2" customHeight="1" x14ac:dyDescent="0.2">
      <c r="A171" s="26" t="s">
        <v>3900</v>
      </c>
      <c r="B171" s="27" t="s">
        <v>3901</v>
      </c>
      <c r="C171" s="28">
        <v>2</v>
      </c>
      <c r="D171" s="29">
        <v>7.5</v>
      </c>
      <c r="E171" s="29">
        <v>15</v>
      </c>
      <c r="F171" s="30">
        <v>10.99</v>
      </c>
      <c r="G171" s="29">
        <v>21.98</v>
      </c>
      <c r="H171" s="28">
        <v>60408642</v>
      </c>
      <c r="I171" s="27" t="s">
        <v>4</v>
      </c>
      <c r="J171" s="31" t="s">
        <v>40</v>
      </c>
      <c r="K171" s="27" t="s">
        <v>282</v>
      </c>
      <c r="L171" s="27" t="s">
        <v>255</v>
      </c>
      <c r="M171" s="32" t="str">
        <f>HYPERLINK("http://slimages.macys.com/is/image/MCY/3076974 ")</f>
        <v xml:space="preserve">http://slimages.macys.com/is/image/MCY/3076974 </v>
      </c>
    </row>
    <row r="172" spans="1:13" ht="15.2" customHeight="1" x14ac:dyDescent="0.2">
      <c r="A172" s="26" t="s">
        <v>378</v>
      </c>
      <c r="B172" s="27" t="s">
        <v>379</v>
      </c>
      <c r="C172" s="28">
        <v>1</v>
      </c>
      <c r="D172" s="29">
        <v>7</v>
      </c>
      <c r="E172" s="29">
        <v>7</v>
      </c>
      <c r="F172" s="30">
        <v>19.989999999999998</v>
      </c>
      <c r="G172" s="29">
        <v>19.989999999999998</v>
      </c>
      <c r="H172" s="28" t="s">
        <v>380</v>
      </c>
      <c r="I172" s="27" t="s">
        <v>4</v>
      </c>
      <c r="J172" s="31" t="s">
        <v>21</v>
      </c>
      <c r="K172" s="27" t="s">
        <v>196</v>
      </c>
      <c r="L172" s="27" t="s">
        <v>260</v>
      </c>
      <c r="M172" s="32" t="str">
        <f>HYPERLINK("http://slimages.macys.com/is/image/MCY/3910801 ")</f>
        <v xml:space="preserve">http://slimages.macys.com/is/image/MCY/3910801 </v>
      </c>
    </row>
    <row r="173" spans="1:13" ht="15.2" customHeight="1" x14ac:dyDescent="0.2">
      <c r="A173" s="26" t="s">
        <v>3902</v>
      </c>
      <c r="B173" s="27" t="s">
        <v>3903</v>
      </c>
      <c r="C173" s="28">
        <v>1</v>
      </c>
      <c r="D173" s="29">
        <v>7</v>
      </c>
      <c r="E173" s="29">
        <v>7</v>
      </c>
      <c r="F173" s="30">
        <v>19.989999999999998</v>
      </c>
      <c r="G173" s="29">
        <v>19.989999999999998</v>
      </c>
      <c r="H173" s="28" t="s">
        <v>380</v>
      </c>
      <c r="I173" s="27" t="s">
        <v>274</v>
      </c>
      <c r="J173" s="31" t="s">
        <v>5</v>
      </c>
      <c r="K173" s="27" t="s">
        <v>196</v>
      </c>
      <c r="L173" s="27" t="s">
        <v>260</v>
      </c>
      <c r="M173" s="32" t="str">
        <f>HYPERLINK("http://slimages.macys.com/is/image/MCY/3910801 ")</f>
        <v xml:space="preserve">http://slimages.macys.com/is/image/MCY/3910801 </v>
      </c>
    </row>
    <row r="174" spans="1:13" ht="15.2" customHeight="1" x14ac:dyDescent="0.2">
      <c r="A174" s="26" t="s">
        <v>2664</v>
      </c>
      <c r="B174" s="27" t="s">
        <v>2665</v>
      </c>
      <c r="C174" s="28">
        <v>2</v>
      </c>
      <c r="D174" s="29">
        <v>7</v>
      </c>
      <c r="E174" s="29">
        <v>14</v>
      </c>
      <c r="F174" s="30">
        <v>19.989999999999998</v>
      </c>
      <c r="G174" s="29">
        <v>39.979999999999997</v>
      </c>
      <c r="H174" s="28" t="s">
        <v>2666</v>
      </c>
      <c r="I174" s="27" t="s">
        <v>280</v>
      </c>
      <c r="J174" s="31" t="s">
        <v>5</v>
      </c>
      <c r="K174" s="27" t="s">
        <v>282</v>
      </c>
      <c r="L174" s="27" t="s">
        <v>358</v>
      </c>
      <c r="M174" s="32" t="str">
        <f>HYPERLINK("http://slimages.macys.com/is/image/MCY/3774255 ")</f>
        <v xml:space="preserve">http://slimages.macys.com/is/image/MCY/3774255 </v>
      </c>
    </row>
    <row r="175" spans="1:13" ht="15.2" customHeight="1" x14ac:dyDescent="0.2">
      <c r="A175" s="26" t="s">
        <v>2355</v>
      </c>
      <c r="B175" s="27" t="s">
        <v>2356</v>
      </c>
      <c r="C175" s="28">
        <v>1</v>
      </c>
      <c r="D175" s="29">
        <v>7</v>
      </c>
      <c r="E175" s="29">
        <v>7</v>
      </c>
      <c r="F175" s="30">
        <v>19.989999999999998</v>
      </c>
      <c r="G175" s="29">
        <v>19.989999999999998</v>
      </c>
      <c r="H175" s="28" t="s">
        <v>380</v>
      </c>
      <c r="I175" s="27" t="s">
        <v>274</v>
      </c>
      <c r="J175" s="31" t="s">
        <v>21</v>
      </c>
      <c r="K175" s="27" t="s">
        <v>196</v>
      </c>
      <c r="L175" s="27" t="s">
        <v>260</v>
      </c>
      <c r="M175" s="32" t="str">
        <f>HYPERLINK("http://slimages.macys.com/is/image/MCY/3910801 ")</f>
        <v xml:space="preserve">http://slimages.macys.com/is/image/MCY/3910801 </v>
      </c>
    </row>
    <row r="176" spans="1:13" ht="15.2" customHeight="1" x14ac:dyDescent="0.2">
      <c r="A176" s="26" t="s">
        <v>3904</v>
      </c>
      <c r="B176" s="27" t="s">
        <v>3905</v>
      </c>
      <c r="C176" s="28">
        <v>1</v>
      </c>
      <c r="D176" s="29">
        <v>7</v>
      </c>
      <c r="E176" s="29">
        <v>7</v>
      </c>
      <c r="F176" s="30">
        <v>19.989999999999998</v>
      </c>
      <c r="G176" s="29">
        <v>19.989999999999998</v>
      </c>
      <c r="H176" s="28" t="s">
        <v>380</v>
      </c>
      <c r="I176" s="27" t="s">
        <v>8</v>
      </c>
      <c r="J176" s="31" t="s">
        <v>21</v>
      </c>
      <c r="K176" s="27" t="s">
        <v>196</v>
      </c>
      <c r="L176" s="27" t="s">
        <v>260</v>
      </c>
      <c r="M176" s="32" t="str">
        <f>HYPERLINK("http://slimages.macys.com/is/image/MCY/3910801 ")</f>
        <v xml:space="preserve">http://slimages.macys.com/is/image/MCY/3910801 </v>
      </c>
    </row>
    <row r="177" spans="1:13" ht="15.2" customHeight="1" x14ac:dyDescent="0.2">
      <c r="A177" s="26" t="s">
        <v>3906</v>
      </c>
      <c r="B177" s="27" t="s">
        <v>3907</v>
      </c>
      <c r="C177" s="28">
        <v>1</v>
      </c>
      <c r="D177" s="29">
        <v>7</v>
      </c>
      <c r="E177" s="29">
        <v>7</v>
      </c>
      <c r="F177" s="30">
        <v>19.989999999999998</v>
      </c>
      <c r="G177" s="29">
        <v>19.989999999999998</v>
      </c>
      <c r="H177" s="28" t="s">
        <v>380</v>
      </c>
      <c r="I177" s="27" t="s">
        <v>4</v>
      </c>
      <c r="J177" s="31" t="s">
        <v>5</v>
      </c>
      <c r="K177" s="27" t="s">
        <v>196</v>
      </c>
      <c r="L177" s="27" t="s">
        <v>260</v>
      </c>
      <c r="M177" s="32" t="str">
        <f>HYPERLINK("http://slimages.macys.com/is/image/MCY/3910801 ")</f>
        <v xml:space="preserve">http://slimages.macys.com/is/image/MCY/3910801 </v>
      </c>
    </row>
    <row r="178" spans="1:13" ht="15.2" customHeight="1" x14ac:dyDescent="0.2">
      <c r="A178" s="26" t="s">
        <v>3908</v>
      </c>
      <c r="B178" s="27" t="s">
        <v>3909</v>
      </c>
      <c r="C178" s="28">
        <v>1</v>
      </c>
      <c r="D178" s="29">
        <v>6.79</v>
      </c>
      <c r="E178" s="29">
        <v>6.79</v>
      </c>
      <c r="F178" s="30">
        <v>14.99</v>
      </c>
      <c r="G178" s="29">
        <v>14.99</v>
      </c>
      <c r="H178" s="28" t="s">
        <v>3910</v>
      </c>
      <c r="I178" s="27" t="s">
        <v>4</v>
      </c>
      <c r="J178" s="31" t="s">
        <v>40</v>
      </c>
      <c r="K178" s="27" t="s">
        <v>159</v>
      </c>
      <c r="L178" s="27" t="s">
        <v>160</v>
      </c>
      <c r="M178" s="32" t="str">
        <f>HYPERLINK("http://slimages.macys.com/is/image/MCY/3426669 ")</f>
        <v xml:space="preserve">http://slimages.macys.com/is/image/MCY/3426669 </v>
      </c>
    </row>
    <row r="179" spans="1:13" ht="15.2" customHeight="1" x14ac:dyDescent="0.2">
      <c r="A179" s="26" t="s">
        <v>3911</v>
      </c>
      <c r="B179" s="27" t="s">
        <v>3912</v>
      </c>
      <c r="C179" s="28">
        <v>1</v>
      </c>
      <c r="D179" s="29">
        <v>6.3</v>
      </c>
      <c r="E179" s="29">
        <v>6.3</v>
      </c>
      <c r="F179" s="30">
        <v>14.99</v>
      </c>
      <c r="G179" s="29">
        <v>14.99</v>
      </c>
      <c r="H179" s="28" t="s">
        <v>397</v>
      </c>
      <c r="I179" s="27" t="s">
        <v>36</v>
      </c>
      <c r="J179" s="31" t="s">
        <v>5</v>
      </c>
      <c r="K179" s="27" t="s">
        <v>159</v>
      </c>
      <c r="L179" s="27" t="s">
        <v>160</v>
      </c>
      <c r="M179" s="32" t="str">
        <f>HYPERLINK("http://slimages.macys.com/is/image/MCY/3876250 ")</f>
        <v xml:space="preserve">http://slimages.macys.com/is/image/MCY/3876250 </v>
      </c>
    </row>
    <row r="180" spans="1:13" ht="15.2" customHeight="1" x14ac:dyDescent="0.2">
      <c r="A180" s="26" t="s">
        <v>3913</v>
      </c>
      <c r="B180" s="27" t="s">
        <v>3914</v>
      </c>
      <c r="C180" s="28">
        <v>1</v>
      </c>
      <c r="D180" s="29">
        <v>6.3</v>
      </c>
      <c r="E180" s="29">
        <v>6.3</v>
      </c>
      <c r="F180" s="30">
        <v>14.99</v>
      </c>
      <c r="G180" s="29">
        <v>14.99</v>
      </c>
      <c r="H180" s="28" t="s">
        <v>1925</v>
      </c>
      <c r="I180" s="27" t="s">
        <v>82</v>
      </c>
      <c r="J180" s="31" t="s">
        <v>52</v>
      </c>
      <c r="K180" s="27" t="s">
        <v>159</v>
      </c>
      <c r="L180" s="27" t="s">
        <v>160</v>
      </c>
      <c r="M180" s="32" t="str">
        <f>HYPERLINK("http://slimages.macys.com/is/image/MCY/3953479 ")</f>
        <v xml:space="preserve">http://slimages.macys.com/is/image/MCY/3953479 </v>
      </c>
    </row>
    <row r="181" spans="1:13" ht="15.2" customHeight="1" x14ac:dyDescent="0.2">
      <c r="A181" s="26" t="s">
        <v>3915</v>
      </c>
      <c r="B181" s="27" t="s">
        <v>3916</v>
      </c>
      <c r="C181" s="28">
        <v>1</v>
      </c>
      <c r="D181" s="29">
        <v>6.25</v>
      </c>
      <c r="E181" s="29">
        <v>6.25</v>
      </c>
      <c r="F181" s="30">
        <v>16.989999999999998</v>
      </c>
      <c r="G181" s="29">
        <v>16.989999999999998</v>
      </c>
      <c r="H181" s="28" t="s">
        <v>3917</v>
      </c>
      <c r="I181" s="27" t="s">
        <v>59</v>
      </c>
      <c r="J181" s="31" t="s">
        <v>21</v>
      </c>
      <c r="K181" s="27" t="s">
        <v>196</v>
      </c>
      <c r="L181" s="27" t="s">
        <v>225</v>
      </c>
      <c r="M181" s="32" t="str">
        <f>HYPERLINK("http://slimages.macys.com/is/image/MCY/3721365 ")</f>
        <v xml:space="preserve">http://slimages.macys.com/is/image/MCY/3721365 </v>
      </c>
    </row>
    <row r="182" spans="1:13" ht="15.2" customHeight="1" x14ac:dyDescent="0.2">
      <c r="A182" s="26" t="s">
        <v>3918</v>
      </c>
      <c r="B182" s="27" t="s">
        <v>3919</v>
      </c>
      <c r="C182" s="28">
        <v>1</v>
      </c>
      <c r="D182" s="29">
        <v>6.25</v>
      </c>
      <c r="E182" s="29">
        <v>6.25</v>
      </c>
      <c r="F182" s="30">
        <v>13.99</v>
      </c>
      <c r="G182" s="29">
        <v>13.99</v>
      </c>
      <c r="H182" s="28">
        <v>60445052</v>
      </c>
      <c r="I182" s="27" t="s">
        <v>36</v>
      </c>
      <c r="J182" s="31" t="s">
        <v>40</v>
      </c>
      <c r="K182" s="27" t="s">
        <v>282</v>
      </c>
      <c r="L182" s="27" t="s">
        <v>255</v>
      </c>
      <c r="M182" s="32" t="str">
        <f>HYPERLINK("http://slimages.macys.com/is/image/MCY/3875776 ")</f>
        <v xml:space="preserve">http://slimages.macys.com/is/image/MCY/3875776 </v>
      </c>
    </row>
    <row r="183" spans="1:13" ht="15.2" customHeight="1" x14ac:dyDescent="0.2">
      <c r="A183" s="26" t="s">
        <v>2688</v>
      </c>
      <c r="B183" s="27" t="s">
        <v>2689</v>
      </c>
      <c r="C183" s="28">
        <v>1</v>
      </c>
      <c r="D183" s="29">
        <v>6.15</v>
      </c>
      <c r="E183" s="29">
        <v>6.15</v>
      </c>
      <c r="F183" s="30">
        <v>14.99</v>
      </c>
      <c r="G183" s="29">
        <v>14.99</v>
      </c>
      <c r="H183" s="28" t="s">
        <v>403</v>
      </c>
      <c r="I183" s="27" t="s">
        <v>207</v>
      </c>
      <c r="J183" s="31" t="s">
        <v>5</v>
      </c>
      <c r="K183" s="27" t="s">
        <v>159</v>
      </c>
      <c r="L183" s="27" t="s">
        <v>160</v>
      </c>
      <c r="M183" s="32" t="str">
        <f>HYPERLINK("http://slimages.macys.com/is/image/MCY/3899765 ")</f>
        <v xml:space="preserve">http://slimages.macys.com/is/image/MCY/3899765 </v>
      </c>
    </row>
    <row r="184" spans="1:13" ht="15.2" customHeight="1" x14ac:dyDescent="0.2">
      <c r="A184" s="26" t="s">
        <v>2690</v>
      </c>
      <c r="B184" s="27" t="s">
        <v>2691</v>
      </c>
      <c r="C184" s="28">
        <v>1</v>
      </c>
      <c r="D184" s="29">
        <v>6.15</v>
      </c>
      <c r="E184" s="29">
        <v>6.15</v>
      </c>
      <c r="F184" s="30">
        <v>14.99</v>
      </c>
      <c r="G184" s="29">
        <v>14.99</v>
      </c>
      <c r="H184" s="28" t="s">
        <v>1474</v>
      </c>
      <c r="I184" s="27" t="s">
        <v>291</v>
      </c>
      <c r="J184" s="31" t="s">
        <v>40</v>
      </c>
      <c r="K184" s="27" t="s">
        <v>159</v>
      </c>
      <c r="L184" s="27" t="s">
        <v>160</v>
      </c>
      <c r="M184" s="32" t="str">
        <f>HYPERLINK("http://slimages.macys.com/is/image/MCY/3857666 ")</f>
        <v xml:space="preserve">http://slimages.macys.com/is/image/MCY/3857666 </v>
      </c>
    </row>
    <row r="185" spans="1:13" ht="15.2" customHeight="1" x14ac:dyDescent="0.2">
      <c r="A185" s="26" t="s">
        <v>3920</v>
      </c>
      <c r="B185" s="27" t="s">
        <v>3921</v>
      </c>
      <c r="C185" s="28">
        <v>1</v>
      </c>
      <c r="D185" s="29">
        <v>6.1</v>
      </c>
      <c r="E185" s="29">
        <v>6.1</v>
      </c>
      <c r="F185" s="30">
        <v>15.99</v>
      </c>
      <c r="G185" s="29">
        <v>15.99</v>
      </c>
      <c r="H185" s="28" t="s">
        <v>1484</v>
      </c>
      <c r="I185" s="27" t="s">
        <v>94</v>
      </c>
      <c r="J185" s="31" t="s">
        <v>21</v>
      </c>
      <c r="K185" s="27" t="s">
        <v>70</v>
      </c>
      <c r="L185" s="27" t="s">
        <v>260</v>
      </c>
      <c r="M185" s="32" t="str">
        <f>HYPERLINK("http://slimages.macys.com/is/image/MCY/3947255 ")</f>
        <v xml:space="preserve">http://slimages.macys.com/is/image/MCY/3947255 </v>
      </c>
    </row>
    <row r="186" spans="1:13" ht="15.2" customHeight="1" x14ac:dyDescent="0.2">
      <c r="A186" s="26" t="s">
        <v>3922</v>
      </c>
      <c r="B186" s="27" t="s">
        <v>3923</v>
      </c>
      <c r="C186" s="28">
        <v>1</v>
      </c>
      <c r="D186" s="29">
        <v>6</v>
      </c>
      <c r="E186" s="29">
        <v>6</v>
      </c>
      <c r="F186" s="30">
        <v>12.99</v>
      </c>
      <c r="G186" s="29">
        <v>12.99</v>
      </c>
      <c r="H186" s="28" t="s">
        <v>3924</v>
      </c>
      <c r="I186" s="27" t="s">
        <v>189</v>
      </c>
      <c r="J186" s="31" t="s">
        <v>5</v>
      </c>
      <c r="K186" s="27" t="s">
        <v>282</v>
      </c>
      <c r="L186" s="27" t="s">
        <v>312</v>
      </c>
      <c r="M186" s="32" t="str">
        <f>HYPERLINK("http://slimages.macys.com/is/image/MCY/3947466 ")</f>
        <v xml:space="preserve">http://slimages.macys.com/is/image/MCY/3947466 </v>
      </c>
    </row>
    <row r="187" spans="1:13" ht="15.2" customHeight="1" x14ac:dyDescent="0.2">
      <c r="A187" s="26" t="s">
        <v>410</v>
      </c>
      <c r="B187" s="27" t="s">
        <v>411</v>
      </c>
      <c r="C187" s="28">
        <v>1</v>
      </c>
      <c r="D187" s="29">
        <v>6</v>
      </c>
      <c r="E187" s="29">
        <v>6</v>
      </c>
      <c r="F187" s="30">
        <v>12.99</v>
      </c>
      <c r="G187" s="29">
        <v>12.99</v>
      </c>
      <c r="H187" s="28" t="s">
        <v>406</v>
      </c>
      <c r="I187" s="27" t="s">
        <v>82</v>
      </c>
      <c r="J187" s="31" t="s">
        <v>52</v>
      </c>
      <c r="K187" s="27" t="s">
        <v>282</v>
      </c>
      <c r="L187" s="27" t="s">
        <v>283</v>
      </c>
      <c r="M187" s="32" t="str">
        <f>HYPERLINK("http://slimages.macys.com/is/image/MCY/3910983 ")</f>
        <v xml:space="preserve">http://slimages.macys.com/is/image/MCY/3910983 </v>
      </c>
    </row>
    <row r="188" spans="1:13" ht="15.2" customHeight="1" x14ac:dyDescent="0.2">
      <c r="A188" s="26" t="s">
        <v>3925</v>
      </c>
      <c r="B188" s="27" t="s">
        <v>3926</v>
      </c>
      <c r="C188" s="28">
        <v>1</v>
      </c>
      <c r="D188" s="29">
        <v>6</v>
      </c>
      <c r="E188" s="29">
        <v>6</v>
      </c>
      <c r="F188" s="30">
        <v>12.99</v>
      </c>
      <c r="G188" s="29">
        <v>12.99</v>
      </c>
      <c r="H188" s="28" t="s">
        <v>3927</v>
      </c>
      <c r="I188" s="27" t="s">
        <v>144</v>
      </c>
      <c r="J188" s="31" t="s">
        <v>5</v>
      </c>
      <c r="K188" s="27" t="s">
        <v>282</v>
      </c>
      <c r="L188" s="27" t="s">
        <v>283</v>
      </c>
      <c r="M188" s="32" t="str">
        <f>HYPERLINK("http://slimages.macys.com/is/image/MCY/3924232 ")</f>
        <v xml:space="preserve">http://slimages.macys.com/is/image/MCY/3924232 </v>
      </c>
    </row>
    <row r="189" spans="1:13" ht="15.2" customHeight="1" x14ac:dyDescent="0.2">
      <c r="A189" s="26" t="s">
        <v>408</v>
      </c>
      <c r="B189" s="27" t="s">
        <v>409</v>
      </c>
      <c r="C189" s="28">
        <v>1</v>
      </c>
      <c r="D189" s="29">
        <v>6</v>
      </c>
      <c r="E189" s="29">
        <v>6</v>
      </c>
      <c r="F189" s="30">
        <v>12.99</v>
      </c>
      <c r="G189" s="29">
        <v>12.99</v>
      </c>
      <c r="H189" s="28" t="s">
        <v>406</v>
      </c>
      <c r="I189" s="27" t="s">
        <v>82</v>
      </c>
      <c r="J189" s="31" t="s">
        <v>5</v>
      </c>
      <c r="K189" s="27" t="s">
        <v>282</v>
      </c>
      <c r="L189" s="27" t="s">
        <v>283</v>
      </c>
      <c r="M189" s="32" t="str">
        <f>HYPERLINK("http://slimages.macys.com/is/image/MCY/3910983 ")</f>
        <v xml:space="preserve">http://slimages.macys.com/is/image/MCY/3910983 </v>
      </c>
    </row>
    <row r="190" spans="1:13" ht="15.2" customHeight="1" x14ac:dyDescent="0.2">
      <c r="A190" s="26" t="s">
        <v>3928</v>
      </c>
      <c r="B190" s="27" t="s">
        <v>3929</v>
      </c>
      <c r="C190" s="28">
        <v>1</v>
      </c>
      <c r="D190" s="29">
        <v>6</v>
      </c>
      <c r="E190" s="29">
        <v>6</v>
      </c>
      <c r="F190" s="30">
        <v>12.99</v>
      </c>
      <c r="G190" s="29">
        <v>12.99</v>
      </c>
      <c r="H190" s="28" t="s">
        <v>3927</v>
      </c>
      <c r="I190" s="27" t="s">
        <v>144</v>
      </c>
      <c r="J190" s="31" t="s">
        <v>52</v>
      </c>
      <c r="K190" s="27" t="s">
        <v>282</v>
      </c>
      <c r="L190" s="27" t="s">
        <v>283</v>
      </c>
      <c r="M190" s="32" t="str">
        <f>HYPERLINK("http://slimages.macys.com/is/image/MCY/3924232 ")</f>
        <v xml:space="preserve">http://slimages.macys.com/is/image/MCY/3924232 </v>
      </c>
    </row>
    <row r="191" spans="1:13" ht="15.2" customHeight="1" x14ac:dyDescent="0.2">
      <c r="A191" s="26" t="s">
        <v>3930</v>
      </c>
      <c r="B191" s="27" t="s">
        <v>3931</v>
      </c>
      <c r="C191" s="28">
        <v>1</v>
      </c>
      <c r="D191" s="29">
        <v>6</v>
      </c>
      <c r="E191" s="29">
        <v>6</v>
      </c>
      <c r="F191" s="30">
        <v>12.99</v>
      </c>
      <c r="G191" s="29">
        <v>12.99</v>
      </c>
      <c r="H191" s="28" t="s">
        <v>3932</v>
      </c>
      <c r="I191" s="27" t="s">
        <v>29</v>
      </c>
      <c r="J191" s="31" t="s">
        <v>5</v>
      </c>
      <c r="K191" s="27" t="s">
        <v>282</v>
      </c>
      <c r="L191" s="27" t="s">
        <v>312</v>
      </c>
      <c r="M191" s="32" t="str">
        <f>HYPERLINK("http://slimages.macys.com/is/image/MCY/3947462 ")</f>
        <v xml:space="preserve">http://slimages.macys.com/is/image/MCY/3947462 </v>
      </c>
    </row>
    <row r="192" spans="1:13" ht="15.2" customHeight="1" x14ac:dyDescent="0.2">
      <c r="A192" s="26" t="s">
        <v>3933</v>
      </c>
      <c r="B192" s="27" t="s">
        <v>3934</v>
      </c>
      <c r="C192" s="28">
        <v>1</v>
      </c>
      <c r="D192" s="29">
        <v>5.95</v>
      </c>
      <c r="E192" s="29">
        <v>5.95</v>
      </c>
      <c r="F192" s="30">
        <v>12.99</v>
      </c>
      <c r="G192" s="29">
        <v>12.99</v>
      </c>
      <c r="H192" s="28" t="s">
        <v>420</v>
      </c>
      <c r="I192" s="27" t="s">
        <v>82</v>
      </c>
      <c r="J192" s="31" t="s">
        <v>40</v>
      </c>
      <c r="K192" s="27" t="s">
        <v>282</v>
      </c>
      <c r="L192" s="27" t="s">
        <v>358</v>
      </c>
      <c r="M192" s="32" t="str">
        <f>HYPERLINK("http://slimages.macys.com/is/image/MCY/3773962 ")</f>
        <v xml:space="preserve">http://slimages.macys.com/is/image/MCY/3773962 </v>
      </c>
    </row>
    <row r="193" spans="1:13" ht="15.2" customHeight="1" x14ac:dyDescent="0.2">
      <c r="A193" s="26" t="s">
        <v>3935</v>
      </c>
      <c r="B193" s="27" t="s">
        <v>3936</v>
      </c>
      <c r="C193" s="28">
        <v>1</v>
      </c>
      <c r="D193" s="29">
        <v>5.95</v>
      </c>
      <c r="E193" s="29">
        <v>5.95</v>
      </c>
      <c r="F193" s="30">
        <v>12.99</v>
      </c>
      <c r="G193" s="29">
        <v>12.99</v>
      </c>
      <c r="H193" s="28" t="s">
        <v>3937</v>
      </c>
      <c r="I193" s="27" t="s">
        <v>280</v>
      </c>
      <c r="J193" s="31" t="s">
        <v>52</v>
      </c>
      <c r="K193" s="27" t="s">
        <v>282</v>
      </c>
      <c r="L193" s="27" t="s">
        <v>358</v>
      </c>
      <c r="M193" s="32" t="str">
        <f>HYPERLINK("http://slimages.macys.com/is/image/MCY/3947148 ")</f>
        <v xml:space="preserve">http://slimages.macys.com/is/image/MCY/3947148 </v>
      </c>
    </row>
    <row r="194" spans="1:13" ht="15.2" customHeight="1" x14ac:dyDescent="0.2">
      <c r="A194" s="26" t="s">
        <v>3938</v>
      </c>
      <c r="B194" s="27" t="s">
        <v>3939</v>
      </c>
      <c r="C194" s="28">
        <v>1</v>
      </c>
      <c r="D194" s="29">
        <v>5.95</v>
      </c>
      <c r="E194" s="29">
        <v>5.95</v>
      </c>
      <c r="F194" s="30">
        <v>12.99</v>
      </c>
      <c r="G194" s="29">
        <v>12.99</v>
      </c>
      <c r="H194" s="28" t="s">
        <v>3009</v>
      </c>
      <c r="I194" s="27" t="s">
        <v>357</v>
      </c>
      <c r="J194" s="31" t="s">
        <v>5</v>
      </c>
      <c r="K194" s="27" t="s">
        <v>282</v>
      </c>
      <c r="L194" s="27" t="s">
        <v>358</v>
      </c>
      <c r="M194" s="32" t="str">
        <f>HYPERLINK("http://slimages.macys.com/is/image/MCY/3773354 ")</f>
        <v xml:space="preserve">http://slimages.macys.com/is/image/MCY/3773354 </v>
      </c>
    </row>
    <row r="195" spans="1:13" ht="15.2" customHeight="1" x14ac:dyDescent="0.2">
      <c r="A195" s="26" t="s">
        <v>426</v>
      </c>
      <c r="B195" s="27" t="s">
        <v>427</v>
      </c>
      <c r="C195" s="28">
        <v>1</v>
      </c>
      <c r="D195" s="29">
        <v>5.75</v>
      </c>
      <c r="E195" s="29">
        <v>5.75</v>
      </c>
      <c r="F195" s="30">
        <v>12.99</v>
      </c>
      <c r="G195" s="29">
        <v>12.99</v>
      </c>
      <c r="H195" s="28" t="s">
        <v>428</v>
      </c>
      <c r="I195" s="27" t="s">
        <v>82</v>
      </c>
      <c r="J195" s="31" t="s">
        <v>52</v>
      </c>
      <c r="K195" s="27" t="s">
        <v>282</v>
      </c>
      <c r="L195" s="27" t="s">
        <v>283</v>
      </c>
      <c r="M195" s="32" t="str">
        <f>HYPERLINK("http://slimages.macys.com/is/image/MCY/3773484 ")</f>
        <v xml:space="preserve">http://slimages.macys.com/is/image/MCY/3773484 </v>
      </c>
    </row>
    <row r="196" spans="1:13" ht="15.2" customHeight="1" x14ac:dyDescent="0.2">
      <c r="A196" s="26" t="s">
        <v>902</v>
      </c>
      <c r="B196" s="27" t="s">
        <v>903</v>
      </c>
      <c r="C196" s="28">
        <v>1</v>
      </c>
      <c r="D196" s="29">
        <v>5.75</v>
      </c>
      <c r="E196" s="29">
        <v>5.75</v>
      </c>
      <c r="F196" s="30">
        <v>12.99</v>
      </c>
      <c r="G196" s="29">
        <v>12.99</v>
      </c>
      <c r="H196" s="28" t="s">
        <v>428</v>
      </c>
      <c r="I196" s="27" t="s">
        <v>82</v>
      </c>
      <c r="J196" s="31" t="s">
        <v>40</v>
      </c>
      <c r="K196" s="27" t="s">
        <v>282</v>
      </c>
      <c r="L196" s="27" t="s">
        <v>283</v>
      </c>
      <c r="M196" s="32" t="str">
        <f>HYPERLINK("http://slimages.macys.com/is/image/MCY/3773484 ")</f>
        <v xml:space="preserve">http://slimages.macys.com/is/image/MCY/3773484 </v>
      </c>
    </row>
    <row r="197" spans="1:13" ht="15.2" customHeight="1" x14ac:dyDescent="0.2">
      <c r="A197" s="26" t="s">
        <v>3940</v>
      </c>
      <c r="B197" s="27" t="s">
        <v>3941</v>
      </c>
      <c r="C197" s="28">
        <v>1</v>
      </c>
      <c r="D197" s="29">
        <v>5.75</v>
      </c>
      <c r="E197" s="29">
        <v>5.75</v>
      </c>
      <c r="F197" s="30">
        <v>14.5</v>
      </c>
      <c r="G197" s="29">
        <v>14.5</v>
      </c>
      <c r="H197" s="28" t="s">
        <v>915</v>
      </c>
      <c r="I197" s="27" t="s">
        <v>4</v>
      </c>
      <c r="J197" s="31" t="s">
        <v>52</v>
      </c>
      <c r="K197" s="27" t="s">
        <v>70</v>
      </c>
      <c r="L197" s="27" t="s">
        <v>353</v>
      </c>
      <c r="M197" s="32" t="str">
        <f>HYPERLINK("http://slimages.macys.com/is/image/MCY/3938464 ")</f>
        <v xml:space="preserve">http://slimages.macys.com/is/image/MCY/3938464 </v>
      </c>
    </row>
    <row r="198" spans="1:13" ht="15.2" customHeight="1" x14ac:dyDescent="0.2">
      <c r="A198" s="26" t="s">
        <v>2400</v>
      </c>
      <c r="B198" s="27" t="s">
        <v>2401</v>
      </c>
      <c r="C198" s="28">
        <v>1</v>
      </c>
      <c r="D198" s="29">
        <v>5.75</v>
      </c>
      <c r="E198" s="29">
        <v>5.75</v>
      </c>
      <c r="F198" s="30">
        <v>12.99</v>
      </c>
      <c r="G198" s="29">
        <v>12.99</v>
      </c>
      <c r="H198" s="28" t="s">
        <v>428</v>
      </c>
      <c r="I198" s="27" t="s">
        <v>82</v>
      </c>
      <c r="J198" s="31" t="s">
        <v>5</v>
      </c>
      <c r="K198" s="27" t="s">
        <v>282</v>
      </c>
      <c r="L198" s="27" t="s">
        <v>283</v>
      </c>
      <c r="M198" s="32" t="str">
        <f>HYPERLINK("http://slimages.macys.com/is/image/MCY/3773484 ")</f>
        <v xml:space="preserve">http://slimages.macys.com/is/image/MCY/3773484 </v>
      </c>
    </row>
    <row r="199" spans="1:13" ht="15.2" customHeight="1" x14ac:dyDescent="0.2">
      <c r="A199" s="26" t="s">
        <v>3942</v>
      </c>
      <c r="B199" s="27" t="s">
        <v>3943</v>
      </c>
      <c r="C199" s="28">
        <v>1</v>
      </c>
      <c r="D199" s="29">
        <v>5.5</v>
      </c>
      <c r="E199" s="29">
        <v>5.5</v>
      </c>
      <c r="F199" s="30">
        <v>16.989999999999998</v>
      </c>
      <c r="G199" s="29">
        <v>16.989999999999998</v>
      </c>
      <c r="H199" s="28" t="s">
        <v>431</v>
      </c>
      <c r="I199" s="27" t="s">
        <v>33</v>
      </c>
      <c r="J199" s="31" t="s">
        <v>40</v>
      </c>
      <c r="K199" s="27" t="s">
        <v>282</v>
      </c>
      <c r="L199" s="27" t="s">
        <v>388</v>
      </c>
      <c r="M199" s="32" t="str">
        <f>HYPERLINK("http://slimages.macys.com/is/image/MCY/3953468 ")</f>
        <v xml:space="preserve">http://slimages.macys.com/is/image/MCY/3953468 </v>
      </c>
    </row>
    <row r="200" spans="1:13" ht="15.2" customHeight="1" x14ac:dyDescent="0.2">
      <c r="A200" s="26" t="s">
        <v>3944</v>
      </c>
      <c r="B200" s="27" t="s">
        <v>3945</v>
      </c>
      <c r="C200" s="28">
        <v>1</v>
      </c>
      <c r="D200" s="29">
        <v>5.5</v>
      </c>
      <c r="E200" s="29">
        <v>5.5</v>
      </c>
      <c r="F200" s="30">
        <v>12.99</v>
      </c>
      <c r="G200" s="29">
        <v>12.99</v>
      </c>
      <c r="H200" s="28" t="s">
        <v>438</v>
      </c>
      <c r="I200" s="27" t="s">
        <v>33</v>
      </c>
      <c r="J200" s="31" t="s">
        <v>52</v>
      </c>
      <c r="K200" s="27" t="s">
        <v>282</v>
      </c>
      <c r="L200" s="27" t="s">
        <v>312</v>
      </c>
      <c r="M200" s="32" t="str">
        <f>HYPERLINK("http://slimages.macys.com/is/image/MCY/3875995 ")</f>
        <v xml:space="preserve">http://slimages.macys.com/is/image/MCY/3875995 </v>
      </c>
    </row>
    <row r="201" spans="1:13" ht="15.2" customHeight="1" x14ac:dyDescent="0.2">
      <c r="A201" s="26" t="s">
        <v>3946</v>
      </c>
      <c r="B201" s="27" t="s">
        <v>3947</v>
      </c>
      <c r="C201" s="28">
        <v>1</v>
      </c>
      <c r="D201" s="29">
        <v>5.5</v>
      </c>
      <c r="E201" s="29">
        <v>5.5</v>
      </c>
      <c r="F201" s="30">
        <v>16.989999999999998</v>
      </c>
      <c r="G201" s="29">
        <v>16.989999999999998</v>
      </c>
      <c r="H201" s="28" t="s">
        <v>431</v>
      </c>
      <c r="I201" s="27" t="s">
        <v>82</v>
      </c>
      <c r="J201" s="31" t="s">
        <v>21</v>
      </c>
      <c r="K201" s="27" t="s">
        <v>282</v>
      </c>
      <c r="L201" s="27" t="s">
        <v>388</v>
      </c>
      <c r="M201" s="32" t="str">
        <f>HYPERLINK("http://slimages.macys.com/is/image/MCY/3953466 ")</f>
        <v xml:space="preserve">http://slimages.macys.com/is/image/MCY/3953466 </v>
      </c>
    </row>
    <row r="202" spans="1:13" ht="15.2" customHeight="1" x14ac:dyDescent="0.2">
      <c r="A202" s="26" t="s">
        <v>931</v>
      </c>
      <c r="B202" s="27" t="s">
        <v>932</v>
      </c>
      <c r="C202" s="28">
        <v>2</v>
      </c>
      <c r="D202" s="29">
        <v>5.5</v>
      </c>
      <c r="E202" s="29">
        <v>11</v>
      </c>
      <c r="F202" s="30">
        <v>16.989999999999998</v>
      </c>
      <c r="G202" s="29">
        <v>33.979999999999997</v>
      </c>
      <c r="H202" s="28" t="s">
        <v>431</v>
      </c>
      <c r="I202" s="27" t="s">
        <v>82</v>
      </c>
      <c r="J202" s="31" t="s">
        <v>5</v>
      </c>
      <c r="K202" s="27" t="s">
        <v>282</v>
      </c>
      <c r="L202" s="27" t="s">
        <v>388</v>
      </c>
      <c r="M202" s="32" t="str">
        <f>HYPERLINK("http://slimages.macys.com/is/image/MCY/3953466 ")</f>
        <v xml:space="preserve">http://slimages.macys.com/is/image/MCY/3953466 </v>
      </c>
    </row>
    <row r="203" spans="1:13" ht="15.2" customHeight="1" x14ac:dyDescent="0.2">
      <c r="A203" s="26" t="s">
        <v>3948</v>
      </c>
      <c r="B203" s="27" t="s">
        <v>3949</v>
      </c>
      <c r="C203" s="28">
        <v>1</v>
      </c>
      <c r="D203" s="29">
        <v>5.5</v>
      </c>
      <c r="E203" s="29">
        <v>5.5</v>
      </c>
      <c r="F203" s="30">
        <v>16.989999999999998</v>
      </c>
      <c r="G203" s="29">
        <v>16.989999999999998</v>
      </c>
      <c r="H203" s="28" t="s">
        <v>431</v>
      </c>
      <c r="I203" s="27" t="s">
        <v>82</v>
      </c>
      <c r="J203" s="31" t="s">
        <v>40</v>
      </c>
      <c r="K203" s="27" t="s">
        <v>282</v>
      </c>
      <c r="L203" s="27" t="s">
        <v>388</v>
      </c>
      <c r="M203" s="32" t="str">
        <f>HYPERLINK("http://slimages.macys.com/is/image/MCY/3953466 ")</f>
        <v xml:space="preserve">http://slimages.macys.com/is/image/MCY/3953466 </v>
      </c>
    </row>
    <row r="204" spans="1:13" ht="15.2" customHeight="1" x14ac:dyDescent="0.2">
      <c r="A204" s="26" t="s">
        <v>924</v>
      </c>
      <c r="B204" s="27" t="s">
        <v>925</v>
      </c>
      <c r="C204" s="28">
        <v>1</v>
      </c>
      <c r="D204" s="29">
        <v>5.5</v>
      </c>
      <c r="E204" s="29">
        <v>5.5</v>
      </c>
      <c r="F204" s="30">
        <v>16.989999999999998</v>
      </c>
      <c r="G204" s="29">
        <v>16.989999999999998</v>
      </c>
      <c r="H204" s="28" t="s">
        <v>431</v>
      </c>
      <c r="I204" s="27" t="s">
        <v>33</v>
      </c>
      <c r="J204" s="31" t="s">
        <v>21</v>
      </c>
      <c r="K204" s="27" t="s">
        <v>282</v>
      </c>
      <c r="L204" s="27" t="s">
        <v>388</v>
      </c>
      <c r="M204" s="32" t="str">
        <f>HYPERLINK("http://slimages.macys.com/is/image/MCY/3890955 ")</f>
        <v xml:space="preserve">http://slimages.macys.com/is/image/MCY/3890955 </v>
      </c>
    </row>
    <row r="205" spans="1:13" ht="15.2" customHeight="1" x14ac:dyDescent="0.2">
      <c r="A205" s="26" t="s">
        <v>3950</v>
      </c>
      <c r="B205" s="27" t="s">
        <v>3951</v>
      </c>
      <c r="C205" s="28">
        <v>1</v>
      </c>
      <c r="D205" s="29">
        <v>5.5</v>
      </c>
      <c r="E205" s="29">
        <v>5.5</v>
      </c>
      <c r="F205" s="30">
        <v>12.99</v>
      </c>
      <c r="G205" s="29">
        <v>12.99</v>
      </c>
      <c r="H205" s="28" t="s">
        <v>438</v>
      </c>
      <c r="I205" s="27" t="s">
        <v>33</v>
      </c>
      <c r="J205" s="31" t="s">
        <v>5</v>
      </c>
      <c r="K205" s="27" t="s">
        <v>282</v>
      </c>
      <c r="L205" s="27" t="s">
        <v>312</v>
      </c>
      <c r="M205" s="32" t="str">
        <f>HYPERLINK("http://slimages.macys.com/is/image/MCY/3875995 ")</f>
        <v xml:space="preserve">http://slimages.macys.com/is/image/MCY/3875995 </v>
      </c>
    </row>
    <row r="206" spans="1:13" ht="15.2" customHeight="1" x14ac:dyDescent="0.2">
      <c r="A206" s="26" t="s">
        <v>928</v>
      </c>
      <c r="B206" s="27" t="s">
        <v>929</v>
      </c>
      <c r="C206" s="28">
        <v>1</v>
      </c>
      <c r="D206" s="29">
        <v>5.5</v>
      </c>
      <c r="E206" s="29">
        <v>5.5</v>
      </c>
      <c r="F206" s="30">
        <v>16.989999999999998</v>
      </c>
      <c r="G206" s="29">
        <v>16.989999999999998</v>
      </c>
      <c r="H206" s="28" t="s">
        <v>431</v>
      </c>
      <c r="I206" s="27" t="s">
        <v>383</v>
      </c>
      <c r="J206" s="31" t="s">
        <v>52</v>
      </c>
      <c r="K206" s="27" t="s">
        <v>282</v>
      </c>
      <c r="L206" s="27" t="s">
        <v>388</v>
      </c>
      <c r="M206" s="32" t="str">
        <f>HYPERLINK("http://slimages.macys.com/is/image/MCY/3953470 ")</f>
        <v xml:space="preserve">http://slimages.macys.com/is/image/MCY/3953470 </v>
      </c>
    </row>
    <row r="207" spans="1:13" ht="15.2" customHeight="1" x14ac:dyDescent="0.2">
      <c r="A207" s="26" t="s">
        <v>3952</v>
      </c>
      <c r="B207" s="27" t="s">
        <v>3953</v>
      </c>
      <c r="C207" s="28">
        <v>5</v>
      </c>
      <c r="D207" s="29">
        <v>5.5</v>
      </c>
      <c r="E207" s="29">
        <v>27.5</v>
      </c>
      <c r="F207" s="30">
        <v>16.989999999999998</v>
      </c>
      <c r="G207" s="29">
        <v>84.95</v>
      </c>
      <c r="H207" s="28" t="s">
        <v>431</v>
      </c>
      <c r="I207" s="27" t="s">
        <v>33</v>
      </c>
      <c r="J207" s="31" t="s">
        <v>5</v>
      </c>
      <c r="K207" s="27" t="s">
        <v>282</v>
      </c>
      <c r="L207" s="27" t="s">
        <v>388</v>
      </c>
      <c r="M207" s="32" t="str">
        <f>HYPERLINK("http://slimages.macys.com/is/image/MCY/3890944 ")</f>
        <v xml:space="preserve">http://slimages.macys.com/is/image/MCY/3890944 </v>
      </c>
    </row>
    <row r="208" spans="1:13" ht="15.2" customHeight="1" x14ac:dyDescent="0.2">
      <c r="A208" s="26" t="s">
        <v>926</v>
      </c>
      <c r="B208" s="27" t="s">
        <v>927</v>
      </c>
      <c r="C208" s="28">
        <v>1</v>
      </c>
      <c r="D208" s="29">
        <v>5.5</v>
      </c>
      <c r="E208" s="29">
        <v>5.5</v>
      </c>
      <c r="F208" s="30">
        <v>16.989999999999998</v>
      </c>
      <c r="G208" s="29">
        <v>16.989999999999998</v>
      </c>
      <c r="H208" s="28" t="s">
        <v>431</v>
      </c>
      <c r="I208" s="27" t="s">
        <v>64</v>
      </c>
      <c r="J208" s="31" t="s">
        <v>40</v>
      </c>
      <c r="K208" s="27" t="s">
        <v>282</v>
      </c>
      <c r="L208" s="27" t="s">
        <v>388</v>
      </c>
      <c r="M208" s="32" t="str">
        <f>HYPERLINK("http://slimages.macys.com/is/image/MCY/3953467 ")</f>
        <v xml:space="preserve">http://slimages.macys.com/is/image/MCY/3953467 </v>
      </c>
    </row>
    <row r="209" spans="1:13" ht="15.2" customHeight="1" x14ac:dyDescent="0.2">
      <c r="A209" s="26" t="s">
        <v>443</v>
      </c>
      <c r="B209" s="27" t="s">
        <v>444</v>
      </c>
      <c r="C209" s="28">
        <v>4</v>
      </c>
      <c r="D209" s="29">
        <v>5.5</v>
      </c>
      <c r="E209" s="29">
        <v>22</v>
      </c>
      <c r="F209" s="30">
        <v>16.989999999999998</v>
      </c>
      <c r="G209" s="29">
        <v>67.959999999999994</v>
      </c>
      <c r="H209" s="28" t="s">
        <v>431</v>
      </c>
      <c r="I209" s="27" t="s">
        <v>383</v>
      </c>
      <c r="J209" s="31" t="s">
        <v>5</v>
      </c>
      <c r="K209" s="27" t="s">
        <v>282</v>
      </c>
      <c r="L209" s="27" t="s">
        <v>388</v>
      </c>
      <c r="M209" s="32" t="str">
        <f>HYPERLINK("http://slimages.macys.com/is/image/MCY/3953470 ")</f>
        <v xml:space="preserve">http://slimages.macys.com/is/image/MCY/3953470 </v>
      </c>
    </row>
    <row r="210" spans="1:13" ht="15.2" customHeight="1" x14ac:dyDescent="0.2">
      <c r="A210" s="26" t="s">
        <v>1945</v>
      </c>
      <c r="B210" s="27" t="s">
        <v>1946</v>
      </c>
      <c r="C210" s="28">
        <v>2</v>
      </c>
      <c r="D210" s="29">
        <v>5.5</v>
      </c>
      <c r="E210" s="29">
        <v>11</v>
      </c>
      <c r="F210" s="30">
        <v>16.989999999999998</v>
      </c>
      <c r="G210" s="29">
        <v>33.979999999999997</v>
      </c>
      <c r="H210" s="28" t="s">
        <v>431</v>
      </c>
      <c r="I210" s="27" t="s">
        <v>64</v>
      </c>
      <c r="J210" s="31" t="s">
        <v>5</v>
      </c>
      <c r="K210" s="27" t="s">
        <v>282</v>
      </c>
      <c r="L210" s="27" t="s">
        <v>388</v>
      </c>
      <c r="M210" s="32" t="str">
        <f>HYPERLINK("http://slimages.macys.com/is/image/MCY/3953467 ")</f>
        <v xml:space="preserve">http://slimages.macys.com/is/image/MCY/3953467 </v>
      </c>
    </row>
    <row r="211" spans="1:13" ht="15.2" customHeight="1" x14ac:dyDescent="0.2">
      <c r="A211" s="26" t="s">
        <v>1543</v>
      </c>
      <c r="B211" s="27" t="s">
        <v>1544</v>
      </c>
      <c r="C211" s="28">
        <v>1</v>
      </c>
      <c r="D211" s="29">
        <v>5.5</v>
      </c>
      <c r="E211" s="29">
        <v>5.5</v>
      </c>
      <c r="F211" s="30">
        <v>16.989999999999998</v>
      </c>
      <c r="G211" s="29">
        <v>16.989999999999998</v>
      </c>
      <c r="H211" s="28" t="s">
        <v>431</v>
      </c>
      <c r="I211" s="27" t="s">
        <v>33</v>
      </c>
      <c r="J211" s="31" t="s">
        <v>52</v>
      </c>
      <c r="K211" s="27" t="s">
        <v>282</v>
      </c>
      <c r="L211" s="27" t="s">
        <v>388</v>
      </c>
      <c r="M211" s="32" t="str">
        <f>HYPERLINK("http://slimages.macys.com/is/image/MCY/3890944 ")</f>
        <v xml:space="preserve">http://slimages.macys.com/is/image/MCY/3890944 </v>
      </c>
    </row>
    <row r="212" spans="1:13" ht="15.2" customHeight="1" x14ac:dyDescent="0.2">
      <c r="A212" s="26" t="s">
        <v>432</v>
      </c>
      <c r="B212" s="27" t="s">
        <v>433</v>
      </c>
      <c r="C212" s="28">
        <v>2</v>
      </c>
      <c r="D212" s="29">
        <v>5.5</v>
      </c>
      <c r="E212" s="29">
        <v>11</v>
      </c>
      <c r="F212" s="30">
        <v>16.989999999999998</v>
      </c>
      <c r="G212" s="29">
        <v>33.979999999999997</v>
      </c>
      <c r="H212" s="28" t="s">
        <v>431</v>
      </c>
      <c r="I212" s="27" t="s">
        <v>383</v>
      </c>
      <c r="J212" s="31" t="s">
        <v>21</v>
      </c>
      <c r="K212" s="27" t="s">
        <v>282</v>
      </c>
      <c r="L212" s="27" t="s">
        <v>388</v>
      </c>
      <c r="M212" s="32" t="str">
        <f>HYPERLINK("http://slimages.macys.com/is/image/MCY/3953470 ")</f>
        <v xml:space="preserve">http://slimages.macys.com/is/image/MCY/3953470 </v>
      </c>
    </row>
    <row r="213" spans="1:13" ht="15.2" customHeight="1" x14ac:dyDescent="0.2">
      <c r="A213" s="26" t="s">
        <v>3954</v>
      </c>
      <c r="B213" s="27" t="s">
        <v>3955</v>
      </c>
      <c r="C213" s="28">
        <v>1</v>
      </c>
      <c r="D213" s="29">
        <v>5.46</v>
      </c>
      <c r="E213" s="29">
        <v>5.46</v>
      </c>
      <c r="F213" s="30">
        <v>12.99</v>
      </c>
      <c r="G213" s="29">
        <v>12.99</v>
      </c>
      <c r="H213" s="28" t="s">
        <v>933</v>
      </c>
      <c r="I213" s="27" t="s">
        <v>291</v>
      </c>
      <c r="J213" s="31" t="s">
        <v>65</v>
      </c>
      <c r="K213" s="27" t="s">
        <v>159</v>
      </c>
      <c r="L213" s="27" t="s">
        <v>160</v>
      </c>
      <c r="M213" s="32" t="str">
        <f>HYPERLINK("http://slimages.macys.com/is/image/MCY/3857696 ")</f>
        <v xml:space="preserve">http://slimages.macys.com/is/image/MCY/3857696 </v>
      </c>
    </row>
    <row r="214" spans="1:13" ht="15.2" customHeight="1" x14ac:dyDescent="0.2">
      <c r="A214" s="26" t="s">
        <v>3011</v>
      </c>
      <c r="B214" s="27" t="s">
        <v>3012</v>
      </c>
      <c r="C214" s="28">
        <v>1</v>
      </c>
      <c r="D214" s="29">
        <v>5.46</v>
      </c>
      <c r="E214" s="29">
        <v>5.46</v>
      </c>
      <c r="F214" s="30">
        <v>12.99</v>
      </c>
      <c r="G214" s="29">
        <v>12.99</v>
      </c>
      <c r="H214" s="28" t="s">
        <v>933</v>
      </c>
      <c r="I214" s="27" t="s">
        <v>291</v>
      </c>
      <c r="J214" s="31" t="s">
        <v>52</v>
      </c>
      <c r="K214" s="27" t="s">
        <v>159</v>
      </c>
      <c r="L214" s="27" t="s">
        <v>160</v>
      </c>
      <c r="M214" s="32" t="str">
        <f>HYPERLINK("http://slimages.macys.com/is/image/MCY/3857696 ")</f>
        <v xml:space="preserve">http://slimages.macys.com/is/image/MCY/3857696 </v>
      </c>
    </row>
    <row r="215" spans="1:13" ht="15.2" customHeight="1" x14ac:dyDescent="0.2">
      <c r="A215" s="26" t="s">
        <v>2406</v>
      </c>
      <c r="B215" s="27" t="s">
        <v>2407</v>
      </c>
      <c r="C215" s="28">
        <v>1</v>
      </c>
      <c r="D215" s="29">
        <v>5.46</v>
      </c>
      <c r="E215" s="29">
        <v>5.46</v>
      </c>
      <c r="F215" s="30">
        <v>12.99</v>
      </c>
      <c r="G215" s="29">
        <v>12.99</v>
      </c>
      <c r="H215" s="28" t="s">
        <v>933</v>
      </c>
      <c r="I215" s="27" t="s">
        <v>4</v>
      </c>
      <c r="J215" s="31" t="s">
        <v>52</v>
      </c>
      <c r="K215" s="27" t="s">
        <v>159</v>
      </c>
      <c r="L215" s="27" t="s">
        <v>160</v>
      </c>
      <c r="M215" s="32" t="str">
        <f>HYPERLINK("http://slimages.macys.com/is/image/MCY/3857696 ")</f>
        <v xml:space="preserve">http://slimages.macys.com/is/image/MCY/3857696 </v>
      </c>
    </row>
    <row r="216" spans="1:13" ht="15.2" customHeight="1" x14ac:dyDescent="0.2">
      <c r="A216" s="26" t="s">
        <v>3015</v>
      </c>
      <c r="B216" s="27" t="s">
        <v>3016</v>
      </c>
      <c r="C216" s="28">
        <v>1</v>
      </c>
      <c r="D216" s="29">
        <v>5.45</v>
      </c>
      <c r="E216" s="29">
        <v>5.45</v>
      </c>
      <c r="F216" s="30">
        <v>12.99</v>
      </c>
      <c r="G216" s="29">
        <v>12.99</v>
      </c>
      <c r="H216" s="28" t="s">
        <v>3017</v>
      </c>
      <c r="I216" s="27" t="s">
        <v>478</v>
      </c>
      <c r="J216" s="31" t="s">
        <v>21</v>
      </c>
      <c r="K216" s="27" t="s">
        <v>159</v>
      </c>
      <c r="L216" s="27" t="s">
        <v>160</v>
      </c>
      <c r="M216" s="32" t="str">
        <f>HYPERLINK("http://slimages.macys.com/is/image/MCY/2717665 ")</f>
        <v xml:space="preserve">http://slimages.macys.com/is/image/MCY/2717665 </v>
      </c>
    </row>
    <row r="217" spans="1:13" ht="15.2" customHeight="1" x14ac:dyDescent="0.2">
      <c r="A217" s="26" t="s">
        <v>1956</v>
      </c>
      <c r="B217" s="27" t="s">
        <v>1957</v>
      </c>
      <c r="C217" s="28">
        <v>1</v>
      </c>
      <c r="D217" s="29">
        <v>4.67</v>
      </c>
      <c r="E217" s="29">
        <v>4.67</v>
      </c>
      <c r="F217" s="30">
        <v>12.99</v>
      </c>
      <c r="G217" s="29">
        <v>12.99</v>
      </c>
      <c r="H217" s="28" t="s">
        <v>1958</v>
      </c>
      <c r="I217" s="27" t="s">
        <v>39</v>
      </c>
      <c r="J217" s="31" t="s">
        <v>5</v>
      </c>
      <c r="K217" s="27" t="s">
        <v>282</v>
      </c>
      <c r="L217" s="27" t="s">
        <v>349</v>
      </c>
      <c r="M217" s="32" t="str">
        <f>HYPERLINK("http://slimages.macys.com/is/image/MCY/3875948 ")</f>
        <v xml:space="preserve">http://slimages.macys.com/is/image/MCY/3875948 </v>
      </c>
    </row>
    <row r="218" spans="1:13" ht="15.2" customHeight="1" x14ac:dyDescent="0.2">
      <c r="A218" s="26" t="s">
        <v>3956</v>
      </c>
      <c r="B218" s="27" t="s">
        <v>3957</v>
      </c>
      <c r="C218" s="28">
        <v>1</v>
      </c>
      <c r="D218" s="29">
        <v>4.67</v>
      </c>
      <c r="E218" s="29">
        <v>4.67</v>
      </c>
      <c r="F218" s="30">
        <v>12.99</v>
      </c>
      <c r="G218" s="29">
        <v>12.99</v>
      </c>
      <c r="H218" s="28" t="s">
        <v>3025</v>
      </c>
      <c r="I218" s="27" t="s">
        <v>82</v>
      </c>
      <c r="J218" s="31" t="s">
        <v>40</v>
      </c>
      <c r="K218" s="27" t="s">
        <v>282</v>
      </c>
      <c r="L218" s="27" t="s">
        <v>349</v>
      </c>
      <c r="M218" s="32" t="str">
        <f>HYPERLINK("http://slimages.macys.com/is/image/MCY/3890878 ")</f>
        <v xml:space="preserve">http://slimages.macys.com/is/image/MCY/3890878 </v>
      </c>
    </row>
    <row r="219" spans="1:13" ht="15.2" customHeight="1" x14ac:dyDescent="0.2">
      <c r="A219" s="26" t="s">
        <v>3023</v>
      </c>
      <c r="B219" s="27" t="s">
        <v>3024</v>
      </c>
      <c r="C219" s="28">
        <v>1</v>
      </c>
      <c r="D219" s="29">
        <v>4.67</v>
      </c>
      <c r="E219" s="29">
        <v>4.67</v>
      </c>
      <c r="F219" s="30">
        <v>12.99</v>
      </c>
      <c r="G219" s="29">
        <v>12.99</v>
      </c>
      <c r="H219" s="28" t="s">
        <v>3025</v>
      </c>
      <c r="I219" s="27" t="s">
        <v>82</v>
      </c>
      <c r="J219" s="31" t="s">
        <v>52</v>
      </c>
      <c r="K219" s="27" t="s">
        <v>282</v>
      </c>
      <c r="L219" s="27" t="s">
        <v>349</v>
      </c>
      <c r="M219" s="32" t="str">
        <f>HYPERLINK("http://slimages.macys.com/is/image/MCY/3890878 ")</f>
        <v xml:space="preserve">http://slimages.macys.com/is/image/MCY/3890878 </v>
      </c>
    </row>
    <row r="220" spans="1:13" ht="15.2" customHeight="1" x14ac:dyDescent="0.2">
      <c r="A220" s="26" t="s">
        <v>3018</v>
      </c>
      <c r="B220" s="27" t="s">
        <v>3019</v>
      </c>
      <c r="C220" s="28">
        <v>1</v>
      </c>
      <c r="D220" s="29">
        <v>4.67</v>
      </c>
      <c r="E220" s="29">
        <v>4.67</v>
      </c>
      <c r="F220" s="30">
        <v>12.99</v>
      </c>
      <c r="G220" s="29">
        <v>12.99</v>
      </c>
      <c r="H220" s="28" t="s">
        <v>3020</v>
      </c>
      <c r="I220" s="27" t="s">
        <v>82</v>
      </c>
      <c r="J220" s="31" t="s">
        <v>5</v>
      </c>
      <c r="K220" s="27" t="s">
        <v>282</v>
      </c>
      <c r="L220" s="27" t="s">
        <v>349</v>
      </c>
      <c r="M220" s="32" t="str">
        <f>HYPERLINK("http://slimages.macys.com/is/image/MCY/3890879 ")</f>
        <v xml:space="preserve">http://slimages.macys.com/is/image/MCY/3890879 </v>
      </c>
    </row>
    <row r="221" spans="1:13" ht="15.2" customHeight="1" x14ac:dyDescent="0.2">
      <c r="A221" s="26" t="s">
        <v>3958</v>
      </c>
      <c r="B221" s="27" t="s">
        <v>3959</v>
      </c>
      <c r="C221" s="28">
        <v>1</v>
      </c>
      <c r="D221" s="29">
        <v>4.67</v>
      </c>
      <c r="E221" s="29">
        <v>4.67</v>
      </c>
      <c r="F221" s="30">
        <v>12.99</v>
      </c>
      <c r="G221" s="29">
        <v>12.99</v>
      </c>
      <c r="H221" s="28" t="s">
        <v>1585</v>
      </c>
      <c r="I221" s="27" t="s">
        <v>4</v>
      </c>
      <c r="J221" s="31" t="s">
        <v>52</v>
      </c>
      <c r="K221" s="27" t="s">
        <v>282</v>
      </c>
      <c r="L221" s="27" t="s">
        <v>349</v>
      </c>
      <c r="M221" s="32" t="str">
        <f>HYPERLINK("http://slimages.macys.com/is/image/MCY/3875947 ")</f>
        <v xml:space="preserve">http://slimages.macys.com/is/image/MCY/3875947 </v>
      </c>
    </row>
    <row r="222" spans="1:13" ht="15.2" customHeight="1" x14ac:dyDescent="0.2">
      <c r="A222" s="26" t="s">
        <v>3960</v>
      </c>
      <c r="B222" s="27" t="s">
        <v>3961</v>
      </c>
      <c r="C222" s="28">
        <v>1</v>
      </c>
      <c r="D222" s="29">
        <v>4.67</v>
      </c>
      <c r="E222" s="29">
        <v>4.67</v>
      </c>
      <c r="F222" s="30">
        <v>12.99</v>
      </c>
      <c r="G222" s="29">
        <v>12.99</v>
      </c>
      <c r="H222" s="28" t="s">
        <v>3025</v>
      </c>
      <c r="I222" s="27" t="s">
        <v>82</v>
      </c>
      <c r="J222" s="31" t="s">
        <v>5</v>
      </c>
      <c r="K222" s="27" t="s">
        <v>282</v>
      </c>
      <c r="L222" s="27" t="s">
        <v>349</v>
      </c>
      <c r="M222" s="32" t="str">
        <f>HYPERLINK("http://slimages.macys.com/is/image/MCY/3890878 ")</f>
        <v xml:space="preserve">http://slimages.macys.com/is/image/MCY/3890878 </v>
      </c>
    </row>
    <row r="223" spans="1:13" ht="15.2" customHeight="1" x14ac:dyDescent="0.2">
      <c r="A223" s="26" t="s">
        <v>455</v>
      </c>
      <c r="B223" s="27" t="s">
        <v>456</v>
      </c>
      <c r="C223" s="28">
        <v>1</v>
      </c>
      <c r="D223" s="29">
        <v>4.6500000000000004</v>
      </c>
      <c r="E223" s="29">
        <v>4.6500000000000004</v>
      </c>
      <c r="F223" s="30">
        <v>10.99</v>
      </c>
      <c r="G223" s="29">
        <v>10.99</v>
      </c>
      <c r="H223" s="28">
        <v>60359814</v>
      </c>
      <c r="I223" s="27" t="s">
        <v>4</v>
      </c>
      <c r="J223" s="31" t="s">
        <v>21</v>
      </c>
      <c r="K223" s="27" t="s">
        <v>282</v>
      </c>
      <c r="L223" s="27" t="s">
        <v>255</v>
      </c>
      <c r="M223" s="32" t="str">
        <f>HYPERLINK("http://slimages.macys.com/is/image/MCY/2308508 ")</f>
        <v xml:space="preserve">http://slimages.macys.com/is/image/MCY/2308508 </v>
      </c>
    </row>
    <row r="224" spans="1:13" ht="15.2" customHeight="1" x14ac:dyDescent="0.2">
      <c r="A224" s="26" t="s">
        <v>3962</v>
      </c>
      <c r="B224" s="27" t="s">
        <v>3963</v>
      </c>
      <c r="C224" s="28">
        <v>1</v>
      </c>
      <c r="D224" s="29">
        <v>4.6500000000000004</v>
      </c>
      <c r="E224" s="29">
        <v>4.6500000000000004</v>
      </c>
      <c r="F224" s="30">
        <v>10.99</v>
      </c>
      <c r="G224" s="29">
        <v>10.99</v>
      </c>
      <c r="H224" s="28">
        <v>60359814</v>
      </c>
      <c r="I224" s="27" t="s">
        <v>82</v>
      </c>
      <c r="J224" s="31" t="s">
        <v>52</v>
      </c>
      <c r="K224" s="27" t="s">
        <v>282</v>
      </c>
      <c r="L224" s="27" t="s">
        <v>255</v>
      </c>
      <c r="M224" s="32" t="str">
        <f>HYPERLINK("http://slimages.macys.com/is/image/MCY/2308508 ")</f>
        <v xml:space="preserve">http://slimages.macys.com/is/image/MCY/2308508 </v>
      </c>
    </row>
    <row r="225" spans="1:13" ht="15.2" customHeight="1" x14ac:dyDescent="0.2">
      <c r="A225" s="26" t="s">
        <v>1590</v>
      </c>
      <c r="B225" s="27" t="s">
        <v>1591</v>
      </c>
      <c r="C225" s="28">
        <v>2</v>
      </c>
      <c r="D225" s="29">
        <v>4.5</v>
      </c>
      <c r="E225" s="29">
        <v>9</v>
      </c>
      <c r="F225" s="30">
        <v>10.99</v>
      </c>
      <c r="G225" s="29">
        <v>21.98</v>
      </c>
      <c r="H225" s="28">
        <v>60445055</v>
      </c>
      <c r="I225" s="27" t="s">
        <v>75</v>
      </c>
      <c r="J225" s="31" t="s">
        <v>5</v>
      </c>
      <c r="K225" s="27" t="s">
        <v>282</v>
      </c>
      <c r="L225" s="27" t="s">
        <v>255</v>
      </c>
      <c r="M225" s="32" t="str">
        <f>HYPERLINK("http://slimages.macys.com/is/image/MCY/3580367 ")</f>
        <v xml:space="preserve">http://slimages.macys.com/is/image/MCY/3580367 </v>
      </c>
    </row>
    <row r="226" spans="1:13" ht="15.2" customHeight="1" x14ac:dyDescent="0.2">
      <c r="A226" s="26" t="s">
        <v>3964</v>
      </c>
      <c r="B226" s="27" t="s">
        <v>3965</v>
      </c>
      <c r="C226" s="28">
        <v>1</v>
      </c>
      <c r="D226" s="29">
        <v>4.5</v>
      </c>
      <c r="E226" s="29">
        <v>4.5</v>
      </c>
      <c r="F226" s="30">
        <v>10.99</v>
      </c>
      <c r="G226" s="29">
        <v>10.99</v>
      </c>
      <c r="H226" s="28">
        <v>60445055</v>
      </c>
      <c r="I226" s="27" t="s">
        <v>75</v>
      </c>
      <c r="J226" s="31" t="s">
        <v>21</v>
      </c>
      <c r="K226" s="27" t="s">
        <v>282</v>
      </c>
      <c r="L226" s="27" t="s">
        <v>255</v>
      </c>
      <c r="M226" s="32" t="str">
        <f>HYPERLINK("http://slimages.macys.com/is/image/MCY/3580367 ")</f>
        <v xml:space="preserve">http://slimages.macys.com/is/image/MCY/3580367 </v>
      </c>
    </row>
    <row r="227" spans="1:13" ht="15.2" customHeight="1" x14ac:dyDescent="0.2">
      <c r="A227" s="26" t="s">
        <v>3966</v>
      </c>
      <c r="B227" s="27" t="s">
        <v>3967</v>
      </c>
      <c r="C227" s="28">
        <v>1</v>
      </c>
      <c r="D227" s="29">
        <v>4.3499999999999996</v>
      </c>
      <c r="E227" s="29">
        <v>4.3499999999999996</v>
      </c>
      <c r="F227" s="30">
        <v>13.99</v>
      </c>
      <c r="G227" s="29">
        <v>13.99</v>
      </c>
      <c r="H227" s="28" t="s">
        <v>948</v>
      </c>
      <c r="I227" s="27" t="s">
        <v>82</v>
      </c>
      <c r="J227" s="31" t="s">
        <v>5</v>
      </c>
      <c r="K227" s="27" t="s">
        <v>282</v>
      </c>
      <c r="L227" s="27" t="s">
        <v>325</v>
      </c>
      <c r="M227" s="32" t="str">
        <f>HYPERLINK("http://slimages.macys.com/is/image/MCY/3931147 ")</f>
        <v xml:space="preserve">http://slimages.macys.com/is/image/MCY/3931147 </v>
      </c>
    </row>
    <row r="228" spans="1:13" ht="15.2" customHeight="1" x14ac:dyDescent="0.2">
      <c r="A228" s="26" t="s">
        <v>3968</v>
      </c>
      <c r="B228" s="27" t="s">
        <v>3969</v>
      </c>
      <c r="C228" s="28">
        <v>1</v>
      </c>
      <c r="D228" s="29">
        <v>3.75</v>
      </c>
      <c r="E228" s="29">
        <v>3.75</v>
      </c>
      <c r="F228" s="30">
        <v>7.99</v>
      </c>
      <c r="G228" s="29">
        <v>7.99</v>
      </c>
      <c r="H228" s="28">
        <v>60393788</v>
      </c>
      <c r="I228" s="27" t="s">
        <v>275</v>
      </c>
      <c r="J228" s="31" t="s">
        <v>21</v>
      </c>
      <c r="K228" s="27" t="s">
        <v>282</v>
      </c>
      <c r="L228" s="27" t="s">
        <v>255</v>
      </c>
      <c r="M228" s="32" t="str">
        <f>HYPERLINK("http://slimages.macys.com/is/image/MCY/3664384 ")</f>
        <v xml:space="preserve">http://slimages.macys.com/is/image/MCY/3664384 </v>
      </c>
    </row>
    <row r="229" spans="1:13" ht="15.2" customHeight="1" x14ac:dyDescent="0.2">
      <c r="A229" s="26" t="s">
        <v>2416</v>
      </c>
      <c r="B229" s="27" t="s">
        <v>2417</v>
      </c>
      <c r="C229" s="28">
        <v>2</v>
      </c>
      <c r="D229" s="29">
        <v>3.75</v>
      </c>
      <c r="E229" s="29">
        <v>7.5</v>
      </c>
      <c r="F229" s="30">
        <v>7.99</v>
      </c>
      <c r="G229" s="29">
        <v>15.98</v>
      </c>
      <c r="H229" s="28">
        <v>60393788</v>
      </c>
      <c r="I229" s="27" t="s">
        <v>275</v>
      </c>
      <c r="J229" s="31" t="s">
        <v>52</v>
      </c>
      <c r="K229" s="27" t="s">
        <v>282</v>
      </c>
      <c r="L229" s="27" t="s">
        <v>255</v>
      </c>
      <c r="M229" s="32" t="str">
        <f>HYPERLINK("http://slimages.macys.com/is/image/MCY/3664384 ")</f>
        <v xml:space="preserve">http://slimages.macys.com/is/image/MCY/3664384 </v>
      </c>
    </row>
    <row r="230" spans="1:13" ht="15.2" customHeight="1" x14ac:dyDescent="0.2">
      <c r="A230" s="26" t="s">
        <v>3970</v>
      </c>
      <c r="B230" s="27" t="s">
        <v>3971</v>
      </c>
      <c r="C230" s="28">
        <v>1</v>
      </c>
      <c r="D230" s="29">
        <v>3.75</v>
      </c>
      <c r="E230" s="29">
        <v>3.75</v>
      </c>
      <c r="F230" s="30">
        <v>7.99</v>
      </c>
      <c r="G230" s="29">
        <v>7.99</v>
      </c>
      <c r="H230" s="28">
        <v>60393788</v>
      </c>
      <c r="I230" s="27" t="s">
        <v>59</v>
      </c>
      <c r="J230" s="31" t="s">
        <v>21</v>
      </c>
      <c r="K230" s="27" t="s">
        <v>282</v>
      </c>
      <c r="L230" s="27" t="s">
        <v>255</v>
      </c>
      <c r="M230" s="32" t="str">
        <f>HYPERLINK("http://slimages.macys.com/is/image/MCY/3664384 ")</f>
        <v xml:space="preserve">http://slimages.macys.com/is/image/MCY/3664384 </v>
      </c>
    </row>
    <row r="231" spans="1:13" ht="15.2" customHeight="1" x14ac:dyDescent="0.2">
      <c r="A231" s="26" t="s">
        <v>1968</v>
      </c>
      <c r="B231" s="27" t="s">
        <v>1969</v>
      </c>
      <c r="C231" s="28">
        <v>1</v>
      </c>
      <c r="D231" s="29">
        <v>3.75</v>
      </c>
      <c r="E231" s="29">
        <v>3.75</v>
      </c>
      <c r="F231" s="30">
        <v>7.99</v>
      </c>
      <c r="G231" s="29">
        <v>7.99</v>
      </c>
      <c r="H231" s="28">
        <v>60393788</v>
      </c>
      <c r="I231" s="27" t="s">
        <v>275</v>
      </c>
      <c r="J231" s="31" t="s">
        <v>40</v>
      </c>
      <c r="K231" s="27" t="s">
        <v>282</v>
      </c>
      <c r="L231" s="27" t="s">
        <v>255</v>
      </c>
      <c r="M231" s="32" t="str">
        <f>HYPERLINK("http://slimages.macys.com/is/image/MCY/3664384 ")</f>
        <v xml:space="preserve">http://slimages.macys.com/is/image/MCY/3664384 </v>
      </c>
    </row>
    <row r="232" spans="1:13" ht="15.2" customHeight="1" x14ac:dyDescent="0.2">
      <c r="A232" s="26" t="s">
        <v>3972</v>
      </c>
      <c r="B232" s="27" t="s">
        <v>3973</v>
      </c>
      <c r="C232" s="28">
        <v>2</v>
      </c>
      <c r="D232" s="29">
        <v>3.72</v>
      </c>
      <c r="E232" s="29">
        <v>7.44</v>
      </c>
      <c r="F232" s="30">
        <v>7.99</v>
      </c>
      <c r="G232" s="29">
        <v>15.98</v>
      </c>
      <c r="H232" s="28" t="s">
        <v>459</v>
      </c>
      <c r="I232" s="27" t="s">
        <v>39</v>
      </c>
      <c r="J232" s="31" t="s">
        <v>40</v>
      </c>
      <c r="K232" s="27" t="s">
        <v>282</v>
      </c>
      <c r="L232" s="27" t="s">
        <v>325</v>
      </c>
      <c r="M232" s="32" t="str">
        <f>HYPERLINK("http://slimages.macys.com/is/image/MCY/3609979 ")</f>
        <v xml:space="preserve">http://slimages.macys.com/is/image/MCY/3609979 </v>
      </c>
    </row>
    <row r="233" spans="1:13" ht="15.2" customHeight="1" x14ac:dyDescent="0.2">
      <c r="A233" s="26" t="s">
        <v>3974</v>
      </c>
      <c r="B233" s="27" t="s">
        <v>3975</v>
      </c>
      <c r="C233" s="28">
        <v>1</v>
      </c>
      <c r="D233" s="29">
        <v>3.72</v>
      </c>
      <c r="E233" s="29">
        <v>3.72</v>
      </c>
      <c r="F233" s="30">
        <v>7.99</v>
      </c>
      <c r="G233" s="29">
        <v>7.99</v>
      </c>
      <c r="H233" s="28" t="s">
        <v>459</v>
      </c>
      <c r="I233" s="27" t="s">
        <v>343</v>
      </c>
      <c r="J233" s="31" t="s">
        <v>21</v>
      </c>
      <c r="K233" s="27" t="s">
        <v>282</v>
      </c>
      <c r="L233" s="27" t="s">
        <v>325</v>
      </c>
      <c r="M233" s="32" t="str">
        <f>HYPERLINK("http://slimages.macys.com/is/image/MCY/3609979 ")</f>
        <v xml:space="preserve">http://slimages.macys.com/is/image/MCY/3609979 </v>
      </c>
    </row>
    <row r="234" spans="1:13" ht="15.2" customHeight="1" x14ac:dyDescent="0.2">
      <c r="A234" s="26" t="s">
        <v>3976</v>
      </c>
      <c r="B234" s="27" t="s">
        <v>3977</v>
      </c>
      <c r="C234" s="28">
        <v>1</v>
      </c>
      <c r="D234" s="29">
        <v>3.72</v>
      </c>
      <c r="E234" s="29">
        <v>3.72</v>
      </c>
      <c r="F234" s="30">
        <v>7.99</v>
      </c>
      <c r="G234" s="29">
        <v>7.99</v>
      </c>
      <c r="H234" s="28" t="s">
        <v>459</v>
      </c>
      <c r="I234" s="27" t="s">
        <v>39</v>
      </c>
      <c r="J234" s="31" t="s">
        <v>71</v>
      </c>
      <c r="K234" s="27" t="s">
        <v>282</v>
      </c>
      <c r="L234" s="27" t="s">
        <v>325</v>
      </c>
      <c r="M234" s="32" t="str">
        <f>HYPERLINK("http://slimages.macys.com/is/image/MCY/3609979 ")</f>
        <v xml:space="preserve">http://slimages.macys.com/is/image/MCY/3609979 </v>
      </c>
    </row>
    <row r="235" spans="1:13" ht="15.2" customHeight="1" x14ac:dyDescent="0.2">
      <c r="A235" s="26" t="s">
        <v>3978</v>
      </c>
      <c r="B235" s="27" t="s">
        <v>3979</v>
      </c>
      <c r="C235" s="28">
        <v>1</v>
      </c>
      <c r="D235" s="29">
        <v>37</v>
      </c>
      <c r="E235" s="29">
        <v>37</v>
      </c>
      <c r="F235" s="30">
        <v>98</v>
      </c>
      <c r="G235" s="29">
        <v>98</v>
      </c>
      <c r="H235" s="28" t="s">
        <v>1976</v>
      </c>
      <c r="I235" s="27" t="s">
        <v>661</v>
      </c>
      <c r="J235" s="31" t="s">
        <v>71</v>
      </c>
      <c r="K235" s="27" t="s">
        <v>17</v>
      </c>
      <c r="L235" s="27" t="s">
        <v>18</v>
      </c>
      <c r="M235" s="32"/>
    </row>
    <row r="236" spans="1:13" ht="15.2" customHeight="1" x14ac:dyDescent="0.2">
      <c r="A236" s="26" t="s">
        <v>3980</v>
      </c>
      <c r="B236" s="27" t="s">
        <v>3981</v>
      </c>
      <c r="C236" s="28">
        <v>1</v>
      </c>
      <c r="D236" s="29">
        <v>29.62</v>
      </c>
      <c r="E236" s="29">
        <v>29.62</v>
      </c>
      <c r="F236" s="30">
        <v>79</v>
      </c>
      <c r="G236" s="29">
        <v>79</v>
      </c>
      <c r="H236" s="28">
        <v>7066247</v>
      </c>
      <c r="I236" s="27" t="s">
        <v>94</v>
      </c>
      <c r="J236" s="31" t="s">
        <v>40</v>
      </c>
      <c r="K236" s="27" t="s">
        <v>462</v>
      </c>
      <c r="L236" s="27" t="s">
        <v>463</v>
      </c>
      <c r="M236" s="32"/>
    </row>
    <row r="237" spans="1:13" ht="15.2" customHeight="1" x14ac:dyDescent="0.2">
      <c r="A237" s="26" t="s">
        <v>3982</v>
      </c>
      <c r="B237" s="27" t="s">
        <v>3983</v>
      </c>
      <c r="C237" s="28">
        <v>1</v>
      </c>
      <c r="D237" s="29">
        <v>27</v>
      </c>
      <c r="E237" s="29">
        <v>27</v>
      </c>
      <c r="F237" s="30">
        <v>69.5</v>
      </c>
      <c r="G237" s="29">
        <v>69.5</v>
      </c>
      <c r="H237" s="28" t="s">
        <v>1984</v>
      </c>
      <c r="I237" s="27" t="s">
        <v>478</v>
      </c>
      <c r="J237" s="31" t="s">
        <v>52</v>
      </c>
      <c r="K237" s="27" t="s">
        <v>17</v>
      </c>
      <c r="L237" s="27" t="s">
        <v>18</v>
      </c>
      <c r="M237" s="32"/>
    </row>
    <row r="238" spans="1:13" ht="15.2" customHeight="1" x14ac:dyDescent="0.2">
      <c r="A238" s="26" t="s">
        <v>471</v>
      </c>
      <c r="B238" s="27" t="s">
        <v>472</v>
      </c>
      <c r="C238" s="28">
        <v>1</v>
      </c>
      <c r="D238" s="29">
        <v>25.36</v>
      </c>
      <c r="E238" s="29">
        <v>25.36</v>
      </c>
      <c r="F238" s="30">
        <v>69.5</v>
      </c>
      <c r="G238" s="29">
        <v>69.5</v>
      </c>
      <c r="H238" s="28" t="s">
        <v>473</v>
      </c>
      <c r="I238" s="27" t="s">
        <v>4</v>
      </c>
      <c r="J238" s="31" t="s">
        <v>21</v>
      </c>
      <c r="K238" s="27" t="s">
        <v>41</v>
      </c>
      <c r="L238" s="27" t="s">
        <v>83</v>
      </c>
      <c r="M238" s="32"/>
    </row>
    <row r="239" spans="1:13" ht="15.2" customHeight="1" x14ac:dyDescent="0.2">
      <c r="A239" s="26" t="s">
        <v>2714</v>
      </c>
      <c r="B239" s="27" t="s">
        <v>2715</v>
      </c>
      <c r="C239" s="28">
        <v>1</v>
      </c>
      <c r="D239" s="29">
        <v>25.36</v>
      </c>
      <c r="E239" s="29">
        <v>25.36</v>
      </c>
      <c r="F239" s="30">
        <v>69.5</v>
      </c>
      <c r="G239" s="29">
        <v>69.5</v>
      </c>
      <c r="H239" s="28" t="s">
        <v>473</v>
      </c>
      <c r="I239" s="27" t="s">
        <v>4</v>
      </c>
      <c r="J239" s="31" t="s">
        <v>5</v>
      </c>
      <c r="K239" s="27" t="s">
        <v>41</v>
      </c>
      <c r="L239" s="27" t="s">
        <v>83</v>
      </c>
      <c r="M239" s="32"/>
    </row>
    <row r="240" spans="1:13" ht="15.2" customHeight="1" x14ac:dyDescent="0.2">
      <c r="A240" s="26" t="s">
        <v>3984</v>
      </c>
      <c r="B240" s="27" t="s">
        <v>3985</v>
      </c>
      <c r="C240" s="28">
        <v>1</v>
      </c>
      <c r="D240" s="29">
        <v>24.51</v>
      </c>
      <c r="E240" s="29">
        <v>24.51</v>
      </c>
      <c r="F240" s="30">
        <v>69.5</v>
      </c>
      <c r="G240" s="29">
        <v>69.5</v>
      </c>
      <c r="H240" s="28" t="s">
        <v>962</v>
      </c>
      <c r="I240" s="27" t="s">
        <v>26</v>
      </c>
      <c r="J240" s="31"/>
      <c r="K240" s="27" t="s">
        <v>12</v>
      </c>
      <c r="L240" s="27" t="s">
        <v>13</v>
      </c>
      <c r="M240" s="32"/>
    </row>
    <row r="241" spans="1:13" ht="15.2" customHeight="1" x14ac:dyDescent="0.2">
      <c r="A241" s="26" t="s">
        <v>3986</v>
      </c>
      <c r="B241" s="27" t="s">
        <v>3987</v>
      </c>
      <c r="C241" s="28">
        <v>1</v>
      </c>
      <c r="D241" s="29">
        <v>24.51</v>
      </c>
      <c r="E241" s="29">
        <v>24.51</v>
      </c>
      <c r="F241" s="30">
        <v>69.5</v>
      </c>
      <c r="G241" s="29">
        <v>69.5</v>
      </c>
      <c r="H241" s="28" t="s">
        <v>962</v>
      </c>
      <c r="I241" s="27" t="s">
        <v>4</v>
      </c>
      <c r="J241" s="31"/>
      <c r="K241" s="27" t="s">
        <v>12</v>
      </c>
      <c r="L241" s="27" t="s">
        <v>13</v>
      </c>
      <c r="M241" s="32"/>
    </row>
    <row r="242" spans="1:13" ht="15.2" customHeight="1" x14ac:dyDescent="0.2">
      <c r="A242" s="26" t="s">
        <v>3988</v>
      </c>
      <c r="B242" s="27" t="s">
        <v>3989</v>
      </c>
      <c r="C242" s="28">
        <v>1</v>
      </c>
      <c r="D242" s="29">
        <v>23.8</v>
      </c>
      <c r="E242" s="29">
        <v>23.8</v>
      </c>
      <c r="F242" s="30">
        <v>59.5</v>
      </c>
      <c r="G242" s="29">
        <v>59.5</v>
      </c>
      <c r="H242" s="28" t="s">
        <v>3990</v>
      </c>
      <c r="I242" s="27" t="s">
        <v>59</v>
      </c>
      <c r="J242" s="31" t="s">
        <v>40</v>
      </c>
      <c r="K242" s="27" t="s">
        <v>27</v>
      </c>
      <c r="L242" s="27" t="s">
        <v>28</v>
      </c>
      <c r="M242" s="32"/>
    </row>
    <row r="243" spans="1:13" ht="15.2" customHeight="1" x14ac:dyDescent="0.2">
      <c r="A243" s="26" t="s">
        <v>3991</v>
      </c>
      <c r="B243" s="27" t="s">
        <v>3992</v>
      </c>
      <c r="C243" s="28">
        <v>1</v>
      </c>
      <c r="D243" s="29">
        <v>23.5</v>
      </c>
      <c r="E243" s="29">
        <v>23.5</v>
      </c>
      <c r="F243" s="30">
        <v>69</v>
      </c>
      <c r="G243" s="29">
        <v>69</v>
      </c>
      <c r="H243" s="28" t="s">
        <v>3491</v>
      </c>
      <c r="I243" s="27"/>
      <c r="J243" s="31" t="s">
        <v>69</v>
      </c>
      <c r="K243" s="27" t="s">
        <v>24</v>
      </c>
      <c r="L243" s="27" t="s">
        <v>25</v>
      </c>
      <c r="M243" s="32"/>
    </row>
    <row r="244" spans="1:13" ht="15.2" customHeight="1" x14ac:dyDescent="0.2">
      <c r="A244" s="26" t="s">
        <v>2424</v>
      </c>
      <c r="B244" s="27" t="s">
        <v>2425</v>
      </c>
      <c r="C244" s="28">
        <v>2</v>
      </c>
      <c r="D244" s="29">
        <v>23</v>
      </c>
      <c r="E244" s="29">
        <v>46</v>
      </c>
      <c r="F244" s="30">
        <v>59.5</v>
      </c>
      <c r="G244" s="29">
        <v>119</v>
      </c>
      <c r="H244" s="28" t="s">
        <v>1606</v>
      </c>
      <c r="I244" s="27" t="s">
        <v>4</v>
      </c>
      <c r="J244" s="31" t="s">
        <v>71</v>
      </c>
      <c r="K244" s="27" t="s">
        <v>17</v>
      </c>
      <c r="L244" s="27" t="s">
        <v>18</v>
      </c>
      <c r="M244" s="32"/>
    </row>
    <row r="245" spans="1:13" ht="15.2" customHeight="1" x14ac:dyDescent="0.2">
      <c r="A245" s="26" t="s">
        <v>3993</v>
      </c>
      <c r="B245" s="27" t="s">
        <v>3994</v>
      </c>
      <c r="C245" s="28">
        <v>1</v>
      </c>
      <c r="D245" s="29">
        <v>23</v>
      </c>
      <c r="E245" s="29">
        <v>23</v>
      </c>
      <c r="F245" s="30">
        <v>69</v>
      </c>
      <c r="G245" s="29">
        <v>69</v>
      </c>
      <c r="H245" s="28" t="s">
        <v>1603</v>
      </c>
      <c r="I245" s="27" t="s">
        <v>267</v>
      </c>
      <c r="J245" s="31" t="s">
        <v>40</v>
      </c>
      <c r="K245" s="27" t="s">
        <v>24</v>
      </c>
      <c r="L245" s="27" t="s">
        <v>1079</v>
      </c>
      <c r="M245" s="32"/>
    </row>
    <row r="246" spans="1:13" ht="15.2" customHeight="1" x14ac:dyDescent="0.2">
      <c r="A246" s="26" t="s">
        <v>3995</v>
      </c>
      <c r="B246" s="27" t="s">
        <v>3996</v>
      </c>
      <c r="C246" s="28">
        <v>1</v>
      </c>
      <c r="D246" s="29">
        <v>22.5</v>
      </c>
      <c r="E246" s="29">
        <v>22.5</v>
      </c>
      <c r="F246" s="30">
        <v>69</v>
      </c>
      <c r="G246" s="29">
        <v>69</v>
      </c>
      <c r="H246" s="28" t="s">
        <v>3997</v>
      </c>
      <c r="I246" s="27"/>
      <c r="J246" s="31"/>
      <c r="K246" s="27" t="s">
        <v>24</v>
      </c>
      <c r="L246" s="27" t="s">
        <v>35</v>
      </c>
      <c r="M246" s="32"/>
    </row>
    <row r="247" spans="1:13" ht="15.2" customHeight="1" x14ac:dyDescent="0.2">
      <c r="A247" s="26" t="s">
        <v>3998</v>
      </c>
      <c r="B247" s="27" t="s">
        <v>3999</v>
      </c>
      <c r="C247" s="28">
        <v>1</v>
      </c>
      <c r="D247" s="29">
        <v>22.01</v>
      </c>
      <c r="E247" s="29">
        <v>22.01</v>
      </c>
      <c r="F247" s="30">
        <v>59.5</v>
      </c>
      <c r="G247" s="29">
        <v>59.5</v>
      </c>
      <c r="H247" s="28" t="s">
        <v>4000</v>
      </c>
      <c r="I247" s="27" t="s">
        <v>478</v>
      </c>
      <c r="J247" s="31" t="s">
        <v>21</v>
      </c>
      <c r="K247" s="27" t="s">
        <v>989</v>
      </c>
      <c r="L247" s="27" t="s">
        <v>990</v>
      </c>
      <c r="M247" s="32"/>
    </row>
    <row r="248" spans="1:13" ht="15.2" customHeight="1" x14ac:dyDescent="0.2">
      <c r="A248" s="26" t="s">
        <v>4001</v>
      </c>
      <c r="B248" s="27" t="s">
        <v>4002</v>
      </c>
      <c r="C248" s="28">
        <v>1</v>
      </c>
      <c r="D248" s="29">
        <v>22</v>
      </c>
      <c r="E248" s="29">
        <v>22</v>
      </c>
      <c r="F248" s="30">
        <v>69</v>
      </c>
      <c r="G248" s="29">
        <v>69</v>
      </c>
      <c r="H248" s="28" t="s">
        <v>4003</v>
      </c>
      <c r="I248" s="27" t="s">
        <v>144</v>
      </c>
      <c r="J248" s="31" t="s">
        <v>5</v>
      </c>
      <c r="K248" s="27" t="s">
        <v>37</v>
      </c>
      <c r="L248" s="27" t="s">
        <v>38</v>
      </c>
      <c r="M248" s="32"/>
    </row>
    <row r="249" spans="1:13" ht="15.2" customHeight="1" x14ac:dyDescent="0.2">
      <c r="A249" s="26" t="s">
        <v>4004</v>
      </c>
      <c r="B249" s="27" t="s">
        <v>4005</v>
      </c>
      <c r="C249" s="28">
        <v>1</v>
      </c>
      <c r="D249" s="29">
        <v>21.88</v>
      </c>
      <c r="E249" s="29">
        <v>21.88</v>
      </c>
      <c r="F249" s="30">
        <v>59.99</v>
      </c>
      <c r="G249" s="29">
        <v>59.99</v>
      </c>
      <c r="H249" s="28" t="s">
        <v>967</v>
      </c>
      <c r="I249" s="27" t="s">
        <v>4</v>
      </c>
      <c r="J249" s="31" t="s">
        <v>52</v>
      </c>
      <c r="K249" s="27" t="s">
        <v>41</v>
      </c>
      <c r="L249" s="27" t="s">
        <v>31</v>
      </c>
      <c r="M249" s="32"/>
    </row>
    <row r="250" spans="1:13" ht="15.2" customHeight="1" x14ac:dyDescent="0.2">
      <c r="A250" s="26" t="s">
        <v>2723</v>
      </c>
      <c r="B250" s="27" t="s">
        <v>2724</v>
      </c>
      <c r="C250" s="28">
        <v>1</v>
      </c>
      <c r="D250" s="29">
        <v>21.88</v>
      </c>
      <c r="E250" s="29">
        <v>21.88</v>
      </c>
      <c r="F250" s="30">
        <v>59.99</v>
      </c>
      <c r="G250" s="29">
        <v>59.99</v>
      </c>
      <c r="H250" s="28" t="s">
        <v>967</v>
      </c>
      <c r="I250" s="27" t="s">
        <v>4</v>
      </c>
      <c r="J250" s="31" t="s">
        <v>5</v>
      </c>
      <c r="K250" s="27" t="s">
        <v>41</v>
      </c>
      <c r="L250" s="27" t="s">
        <v>31</v>
      </c>
      <c r="M250" s="32"/>
    </row>
    <row r="251" spans="1:13" ht="15.2" customHeight="1" x14ac:dyDescent="0.2">
      <c r="A251" s="26" t="s">
        <v>1992</v>
      </c>
      <c r="B251" s="27" t="s">
        <v>1993</v>
      </c>
      <c r="C251" s="28">
        <v>1</v>
      </c>
      <c r="D251" s="29">
        <v>20.85</v>
      </c>
      <c r="E251" s="29">
        <v>20.85</v>
      </c>
      <c r="F251" s="30">
        <v>69.5</v>
      </c>
      <c r="G251" s="29">
        <v>69.5</v>
      </c>
      <c r="H251" s="28">
        <v>60438720</v>
      </c>
      <c r="I251" s="27" t="s">
        <v>20</v>
      </c>
      <c r="J251" s="31" t="s">
        <v>5</v>
      </c>
      <c r="K251" s="27" t="s">
        <v>6</v>
      </c>
      <c r="L251" s="27" t="s">
        <v>7</v>
      </c>
      <c r="M251" s="32"/>
    </row>
    <row r="252" spans="1:13" ht="15.2" customHeight="1" x14ac:dyDescent="0.2">
      <c r="A252" s="26" t="s">
        <v>1990</v>
      </c>
      <c r="B252" s="27" t="s">
        <v>1991</v>
      </c>
      <c r="C252" s="28">
        <v>1</v>
      </c>
      <c r="D252" s="29">
        <v>20.85</v>
      </c>
      <c r="E252" s="29">
        <v>20.85</v>
      </c>
      <c r="F252" s="30">
        <v>69.5</v>
      </c>
      <c r="G252" s="29">
        <v>69.5</v>
      </c>
      <c r="H252" s="28">
        <v>60438720</v>
      </c>
      <c r="I252" s="27" t="s">
        <v>82</v>
      </c>
      <c r="J252" s="31" t="s">
        <v>21</v>
      </c>
      <c r="K252" s="27" t="s">
        <v>6</v>
      </c>
      <c r="L252" s="27" t="s">
        <v>7</v>
      </c>
      <c r="M252" s="32"/>
    </row>
    <row r="253" spans="1:13" ht="15.2" customHeight="1" x14ac:dyDescent="0.2">
      <c r="A253" s="26" t="s">
        <v>4006</v>
      </c>
      <c r="B253" s="27" t="s">
        <v>483</v>
      </c>
      <c r="C253" s="28">
        <v>1</v>
      </c>
      <c r="D253" s="29">
        <v>20.65</v>
      </c>
      <c r="E253" s="29">
        <v>20.65</v>
      </c>
      <c r="F253" s="30">
        <v>59</v>
      </c>
      <c r="G253" s="29">
        <v>59</v>
      </c>
      <c r="H253" s="28" t="s">
        <v>484</v>
      </c>
      <c r="I253" s="27" t="s">
        <v>66</v>
      </c>
      <c r="J253" s="31" t="s">
        <v>5</v>
      </c>
      <c r="K253" s="27" t="s">
        <v>37</v>
      </c>
      <c r="L253" s="27" t="s">
        <v>38</v>
      </c>
      <c r="M253" s="32"/>
    </row>
    <row r="254" spans="1:13" ht="15.2" customHeight="1" x14ac:dyDescent="0.2">
      <c r="A254" s="26" t="s">
        <v>4007</v>
      </c>
      <c r="B254" s="27" t="s">
        <v>4008</v>
      </c>
      <c r="C254" s="28">
        <v>1</v>
      </c>
      <c r="D254" s="29">
        <v>20.53</v>
      </c>
      <c r="E254" s="29">
        <v>20.53</v>
      </c>
      <c r="F254" s="30">
        <v>59.5</v>
      </c>
      <c r="G254" s="29">
        <v>59.5</v>
      </c>
      <c r="H254" s="28" t="s">
        <v>1609</v>
      </c>
      <c r="I254" s="27" t="s">
        <v>4</v>
      </c>
      <c r="J254" s="31" t="s">
        <v>21</v>
      </c>
      <c r="K254" s="27" t="s">
        <v>53</v>
      </c>
      <c r="L254" s="27" t="s">
        <v>54</v>
      </c>
      <c r="M254" s="32"/>
    </row>
    <row r="255" spans="1:13" ht="15.2" customHeight="1" x14ac:dyDescent="0.2">
      <c r="A255" s="26" t="s">
        <v>2728</v>
      </c>
      <c r="B255" s="27" t="s">
        <v>2729</v>
      </c>
      <c r="C255" s="28">
        <v>2</v>
      </c>
      <c r="D255" s="29">
        <v>20.52</v>
      </c>
      <c r="E255" s="29">
        <v>41.04</v>
      </c>
      <c r="F255" s="30">
        <v>59.5</v>
      </c>
      <c r="G255" s="29">
        <v>119</v>
      </c>
      <c r="H255" s="28" t="s">
        <v>2727</v>
      </c>
      <c r="I255" s="27" t="s">
        <v>26</v>
      </c>
      <c r="J255" s="31" t="s">
        <v>5</v>
      </c>
      <c r="K255" s="27" t="s">
        <v>53</v>
      </c>
      <c r="L255" s="27" t="s">
        <v>167</v>
      </c>
      <c r="M255" s="32"/>
    </row>
    <row r="256" spans="1:13" ht="15.2" customHeight="1" x14ac:dyDescent="0.2">
      <c r="A256" s="26" t="s">
        <v>4009</v>
      </c>
      <c r="B256" s="27" t="s">
        <v>4010</v>
      </c>
      <c r="C256" s="28">
        <v>1</v>
      </c>
      <c r="D256" s="29">
        <v>20.52</v>
      </c>
      <c r="E256" s="29">
        <v>20.52</v>
      </c>
      <c r="F256" s="30">
        <v>59.5</v>
      </c>
      <c r="G256" s="29">
        <v>59.5</v>
      </c>
      <c r="H256" s="28" t="s">
        <v>2727</v>
      </c>
      <c r="I256" s="27" t="s">
        <v>26</v>
      </c>
      <c r="J256" s="31" t="s">
        <v>52</v>
      </c>
      <c r="K256" s="27" t="s">
        <v>53</v>
      </c>
      <c r="L256" s="27" t="s">
        <v>167</v>
      </c>
      <c r="M256" s="32"/>
    </row>
    <row r="257" spans="1:13" ht="15.2" customHeight="1" x14ac:dyDescent="0.2">
      <c r="A257" s="26" t="s">
        <v>4011</v>
      </c>
      <c r="B257" s="27" t="s">
        <v>4012</v>
      </c>
      <c r="C257" s="28">
        <v>1</v>
      </c>
      <c r="D257" s="29">
        <v>19.8</v>
      </c>
      <c r="E257" s="29">
        <v>19.8</v>
      </c>
      <c r="F257" s="30">
        <v>49.5</v>
      </c>
      <c r="G257" s="29">
        <v>49.5</v>
      </c>
      <c r="H257" s="28" t="s">
        <v>487</v>
      </c>
      <c r="I257" s="27" t="s">
        <v>144</v>
      </c>
      <c r="J257" s="31" t="s">
        <v>52</v>
      </c>
      <c r="K257" s="27" t="s">
        <v>27</v>
      </c>
      <c r="L257" s="27" t="s">
        <v>28</v>
      </c>
      <c r="M257" s="32"/>
    </row>
    <row r="258" spans="1:13" ht="15.2" customHeight="1" x14ac:dyDescent="0.2">
      <c r="A258" s="26" t="s">
        <v>4013</v>
      </c>
      <c r="B258" s="27" t="s">
        <v>4014</v>
      </c>
      <c r="C258" s="28">
        <v>1</v>
      </c>
      <c r="D258" s="29">
        <v>19.8</v>
      </c>
      <c r="E258" s="29">
        <v>19.8</v>
      </c>
      <c r="F258" s="30">
        <v>49.5</v>
      </c>
      <c r="G258" s="29">
        <v>49.5</v>
      </c>
      <c r="H258" s="28" t="s">
        <v>487</v>
      </c>
      <c r="I258" s="27" t="s">
        <v>144</v>
      </c>
      <c r="J258" s="31" t="s">
        <v>5</v>
      </c>
      <c r="K258" s="27" t="s">
        <v>27</v>
      </c>
      <c r="L258" s="27" t="s">
        <v>28</v>
      </c>
      <c r="M258" s="32"/>
    </row>
    <row r="259" spans="1:13" ht="15.2" customHeight="1" x14ac:dyDescent="0.2">
      <c r="A259" s="26" t="s">
        <v>4015</v>
      </c>
      <c r="B259" s="27" t="s">
        <v>4016</v>
      </c>
      <c r="C259" s="28">
        <v>1</v>
      </c>
      <c r="D259" s="29">
        <v>19.5</v>
      </c>
      <c r="E259" s="29">
        <v>19.5</v>
      </c>
      <c r="F259" s="30">
        <v>59</v>
      </c>
      <c r="G259" s="29">
        <v>59</v>
      </c>
      <c r="H259" s="28" t="s">
        <v>3065</v>
      </c>
      <c r="I259" s="27" t="s">
        <v>1</v>
      </c>
      <c r="J259" s="31" t="s">
        <v>52</v>
      </c>
      <c r="K259" s="27" t="s">
        <v>24</v>
      </c>
      <c r="L259" s="27" t="s">
        <v>128</v>
      </c>
      <c r="M259" s="32"/>
    </row>
    <row r="260" spans="1:13" ht="15.2" customHeight="1" x14ac:dyDescent="0.2">
      <c r="A260" s="26" t="s">
        <v>3066</v>
      </c>
      <c r="B260" s="27" t="s">
        <v>3067</v>
      </c>
      <c r="C260" s="28">
        <v>1</v>
      </c>
      <c r="D260" s="29">
        <v>19</v>
      </c>
      <c r="E260" s="29">
        <v>19</v>
      </c>
      <c r="F260" s="30">
        <v>59</v>
      </c>
      <c r="G260" s="29">
        <v>59</v>
      </c>
      <c r="H260" s="28" t="s">
        <v>489</v>
      </c>
      <c r="I260" s="27" t="s">
        <v>26</v>
      </c>
      <c r="J260" s="31" t="s">
        <v>40</v>
      </c>
      <c r="K260" s="27" t="s">
        <v>24</v>
      </c>
      <c r="L260" s="27" t="s">
        <v>485</v>
      </c>
      <c r="M260" s="32"/>
    </row>
    <row r="261" spans="1:13" ht="15.2" customHeight="1" x14ac:dyDescent="0.2">
      <c r="A261" s="26" t="s">
        <v>490</v>
      </c>
      <c r="B261" s="27" t="s">
        <v>491</v>
      </c>
      <c r="C261" s="28">
        <v>1</v>
      </c>
      <c r="D261" s="29">
        <v>18.75</v>
      </c>
      <c r="E261" s="29">
        <v>18.75</v>
      </c>
      <c r="F261" s="30">
        <v>59</v>
      </c>
      <c r="G261" s="29">
        <v>59</v>
      </c>
      <c r="H261" s="28" t="s">
        <v>492</v>
      </c>
      <c r="I261" s="27"/>
      <c r="J261" s="31"/>
      <c r="K261" s="27" t="s">
        <v>37</v>
      </c>
      <c r="L261" s="27" t="s">
        <v>38</v>
      </c>
      <c r="M261" s="32"/>
    </row>
    <row r="262" spans="1:13" ht="15.2" customHeight="1" x14ac:dyDescent="0.2">
      <c r="A262" s="26" t="s">
        <v>4017</v>
      </c>
      <c r="B262" s="27" t="s">
        <v>4018</v>
      </c>
      <c r="C262" s="28">
        <v>3</v>
      </c>
      <c r="D262" s="29">
        <v>18.75</v>
      </c>
      <c r="E262" s="29">
        <v>56.25</v>
      </c>
      <c r="F262" s="30">
        <v>59</v>
      </c>
      <c r="G262" s="29">
        <v>177</v>
      </c>
      <c r="H262" s="28" t="s">
        <v>492</v>
      </c>
      <c r="I262" s="27"/>
      <c r="J262" s="31"/>
      <c r="K262" s="27" t="s">
        <v>37</v>
      </c>
      <c r="L262" s="27" t="s">
        <v>38</v>
      </c>
      <c r="M262" s="32"/>
    </row>
    <row r="263" spans="1:13" ht="15.2" customHeight="1" x14ac:dyDescent="0.2">
      <c r="A263" s="26" t="s">
        <v>4019</v>
      </c>
      <c r="B263" s="27" t="s">
        <v>982</v>
      </c>
      <c r="C263" s="28">
        <v>1</v>
      </c>
      <c r="D263" s="29">
        <v>18.420000000000002</v>
      </c>
      <c r="E263" s="29">
        <v>18.420000000000002</v>
      </c>
      <c r="F263" s="30">
        <v>49.5</v>
      </c>
      <c r="G263" s="29">
        <v>49.5</v>
      </c>
      <c r="H263" s="28" t="s">
        <v>983</v>
      </c>
      <c r="I263" s="27" t="s">
        <v>4</v>
      </c>
      <c r="J263" s="31" t="s">
        <v>71</v>
      </c>
      <c r="K263" s="27" t="s">
        <v>53</v>
      </c>
      <c r="L263" s="27" t="s">
        <v>54</v>
      </c>
      <c r="M263" s="32"/>
    </row>
    <row r="264" spans="1:13" ht="15.2" customHeight="1" x14ac:dyDescent="0.2">
      <c r="A264" s="26" t="s">
        <v>2439</v>
      </c>
      <c r="B264" s="27" t="s">
        <v>494</v>
      </c>
      <c r="C264" s="28">
        <v>1</v>
      </c>
      <c r="D264" s="29">
        <v>18.07</v>
      </c>
      <c r="E264" s="29">
        <v>18.07</v>
      </c>
      <c r="F264" s="30">
        <v>49.5</v>
      </c>
      <c r="G264" s="29">
        <v>49.5</v>
      </c>
      <c r="H264" s="28" t="s">
        <v>495</v>
      </c>
      <c r="I264" s="27" t="s">
        <v>82</v>
      </c>
      <c r="J264" s="31" t="s">
        <v>21</v>
      </c>
      <c r="K264" s="27" t="s">
        <v>41</v>
      </c>
      <c r="L264" s="27" t="s">
        <v>45</v>
      </c>
      <c r="M264" s="32"/>
    </row>
    <row r="265" spans="1:13" ht="15.2" customHeight="1" x14ac:dyDescent="0.2">
      <c r="A265" s="26" t="s">
        <v>4020</v>
      </c>
      <c r="B265" s="27" t="s">
        <v>494</v>
      </c>
      <c r="C265" s="28">
        <v>1</v>
      </c>
      <c r="D265" s="29">
        <v>18.07</v>
      </c>
      <c r="E265" s="29">
        <v>18.07</v>
      </c>
      <c r="F265" s="30">
        <v>49.5</v>
      </c>
      <c r="G265" s="29">
        <v>49.5</v>
      </c>
      <c r="H265" s="28" t="s">
        <v>495</v>
      </c>
      <c r="I265" s="27" t="s">
        <v>82</v>
      </c>
      <c r="J265" s="31" t="s">
        <v>52</v>
      </c>
      <c r="K265" s="27" t="s">
        <v>41</v>
      </c>
      <c r="L265" s="27" t="s">
        <v>45</v>
      </c>
      <c r="M265" s="32"/>
    </row>
    <row r="266" spans="1:13" ht="15.2" customHeight="1" x14ac:dyDescent="0.2">
      <c r="A266" s="26" t="s">
        <v>1998</v>
      </c>
      <c r="B266" s="27" t="s">
        <v>985</v>
      </c>
      <c r="C266" s="28">
        <v>1</v>
      </c>
      <c r="D266" s="29">
        <v>18.04</v>
      </c>
      <c r="E266" s="29">
        <v>18.04</v>
      </c>
      <c r="F266" s="30">
        <v>49.5</v>
      </c>
      <c r="G266" s="29">
        <v>49.5</v>
      </c>
      <c r="H266" s="28" t="s">
        <v>986</v>
      </c>
      <c r="I266" s="27" t="s">
        <v>82</v>
      </c>
      <c r="J266" s="31" t="s">
        <v>52</v>
      </c>
      <c r="K266" s="27" t="s">
        <v>41</v>
      </c>
      <c r="L266" s="27" t="s">
        <v>45</v>
      </c>
      <c r="M266" s="32"/>
    </row>
    <row r="267" spans="1:13" ht="15.2" customHeight="1" x14ac:dyDescent="0.2">
      <c r="A267" s="26" t="s">
        <v>4021</v>
      </c>
      <c r="B267" s="27" t="s">
        <v>4022</v>
      </c>
      <c r="C267" s="28">
        <v>1</v>
      </c>
      <c r="D267" s="29">
        <v>18</v>
      </c>
      <c r="E267" s="29">
        <v>18</v>
      </c>
      <c r="F267" s="30">
        <v>69</v>
      </c>
      <c r="G267" s="29">
        <v>69</v>
      </c>
      <c r="H267" s="28" t="s">
        <v>4023</v>
      </c>
      <c r="I267" s="27" t="s">
        <v>189</v>
      </c>
      <c r="J267" s="31" t="s">
        <v>21</v>
      </c>
      <c r="K267" s="27" t="s">
        <v>24</v>
      </c>
      <c r="L267" s="27" t="s">
        <v>101</v>
      </c>
      <c r="M267" s="32"/>
    </row>
    <row r="268" spans="1:13" ht="15.2" customHeight="1" x14ac:dyDescent="0.2">
      <c r="A268" s="26" t="s">
        <v>4024</v>
      </c>
      <c r="B268" s="27" t="s">
        <v>4025</v>
      </c>
      <c r="C268" s="28">
        <v>1</v>
      </c>
      <c r="D268" s="29">
        <v>18</v>
      </c>
      <c r="E268" s="29">
        <v>18</v>
      </c>
      <c r="F268" s="30">
        <v>59</v>
      </c>
      <c r="G268" s="29">
        <v>59</v>
      </c>
      <c r="H268" s="28">
        <v>1165542</v>
      </c>
      <c r="I268" s="27"/>
      <c r="J268" s="31" t="s">
        <v>65</v>
      </c>
      <c r="K268" s="27" t="s">
        <v>24</v>
      </c>
      <c r="L268" s="27" t="s">
        <v>155</v>
      </c>
      <c r="M268" s="32"/>
    </row>
    <row r="269" spans="1:13" ht="15.2" customHeight="1" x14ac:dyDescent="0.2">
      <c r="A269" s="26" t="s">
        <v>1620</v>
      </c>
      <c r="B269" s="27" t="s">
        <v>1621</v>
      </c>
      <c r="C269" s="28">
        <v>1</v>
      </c>
      <c r="D269" s="29">
        <v>18</v>
      </c>
      <c r="E269" s="29">
        <v>18</v>
      </c>
      <c r="F269" s="30">
        <v>59</v>
      </c>
      <c r="G269" s="29">
        <v>59</v>
      </c>
      <c r="H269" s="28" t="s">
        <v>1622</v>
      </c>
      <c r="I269" s="27" t="s">
        <v>59</v>
      </c>
      <c r="J269" s="31" t="s">
        <v>69</v>
      </c>
      <c r="K269" s="27" t="s">
        <v>24</v>
      </c>
      <c r="L269" s="27" t="s">
        <v>25</v>
      </c>
      <c r="M269" s="32"/>
    </row>
    <row r="270" spans="1:13" ht="15.2" customHeight="1" x14ac:dyDescent="0.2">
      <c r="A270" s="26" t="s">
        <v>4026</v>
      </c>
      <c r="B270" s="27" t="s">
        <v>4027</v>
      </c>
      <c r="C270" s="28">
        <v>1</v>
      </c>
      <c r="D270" s="29">
        <v>17.850000000000001</v>
      </c>
      <c r="E270" s="29">
        <v>17.850000000000001</v>
      </c>
      <c r="F270" s="30">
        <v>59.5</v>
      </c>
      <c r="G270" s="29">
        <v>59.5</v>
      </c>
      <c r="H270" s="28">
        <v>49022897</v>
      </c>
      <c r="I270" s="27" t="s">
        <v>36</v>
      </c>
      <c r="J270" s="31" t="s">
        <v>52</v>
      </c>
      <c r="K270" s="27" t="s">
        <v>6</v>
      </c>
      <c r="L270" s="27" t="s">
        <v>7</v>
      </c>
      <c r="M270" s="32"/>
    </row>
    <row r="271" spans="1:13" ht="15.2" customHeight="1" x14ac:dyDescent="0.2">
      <c r="A271" s="26" t="s">
        <v>4028</v>
      </c>
      <c r="B271" s="27" t="s">
        <v>4029</v>
      </c>
      <c r="C271" s="28">
        <v>1</v>
      </c>
      <c r="D271" s="29">
        <v>17</v>
      </c>
      <c r="E271" s="29">
        <v>17</v>
      </c>
      <c r="F271" s="30">
        <v>41.99</v>
      </c>
      <c r="G271" s="29">
        <v>41.99</v>
      </c>
      <c r="H271" s="28" t="s">
        <v>992</v>
      </c>
      <c r="I271" s="27" t="s">
        <v>22</v>
      </c>
      <c r="J271" s="31" t="s">
        <v>52</v>
      </c>
      <c r="K271" s="27" t="s">
        <v>70</v>
      </c>
      <c r="L271" s="27" t="s">
        <v>155</v>
      </c>
      <c r="M271" s="32"/>
    </row>
    <row r="272" spans="1:13" ht="15.2" customHeight="1" x14ac:dyDescent="0.2">
      <c r="A272" s="26" t="s">
        <v>4030</v>
      </c>
      <c r="B272" s="27" t="s">
        <v>4031</v>
      </c>
      <c r="C272" s="28">
        <v>1</v>
      </c>
      <c r="D272" s="29">
        <v>17</v>
      </c>
      <c r="E272" s="29">
        <v>17</v>
      </c>
      <c r="F272" s="30">
        <v>59</v>
      </c>
      <c r="G272" s="29">
        <v>59</v>
      </c>
      <c r="H272" s="28" t="s">
        <v>995</v>
      </c>
      <c r="I272" s="27" t="s">
        <v>82</v>
      </c>
      <c r="J272" s="31" t="s">
        <v>5</v>
      </c>
      <c r="K272" s="27" t="s">
        <v>154</v>
      </c>
      <c r="L272" s="27" t="s">
        <v>155</v>
      </c>
      <c r="M272" s="32"/>
    </row>
    <row r="273" spans="1:13" ht="15.2" customHeight="1" x14ac:dyDescent="0.2">
      <c r="A273" s="26" t="s">
        <v>4032</v>
      </c>
      <c r="B273" s="27" t="s">
        <v>4033</v>
      </c>
      <c r="C273" s="28">
        <v>1</v>
      </c>
      <c r="D273" s="29">
        <v>16.91</v>
      </c>
      <c r="E273" s="29">
        <v>16.91</v>
      </c>
      <c r="F273" s="30">
        <v>39.5</v>
      </c>
      <c r="G273" s="29">
        <v>39.5</v>
      </c>
      <c r="H273" s="28" t="s">
        <v>3528</v>
      </c>
      <c r="I273" s="27" t="s">
        <v>4</v>
      </c>
      <c r="J273" s="31" t="s">
        <v>40</v>
      </c>
      <c r="K273" s="27" t="s">
        <v>53</v>
      </c>
      <c r="L273" s="27" t="s">
        <v>54</v>
      </c>
      <c r="M273" s="32"/>
    </row>
    <row r="274" spans="1:13" ht="15.2" customHeight="1" x14ac:dyDescent="0.2">
      <c r="A274" s="26" t="s">
        <v>4034</v>
      </c>
      <c r="B274" s="27" t="s">
        <v>505</v>
      </c>
      <c r="C274" s="28">
        <v>1</v>
      </c>
      <c r="D274" s="29">
        <v>16.88</v>
      </c>
      <c r="E274" s="29">
        <v>16.88</v>
      </c>
      <c r="F274" s="30">
        <v>49.5</v>
      </c>
      <c r="G274" s="29">
        <v>49.5</v>
      </c>
      <c r="H274" s="28" t="s">
        <v>506</v>
      </c>
      <c r="I274" s="27" t="s">
        <v>82</v>
      </c>
      <c r="J274" s="31" t="s">
        <v>5</v>
      </c>
      <c r="K274" s="27" t="s">
        <v>53</v>
      </c>
      <c r="L274" s="27" t="s">
        <v>167</v>
      </c>
      <c r="M274" s="32"/>
    </row>
    <row r="275" spans="1:13" ht="15.2" customHeight="1" x14ac:dyDescent="0.2">
      <c r="A275" s="26" t="s">
        <v>4035</v>
      </c>
      <c r="B275" s="27" t="s">
        <v>505</v>
      </c>
      <c r="C275" s="28">
        <v>1</v>
      </c>
      <c r="D275" s="29">
        <v>16.88</v>
      </c>
      <c r="E275" s="29">
        <v>16.88</v>
      </c>
      <c r="F275" s="30">
        <v>49.5</v>
      </c>
      <c r="G275" s="29">
        <v>49.5</v>
      </c>
      <c r="H275" s="28" t="s">
        <v>506</v>
      </c>
      <c r="I275" s="27" t="s">
        <v>2956</v>
      </c>
      <c r="J275" s="31" t="s">
        <v>40</v>
      </c>
      <c r="K275" s="27" t="s">
        <v>53</v>
      </c>
      <c r="L275" s="27" t="s">
        <v>167</v>
      </c>
      <c r="M275" s="32"/>
    </row>
    <row r="276" spans="1:13" ht="15.2" customHeight="1" x14ac:dyDescent="0.2">
      <c r="A276" s="26" t="s">
        <v>2735</v>
      </c>
      <c r="B276" s="27" t="s">
        <v>2736</v>
      </c>
      <c r="C276" s="28">
        <v>5</v>
      </c>
      <c r="D276" s="29">
        <v>16.739999999999998</v>
      </c>
      <c r="E276" s="29">
        <v>83.7</v>
      </c>
      <c r="F276" s="30">
        <v>49</v>
      </c>
      <c r="G276" s="29">
        <v>245</v>
      </c>
      <c r="H276" s="28" t="s">
        <v>2734</v>
      </c>
      <c r="I276" s="27" t="s">
        <v>4</v>
      </c>
      <c r="J276" s="31" t="s">
        <v>21</v>
      </c>
      <c r="K276" s="27" t="s">
        <v>510</v>
      </c>
      <c r="L276" s="27" t="s">
        <v>511</v>
      </c>
      <c r="M276" s="32"/>
    </row>
    <row r="277" spans="1:13" ht="15.2" customHeight="1" x14ac:dyDescent="0.2">
      <c r="A277" s="26" t="s">
        <v>2004</v>
      </c>
      <c r="B277" s="27" t="s">
        <v>2005</v>
      </c>
      <c r="C277" s="28">
        <v>4</v>
      </c>
      <c r="D277" s="29">
        <v>16.739999999999998</v>
      </c>
      <c r="E277" s="29">
        <v>66.959999999999994</v>
      </c>
      <c r="F277" s="30">
        <v>49</v>
      </c>
      <c r="G277" s="29">
        <v>196</v>
      </c>
      <c r="H277" s="28" t="s">
        <v>2006</v>
      </c>
      <c r="I277" s="27" t="s">
        <v>4</v>
      </c>
      <c r="J277" s="31" t="s">
        <v>5</v>
      </c>
      <c r="K277" s="27" t="s">
        <v>510</v>
      </c>
      <c r="L277" s="27" t="s">
        <v>511</v>
      </c>
      <c r="M277" s="32"/>
    </row>
    <row r="278" spans="1:13" ht="15.2" customHeight="1" x14ac:dyDescent="0.2">
      <c r="A278" s="26" t="s">
        <v>3532</v>
      </c>
      <c r="B278" s="27" t="s">
        <v>3533</v>
      </c>
      <c r="C278" s="28">
        <v>3</v>
      </c>
      <c r="D278" s="29">
        <v>16.739999999999998</v>
      </c>
      <c r="E278" s="29">
        <v>50.22</v>
      </c>
      <c r="F278" s="30">
        <v>49</v>
      </c>
      <c r="G278" s="29">
        <v>147</v>
      </c>
      <c r="H278" s="28" t="s">
        <v>2734</v>
      </c>
      <c r="I278" s="27" t="s">
        <v>4</v>
      </c>
      <c r="J278" s="31" t="s">
        <v>40</v>
      </c>
      <c r="K278" s="27" t="s">
        <v>510</v>
      </c>
      <c r="L278" s="27" t="s">
        <v>511</v>
      </c>
      <c r="M278" s="32"/>
    </row>
    <row r="279" spans="1:13" ht="15.2" customHeight="1" x14ac:dyDescent="0.2">
      <c r="A279" s="26" t="s">
        <v>2737</v>
      </c>
      <c r="B279" s="27" t="s">
        <v>2738</v>
      </c>
      <c r="C279" s="28">
        <v>1</v>
      </c>
      <c r="D279" s="29">
        <v>16.739999999999998</v>
      </c>
      <c r="E279" s="29">
        <v>16.739999999999998</v>
      </c>
      <c r="F279" s="30">
        <v>49</v>
      </c>
      <c r="G279" s="29">
        <v>49</v>
      </c>
      <c r="H279" s="28" t="s">
        <v>2006</v>
      </c>
      <c r="I279" s="27" t="s">
        <v>4</v>
      </c>
      <c r="J279" s="31" t="s">
        <v>52</v>
      </c>
      <c r="K279" s="27" t="s">
        <v>510</v>
      </c>
      <c r="L279" s="27" t="s">
        <v>511</v>
      </c>
      <c r="M279" s="32"/>
    </row>
    <row r="280" spans="1:13" ht="15.2" customHeight="1" x14ac:dyDescent="0.2">
      <c r="A280" s="26" t="s">
        <v>4036</v>
      </c>
      <c r="B280" s="27" t="s">
        <v>4037</v>
      </c>
      <c r="C280" s="28">
        <v>2</v>
      </c>
      <c r="D280" s="29">
        <v>16.739999999999998</v>
      </c>
      <c r="E280" s="29">
        <v>33.479999999999997</v>
      </c>
      <c r="F280" s="30">
        <v>49</v>
      </c>
      <c r="G280" s="29">
        <v>98</v>
      </c>
      <c r="H280" s="28" t="s">
        <v>2006</v>
      </c>
      <c r="I280" s="27" t="s">
        <v>4</v>
      </c>
      <c r="J280" s="31" t="s">
        <v>21</v>
      </c>
      <c r="K280" s="27" t="s">
        <v>510</v>
      </c>
      <c r="L280" s="27" t="s">
        <v>511</v>
      </c>
      <c r="M280" s="32"/>
    </row>
    <row r="281" spans="1:13" ht="15.2" customHeight="1" x14ac:dyDescent="0.2">
      <c r="A281" s="26" t="s">
        <v>4038</v>
      </c>
      <c r="B281" s="27" t="s">
        <v>4039</v>
      </c>
      <c r="C281" s="28">
        <v>1</v>
      </c>
      <c r="D281" s="29">
        <v>16.739999999999998</v>
      </c>
      <c r="E281" s="29">
        <v>16.739999999999998</v>
      </c>
      <c r="F281" s="30">
        <v>49</v>
      </c>
      <c r="G281" s="29">
        <v>49</v>
      </c>
      <c r="H281" s="28" t="s">
        <v>1002</v>
      </c>
      <c r="I281" s="27" t="s">
        <v>291</v>
      </c>
      <c r="J281" s="31" t="s">
        <v>52</v>
      </c>
      <c r="K281" s="27" t="s">
        <v>510</v>
      </c>
      <c r="L281" s="27" t="s">
        <v>511</v>
      </c>
      <c r="M281" s="32"/>
    </row>
    <row r="282" spans="1:13" ht="15.2" customHeight="1" x14ac:dyDescent="0.2">
      <c r="A282" s="26" t="s">
        <v>4040</v>
      </c>
      <c r="B282" s="27" t="s">
        <v>4041</v>
      </c>
      <c r="C282" s="28">
        <v>2</v>
      </c>
      <c r="D282" s="29">
        <v>16.739999999999998</v>
      </c>
      <c r="E282" s="29">
        <v>33.479999999999997</v>
      </c>
      <c r="F282" s="30">
        <v>49</v>
      </c>
      <c r="G282" s="29">
        <v>98</v>
      </c>
      <c r="H282" s="28" t="s">
        <v>2006</v>
      </c>
      <c r="I282" s="27" t="s">
        <v>4</v>
      </c>
      <c r="J282" s="31" t="s">
        <v>40</v>
      </c>
      <c r="K282" s="27" t="s">
        <v>510</v>
      </c>
      <c r="L282" s="27" t="s">
        <v>511</v>
      </c>
      <c r="M282" s="32"/>
    </row>
    <row r="283" spans="1:13" ht="15.2" customHeight="1" x14ac:dyDescent="0.2">
      <c r="A283" s="26" t="s">
        <v>1000</v>
      </c>
      <c r="B283" s="27" t="s">
        <v>1001</v>
      </c>
      <c r="C283" s="28">
        <v>1</v>
      </c>
      <c r="D283" s="29">
        <v>16.739999999999998</v>
      </c>
      <c r="E283" s="29">
        <v>16.739999999999998</v>
      </c>
      <c r="F283" s="30">
        <v>49</v>
      </c>
      <c r="G283" s="29">
        <v>49</v>
      </c>
      <c r="H283" s="28" t="s">
        <v>1002</v>
      </c>
      <c r="I283" s="27" t="s">
        <v>291</v>
      </c>
      <c r="J283" s="31" t="s">
        <v>21</v>
      </c>
      <c r="K283" s="27" t="s">
        <v>510</v>
      </c>
      <c r="L283" s="27" t="s">
        <v>511</v>
      </c>
      <c r="M283" s="32"/>
    </row>
    <row r="284" spans="1:13" ht="15.2" customHeight="1" x14ac:dyDescent="0.2">
      <c r="A284" s="26" t="s">
        <v>3530</v>
      </c>
      <c r="B284" s="27" t="s">
        <v>3531</v>
      </c>
      <c r="C284" s="28">
        <v>1</v>
      </c>
      <c r="D284" s="29">
        <v>16.739999999999998</v>
      </c>
      <c r="E284" s="29">
        <v>16.739999999999998</v>
      </c>
      <c r="F284" s="30">
        <v>49</v>
      </c>
      <c r="G284" s="29">
        <v>49</v>
      </c>
      <c r="H284" s="28" t="s">
        <v>1002</v>
      </c>
      <c r="I284" s="27" t="s">
        <v>291</v>
      </c>
      <c r="J284" s="31" t="s">
        <v>40</v>
      </c>
      <c r="K284" s="27" t="s">
        <v>510</v>
      </c>
      <c r="L284" s="27" t="s">
        <v>511</v>
      </c>
      <c r="M284" s="32"/>
    </row>
    <row r="285" spans="1:13" ht="15.2" customHeight="1" x14ac:dyDescent="0.2">
      <c r="A285" s="26" t="s">
        <v>4042</v>
      </c>
      <c r="B285" s="27" t="s">
        <v>4043</v>
      </c>
      <c r="C285" s="28">
        <v>1</v>
      </c>
      <c r="D285" s="29">
        <v>16.5</v>
      </c>
      <c r="E285" s="29">
        <v>16.5</v>
      </c>
      <c r="F285" s="30">
        <v>39.99</v>
      </c>
      <c r="G285" s="29">
        <v>39.99</v>
      </c>
      <c r="H285" s="28" t="s">
        <v>3539</v>
      </c>
      <c r="I285" s="27" t="s">
        <v>1280</v>
      </c>
      <c r="J285" s="31" t="s">
        <v>21</v>
      </c>
      <c r="K285" s="27" t="s">
        <v>70</v>
      </c>
      <c r="L285" s="27" t="s">
        <v>701</v>
      </c>
      <c r="M285" s="32"/>
    </row>
    <row r="286" spans="1:13" ht="15.2" customHeight="1" x14ac:dyDescent="0.2">
      <c r="A286" s="26" t="s">
        <v>4044</v>
      </c>
      <c r="B286" s="27" t="s">
        <v>4045</v>
      </c>
      <c r="C286" s="28">
        <v>1</v>
      </c>
      <c r="D286" s="29">
        <v>16.5</v>
      </c>
      <c r="E286" s="29">
        <v>16.5</v>
      </c>
      <c r="F286" s="30">
        <v>39.99</v>
      </c>
      <c r="G286" s="29">
        <v>39.99</v>
      </c>
      <c r="H286" s="28" t="s">
        <v>3539</v>
      </c>
      <c r="I286" s="27" t="s">
        <v>1280</v>
      </c>
      <c r="J286" s="31" t="s">
        <v>5</v>
      </c>
      <c r="K286" s="27" t="s">
        <v>70</v>
      </c>
      <c r="L286" s="27" t="s">
        <v>701</v>
      </c>
      <c r="M286" s="32"/>
    </row>
    <row r="287" spans="1:13" ht="15.2" customHeight="1" x14ac:dyDescent="0.2">
      <c r="A287" s="26" t="s">
        <v>4046</v>
      </c>
      <c r="B287" s="27" t="s">
        <v>4047</v>
      </c>
      <c r="C287" s="28">
        <v>1</v>
      </c>
      <c r="D287" s="29">
        <v>16.5</v>
      </c>
      <c r="E287" s="29">
        <v>16.5</v>
      </c>
      <c r="F287" s="30">
        <v>39.99</v>
      </c>
      <c r="G287" s="29">
        <v>39.99</v>
      </c>
      <c r="H287" s="28" t="s">
        <v>2448</v>
      </c>
      <c r="I287" s="27" t="s">
        <v>746</v>
      </c>
      <c r="J287" s="31" t="s">
        <v>5</v>
      </c>
      <c r="K287" s="27" t="s">
        <v>70</v>
      </c>
      <c r="L287" s="27" t="s">
        <v>101</v>
      </c>
      <c r="M287" s="32"/>
    </row>
    <row r="288" spans="1:13" ht="15.2" customHeight="1" x14ac:dyDescent="0.2">
      <c r="A288" s="26" t="s">
        <v>4048</v>
      </c>
      <c r="B288" s="27" t="s">
        <v>4049</v>
      </c>
      <c r="C288" s="28">
        <v>1</v>
      </c>
      <c r="D288" s="29">
        <v>16.46</v>
      </c>
      <c r="E288" s="29">
        <v>16.46</v>
      </c>
      <c r="F288" s="30">
        <v>49.5</v>
      </c>
      <c r="G288" s="29">
        <v>49.5</v>
      </c>
      <c r="H288" s="28" t="s">
        <v>4050</v>
      </c>
      <c r="I288" s="27" t="s">
        <v>4</v>
      </c>
      <c r="J288" s="31" t="s">
        <v>50</v>
      </c>
      <c r="K288" s="27" t="s">
        <v>12</v>
      </c>
      <c r="L288" s="27" t="s">
        <v>13</v>
      </c>
      <c r="M288" s="32"/>
    </row>
    <row r="289" spans="1:13" ht="15.2" customHeight="1" x14ac:dyDescent="0.2">
      <c r="A289" s="26" t="s">
        <v>2451</v>
      </c>
      <c r="B289" s="27" t="s">
        <v>2452</v>
      </c>
      <c r="C289" s="28">
        <v>1</v>
      </c>
      <c r="D289" s="29">
        <v>16.329999999999998</v>
      </c>
      <c r="E289" s="29">
        <v>16.329999999999998</v>
      </c>
      <c r="F289" s="30">
        <v>44.5</v>
      </c>
      <c r="G289" s="29">
        <v>44.5</v>
      </c>
      <c r="H289" s="28" t="s">
        <v>1005</v>
      </c>
      <c r="I289" s="27" t="s">
        <v>4</v>
      </c>
      <c r="J289" s="31" t="s">
        <v>52</v>
      </c>
      <c r="K289" s="27" t="s">
        <v>53</v>
      </c>
      <c r="L289" s="27" t="s">
        <v>54</v>
      </c>
      <c r="M289" s="32"/>
    </row>
    <row r="290" spans="1:13" ht="15.2" customHeight="1" x14ac:dyDescent="0.2">
      <c r="A290" s="26" t="s">
        <v>4051</v>
      </c>
      <c r="B290" s="27" t="s">
        <v>4052</v>
      </c>
      <c r="C290" s="28">
        <v>1</v>
      </c>
      <c r="D290" s="29">
        <v>16.329999999999998</v>
      </c>
      <c r="E290" s="29">
        <v>16.329999999999998</v>
      </c>
      <c r="F290" s="30">
        <v>44.5</v>
      </c>
      <c r="G290" s="29">
        <v>44.5</v>
      </c>
      <c r="H290" s="28" t="s">
        <v>1626</v>
      </c>
      <c r="I290" s="27" t="s">
        <v>271</v>
      </c>
      <c r="J290" s="31" t="s">
        <v>21</v>
      </c>
      <c r="K290" s="27" t="s">
        <v>53</v>
      </c>
      <c r="L290" s="27" t="s">
        <v>54</v>
      </c>
      <c r="M290" s="32"/>
    </row>
    <row r="291" spans="1:13" ht="15.2" customHeight="1" x14ac:dyDescent="0.2">
      <c r="A291" s="26" t="s">
        <v>4053</v>
      </c>
      <c r="B291" s="27" t="s">
        <v>4054</v>
      </c>
      <c r="C291" s="28">
        <v>1</v>
      </c>
      <c r="D291" s="29">
        <v>16.239999999999998</v>
      </c>
      <c r="E291" s="29">
        <v>16.239999999999998</v>
      </c>
      <c r="F291" s="30">
        <v>44.5</v>
      </c>
      <c r="G291" s="29">
        <v>44.5</v>
      </c>
      <c r="H291" s="28" t="s">
        <v>2009</v>
      </c>
      <c r="I291" s="27" t="s">
        <v>4</v>
      </c>
      <c r="J291" s="31" t="s">
        <v>52</v>
      </c>
      <c r="K291" s="27" t="s">
        <v>53</v>
      </c>
      <c r="L291" s="27" t="s">
        <v>54</v>
      </c>
      <c r="M291" s="32"/>
    </row>
    <row r="292" spans="1:13" ht="15.2" customHeight="1" x14ac:dyDescent="0.2">
      <c r="A292" s="26" t="s">
        <v>4055</v>
      </c>
      <c r="B292" s="27" t="s">
        <v>4056</v>
      </c>
      <c r="C292" s="28">
        <v>1</v>
      </c>
      <c r="D292" s="29">
        <v>16.23</v>
      </c>
      <c r="E292" s="29">
        <v>16.23</v>
      </c>
      <c r="F292" s="30">
        <v>44.5</v>
      </c>
      <c r="G292" s="29">
        <v>44.5</v>
      </c>
      <c r="H292" s="28" t="s">
        <v>3550</v>
      </c>
      <c r="I292" s="27" t="s">
        <v>22</v>
      </c>
      <c r="J292" s="31" t="s">
        <v>214</v>
      </c>
      <c r="K292" s="27" t="s">
        <v>41</v>
      </c>
      <c r="L292" s="27" t="s">
        <v>45</v>
      </c>
      <c r="M292" s="32"/>
    </row>
    <row r="293" spans="1:13" ht="15.2" customHeight="1" x14ac:dyDescent="0.2">
      <c r="A293" s="26" t="s">
        <v>4057</v>
      </c>
      <c r="B293" s="27" t="s">
        <v>2011</v>
      </c>
      <c r="C293" s="28">
        <v>1</v>
      </c>
      <c r="D293" s="29">
        <v>15.8</v>
      </c>
      <c r="E293" s="29">
        <v>15.8</v>
      </c>
      <c r="F293" s="30">
        <v>39.5</v>
      </c>
      <c r="G293" s="29">
        <v>39.5</v>
      </c>
      <c r="H293" s="28" t="s">
        <v>2012</v>
      </c>
      <c r="I293" s="27" t="s">
        <v>144</v>
      </c>
      <c r="J293" s="31" t="s">
        <v>5</v>
      </c>
      <c r="K293" s="27" t="s">
        <v>27</v>
      </c>
      <c r="L293" s="27" t="s">
        <v>28</v>
      </c>
      <c r="M293" s="32"/>
    </row>
    <row r="294" spans="1:13" ht="15.2" customHeight="1" x14ac:dyDescent="0.2">
      <c r="A294" s="26" t="s">
        <v>4058</v>
      </c>
      <c r="B294" s="27" t="s">
        <v>4059</v>
      </c>
      <c r="C294" s="28">
        <v>1</v>
      </c>
      <c r="D294" s="29">
        <v>15.75</v>
      </c>
      <c r="E294" s="29">
        <v>15.75</v>
      </c>
      <c r="F294" s="30">
        <v>49</v>
      </c>
      <c r="G294" s="29">
        <v>49</v>
      </c>
      <c r="H294" s="28" t="s">
        <v>4060</v>
      </c>
      <c r="I294" s="27"/>
      <c r="J294" s="31" t="s">
        <v>52</v>
      </c>
      <c r="K294" s="27" t="s">
        <v>37</v>
      </c>
      <c r="L294" s="27" t="s">
        <v>38</v>
      </c>
      <c r="M294" s="32"/>
    </row>
    <row r="295" spans="1:13" ht="15.2" customHeight="1" x14ac:dyDescent="0.2">
      <c r="A295" s="26" t="s">
        <v>2741</v>
      </c>
      <c r="B295" s="27" t="s">
        <v>2742</v>
      </c>
      <c r="C295" s="28">
        <v>1</v>
      </c>
      <c r="D295" s="29">
        <v>15.25</v>
      </c>
      <c r="E295" s="29">
        <v>15.25</v>
      </c>
      <c r="F295" s="30">
        <v>44</v>
      </c>
      <c r="G295" s="29">
        <v>44</v>
      </c>
      <c r="H295" s="28" t="s">
        <v>2743</v>
      </c>
      <c r="I295" s="27" t="s">
        <v>36</v>
      </c>
      <c r="J295" s="31" t="s">
        <v>21</v>
      </c>
      <c r="K295" s="27" t="s">
        <v>37</v>
      </c>
      <c r="L295" s="27" t="s">
        <v>38</v>
      </c>
      <c r="M295" s="32"/>
    </row>
    <row r="296" spans="1:13" ht="15.2" customHeight="1" x14ac:dyDescent="0.2">
      <c r="A296" s="26" t="s">
        <v>4061</v>
      </c>
      <c r="B296" s="27" t="s">
        <v>3555</v>
      </c>
      <c r="C296" s="28">
        <v>1</v>
      </c>
      <c r="D296" s="29">
        <v>15.25</v>
      </c>
      <c r="E296" s="29">
        <v>15.25</v>
      </c>
      <c r="F296" s="30">
        <v>44</v>
      </c>
      <c r="G296" s="29">
        <v>44</v>
      </c>
      <c r="H296" s="28" t="s">
        <v>2743</v>
      </c>
      <c r="I296" s="27" t="s">
        <v>75</v>
      </c>
      <c r="J296" s="31" t="s">
        <v>40</v>
      </c>
      <c r="K296" s="27" t="s">
        <v>37</v>
      </c>
      <c r="L296" s="27" t="s">
        <v>38</v>
      </c>
      <c r="M296" s="32"/>
    </row>
    <row r="297" spans="1:13" ht="15.2" customHeight="1" x14ac:dyDescent="0.2">
      <c r="A297" s="26" t="s">
        <v>4062</v>
      </c>
      <c r="B297" s="27" t="s">
        <v>4063</v>
      </c>
      <c r="C297" s="28">
        <v>1</v>
      </c>
      <c r="D297" s="29">
        <v>15.25</v>
      </c>
      <c r="E297" s="29">
        <v>15.25</v>
      </c>
      <c r="F297" s="30">
        <v>44</v>
      </c>
      <c r="G297" s="29">
        <v>44</v>
      </c>
      <c r="H297" s="28" t="s">
        <v>2743</v>
      </c>
      <c r="I297" s="27" t="s">
        <v>36</v>
      </c>
      <c r="J297" s="31" t="s">
        <v>40</v>
      </c>
      <c r="K297" s="27" t="s">
        <v>37</v>
      </c>
      <c r="L297" s="27" t="s">
        <v>38</v>
      </c>
      <c r="M297" s="32"/>
    </row>
    <row r="298" spans="1:13" ht="15.2" customHeight="1" x14ac:dyDescent="0.2">
      <c r="A298" s="26" t="s">
        <v>4064</v>
      </c>
      <c r="B298" s="27" t="s">
        <v>1629</v>
      </c>
      <c r="C298" s="28">
        <v>1</v>
      </c>
      <c r="D298" s="29">
        <v>15.15</v>
      </c>
      <c r="E298" s="29">
        <v>15.15</v>
      </c>
      <c r="F298" s="30">
        <v>44.5</v>
      </c>
      <c r="G298" s="29">
        <v>44.5</v>
      </c>
      <c r="H298" s="28" t="s">
        <v>1630</v>
      </c>
      <c r="I298" s="27" t="s">
        <v>4</v>
      </c>
      <c r="J298" s="31" t="s">
        <v>205</v>
      </c>
      <c r="K298" s="27" t="s">
        <v>41</v>
      </c>
      <c r="L298" s="27" t="s">
        <v>45</v>
      </c>
      <c r="M298" s="32"/>
    </row>
    <row r="299" spans="1:13" ht="15.2" customHeight="1" x14ac:dyDescent="0.2">
      <c r="A299" s="26" t="s">
        <v>1635</v>
      </c>
      <c r="B299" s="27" t="s">
        <v>1636</v>
      </c>
      <c r="C299" s="28">
        <v>1</v>
      </c>
      <c r="D299" s="29">
        <v>15</v>
      </c>
      <c r="E299" s="29">
        <v>15</v>
      </c>
      <c r="F299" s="30">
        <v>34.99</v>
      </c>
      <c r="G299" s="29">
        <v>34.99</v>
      </c>
      <c r="H299" s="28" t="s">
        <v>1637</v>
      </c>
      <c r="I299" s="27" t="s">
        <v>82</v>
      </c>
      <c r="J299" s="31" t="s">
        <v>5</v>
      </c>
      <c r="K299" s="27" t="s">
        <v>70</v>
      </c>
      <c r="L299" s="27" t="s">
        <v>1079</v>
      </c>
      <c r="M299" s="32"/>
    </row>
    <row r="300" spans="1:13" ht="15.2" customHeight="1" x14ac:dyDescent="0.2">
      <c r="A300" s="26" t="s">
        <v>4065</v>
      </c>
      <c r="B300" s="27" t="s">
        <v>4066</v>
      </c>
      <c r="C300" s="28">
        <v>1</v>
      </c>
      <c r="D300" s="29">
        <v>14.65</v>
      </c>
      <c r="E300" s="29">
        <v>14.65</v>
      </c>
      <c r="F300" s="30">
        <v>34.99</v>
      </c>
      <c r="G300" s="29">
        <v>34.99</v>
      </c>
      <c r="H300" s="28" t="s">
        <v>4067</v>
      </c>
      <c r="I300" s="27" t="s">
        <v>333</v>
      </c>
      <c r="J300" s="31" t="s">
        <v>40</v>
      </c>
      <c r="K300" s="27" t="s">
        <v>159</v>
      </c>
      <c r="L300" s="27" t="s">
        <v>160</v>
      </c>
      <c r="M300" s="32"/>
    </row>
    <row r="301" spans="1:13" ht="15.2" customHeight="1" x14ac:dyDescent="0.2">
      <c r="A301" s="26" t="s">
        <v>4068</v>
      </c>
      <c r="B301" s="27" t="s">
        <v>4069</v>
      </c>
      <c r="C301" s="28">
        <v>1</v>
      </c>
      <c r="D301" s="29">
        <v>14.5</v>
      </c>
      <c r="E301" s="29">
        <v>14.5</v>
      </c>
      <c r="F301" s="30">
        <v>39.5</v>
      </c>
      <c r="G301" s="29">
        <v>39.5</v>
      </c>
      <c r="H301" s="28" t="s">
        <v>524</v>
      </c>
      <c r="I301" s="27" t="s">
        <v>4</v>
      </c>
      <c r="J301" s="31" t="s">
        <v>65</v>
      </c>
      <c r="K301" s="27" t="s">
        <v>53</v>
      </c>
      <c r="L301" s="27" t="s">
        <v>54</v>
      </c>
      <c r="M301" s="32"/>
    </row>
    <row r="302" spans="1:13" ht="15.2" customHeight="1" x14ac:dyDescent="0.2">
      <c r="A302" s="26" t="s">
        <v>2454</v>
      </c>
      <c r="B302" s="27" t="s">
        <v>2455</v>
      </c>
      <c r="C302" s="28">
        <v>1</v>
      </c>
      <c r="D302" s="29">
        <v>14.5</v>
      </c>
      <c r="E302" s="29">
        <v>14.5</v>
      </c>
      <c r="F302" s="30">
        <v>39.5</v>
      </c>
      <c r="G302" s="29">
        <v>39.5</v>
      </c>
      <c r="H302" s="28" t="s">
        <v>2456</v>
      </c>
      <c r="I302" s="27" t="s">
        <v>82</v>
      </c>
      <c r="J302" s="31" t="s">
        <v>40</v>
      </c>
      <c r="K302" s="27" t="s">
        <v>41</v>
      </c>
      <c r="L302" s="27" t="s">
        <v>45</v>
      </c>
      <c r="M302" s="32"/>
    </row>
    <row r="303" spans="1:13" ht="15.2" customHeight="1" x14ac:dyDescent="0.2">
      <c r="A303" s="26" t="s">
        <v>4070</v>
      </c>
      <c r="B303" s="27" t="s">
        <v>4071</v>
      </c>
      <c r="C303" s="28">
        <v>1</v>
      </c>
      <c r="D303" s="29">
        <v>14.45</v>
      </c>
      <c r="E303" s="29">
        <v>14.45</v>
      </c>
      <c r="F303" s="30">
        <v>39.5</v>
      </c>
      <c r="G303" s="29">
        <v>39.5</v>
      </c>
      <c r="H303" s="28" t="s">
        <v>2457</v>
      </c>
      <c r="I303" s="27" t="s">
        <v>291</v>
      </c>
      <c r="J303" s="31" t="s">
        <v>52</v>
      </c>
      <c r="K303" s="27" t="s">
        <v>53</v>
      </c>
      <c r="L303" s="27" t="s">
        <v>54</v>
      </c>
      <c r="M303" s="32"/>
    </row>
    <row r="304" spans="1:13" ht="15.2" customHeight="1" x14ac:dyDescent="0.2">
      <c r="A304" s="26" t="s">
        <v>4072</v>
      </c>
      <c r="B304" s="27" t="s">
        <v>539</v>
      </c>
      <c r="C304" s="28">
        <v>1</v>
      </c>
      <c r="D304" s="29">
        <v>14.42</v>
      </c>
      <c r="E304" s="29">
        <v>14.42</v>
      </c>
      <c r="F304" s="30">
        <v>39.5</v>
      </c>
      <c r="G304" s="29">
        <v>39.5</v>
      </c>
      <c r="H304" s="28" t="s">
        <v>540</v>
      </c>
      <c r="I304" s="27" t="s">
        <v>1</v>
      </c>
      <c r="J304" s="31" t="s">
        <v>71</v>
      </c>
      <c r="K304" s="27" t="s">
        <v>41</v>
      </c>
      <c r="L304" s="27" t="s">
        <v>80</v>
      </c>
      <c r="M304" s="32"/>
    </row>
    <row r="305" spans="1:13" ht="15.2" customHeight="1" x14ac:dyDescent="0.2">
      <c r="A305" s="26" t="s">
        <v>4073</v>
      </c>
      <c r="B305" s="27" t="s">
        <v>534</v>
      </c>
      <c r="C305" s="28">
        <v>2</v>
      </c>
      <c r="D305" s="29">
        <v>14.42</v>
      </c>
      <c r="E305" s="29">
        <v>28.84</v>
      </c>
      <c r="F305" s="30">
        <v>39.5</v>
      </c>
      <c r="G305" s="29">
        <v>79</v>
      </c>
      <c r="H305" s="28" t="s">
        <v>535</v>
      </c>
      <c r="I305" s="27" t="s">
        <v>94</v>
      </c>
      <c r="J305" s="31" t="s">
        <v>5</v>
      </c>
      <c r="K305" s="27" t="s">
        <v>41</v>
      </c>
      <c r="L305" s="27" t="s">
        <v>45</v>
      </c>
      <c r="M305" s="32"/>
    </row>
    <row r="306" spans="1:13" ht="15.2" customHeight="1" x14ac:dyDescent="0.2">
      <c r="A306" s="26" t="s">
        <v>2017</v>
      </c>
      <c r="B306" s="27" t="s">
        <v>528</v>
      </c>
      <c r="C306" s="28">
        <v>1</v>
      </c>
      <c r="D306" s="29">
        <v>14.42</v>
      </c>
      <c r="E306" s="29">
        <v>14.42</v>
      </c>
      <c r="F306" s="30">
        <v>39.5</v>
      </c>
      <c r="G306" s="29">
        <v>39.5</v>
      </c>
      <c r="H306" s="28" t="s">
        <v>529</v>
      </c>
      <c r="I306" s="27" t="s">
        <v>22</v>
      </c>
      <c r="J306" s="31" t="s">
        <v>5</v>
      </c>
      <c r="K306" s="27" t="s">
        <v>41</v>
      </c>
      <c r="L306" s="27" t="s">
        <v>45</v>
      </c>
      <c r="M306" s="32"/>
    </row>
    <row r="307" spans="1:13" ht="15.2" customHeight="1" x14ac:dyDescent="0.2">
      <c r="A307" s="26" t="s">
        <v>4074</v>
      </c>
      <c r="B307" s="27" t="s">
        <v>534</v>
      </c>
      <c r="C307" s="28">
        <v>2</v>
      </c>
      <c r="D307" s="29">
        <v>14.42</v>
      </c>
      <c r="E307" s="29">
        <v>28.84</v>
      </c>
      <c r="F307" s="30">
        <v>39.5</v>
      </c>
      <c r="G307" s="29">
        <v>79</v>
      </c>
      <c r="H307" s="28" t="s">
        <v>535</v>
      </c>
      <c r="I307" s="27" t="s">
        <v>103</v>
      </c>
      <c r="J307" s="31" t="s">
        <v>5</v>
      </c>
      <c r="K307" s="27" t="s">
        <v>41</v>
      </c>
      <c r="L307" s="27" t="s">
        <v>45</v>
      </c>
      <c r="M307" s="32"/>
    </row>
    <row r="308" spans="1:13" ht="15.2" customHeight="1" x14ac:dyDescent="0.2">
      <c r="A308" s="26" t="s">
        <v>538</v>
      </c>
      <c r="B308" s="27" t="s">
        <v>539</v>
      </c>
      <c r="C308" s="28">
        <v>1</v>
      </c>
      <c r="D308" s="29">
        <v>14.42</v>
      </c>
      <c r="E308" s="29">
        <v>14.42</v>
      </c>
      <c r="F308" s="30">
        <v>39.5</v>
      </c>
      <c r="G308" s="29">
        <v>39.5</v>
      </c>
      <c r="H308" s="28" t="s">
        <v>540</v>
      </c>
      <c r="I308" s="27" t="s">
        <v>1</v>
      </c>
      <c r="J308" s="31" t="s">
        <v>52</v>
      </c>
      <c r="K308" s="27" t="s">
        <v>41</v>
      </c>
      <c r="L308" s="27" t="s">
        <v>80</v>
      </c>
      <c r="M308" s="32"/>
    </row>
    <row r="309" spans="1:13" ht="15.2" customHeight="1" x14ac:dyDescent="0.2">
      <c r="A309" s="26" t="s">
        <v>2460</v>
      </c>
      <c r="B309" s="27" t="s">
        <v>528</v>
      </c>
      <c r="C309" s="28">
        <v>2</v>
      </c>
      <c r="D309" s="29">
        <v>14.42</v>
      </c>
      <c r="E309" s="29">
        <v>28.84</v>
      </c>
      <c r="F309" s="30">
        <v>39.5</v>
      </c>
      <c r="G309" s="29">
        <v>79</v>
      </c>
      <c r="H309" s="28" t="s">
        <v>529</v>
      </c>
      <c r="I309" s="27" t="s">
        <v>103</v>
      </c>
      <c r="J309" s="31" t="s">
        <v>5</v>
      </c>
      <c r="K309" s="27" t="s">
        <v>41</v>
      </c>
      <c r="L309" s="27" t="s">
        <v>45</v>
      </c>
      <c r="M309" s="32"/>
    </row>
    <row r="310" spans="1:13" ht="15.2" customHeight="1" x14ac:dyDescent="0.2">
      <c r="A310" s="26" t="s">
        <v>4075</v>
      </c>
      <c r="B310" s="27" t="s">
        <v>534</v>
      </c>
      <c r="C310" s="28">
        <v>1</v>
      </c>
      <c r="D310" s="29">
        <v>14.42</v>
      </c>
      <c r="E310" s="29">
        <v>14.42</v>
      </c>
      <c r="F310" s="30">
        <v>39.5</v>
      </c>
      <c r="G310" s="29">
        <v>39.5</v>
      </c>
      <c r="H310" s="28" t="s">
        <v>535</v>
      </c>
      <c r="I310" s="27" t="s">
        <v>33</v>
      </c>
      <c r="J310" s="31" t="s">
        <v>40</v>
      </c>
      <c r="K310" s="27" t="s">
        <v>41</v>
      </c>
      <c r="L310" s="27" t="s">
        <v>45</v>
      </c>
      <c r="M310" s="32"/>
    </row>
    <row r="311" spans="1:13" ht="15.2" customHeight="1" x14ac:dyDescent="0.2">
      <c r="A311" s="26" t="s">
        <v>536</v>
      </c>
      <c r="B311" s="27" t="s">
        <v>537</v>
      </c>
      <c r="C311" s="28">
        <v>1</v>
      </c>
      <c r="D311" s="29">
        <v>14.42</v>
      </c>
      <c r="E311" s="29">
        <v>14.42</v>
      </c>
      <c r="F311" s="30">
        <v>39.5</v>
      </c>
      <c r="G311" s="29">
        <v>39.5</v>
      </c>
      <c r="H311" s="28" t="s">
        <v>532</v>
      </c>
      <c r="I311" s="27" t="s">
        <v>49</v>
      </c>
      <c r="J311" s="31" t="s">
        <v>52</v>
      </c>
      <c r="K311" s="27" t="s">
        <v>41</v>
      </c>
      <c r="L311" s="27" t="s">
        <v>45</v>
      </c>
      <c r="M311" s="32"/>
    </row>
    <row r="312" spans="1:13" ht="15.2" customHeight="1" x14ac:dyDescent="0.2">
      <c r="A312" s="26" t="s">
        <v>4076</v>
      </c>
      <c r="B312" s="27" t="s">
        <v>528</v>
      </c>
      <c r="C312" s="28">
        <v>1</v>
      </c>
      <c r="D312" s="29">
        <v>14.42</v>
      </c>
      <c r="E312" s="29">
        <v>14.42</v>
      </c>
      <c r="F312" s="30">
        <v>39.5</v>
      </c>
      <c r="G312" s="29">
        <v>39.5</v>
      </c>
      <c r="H312" s="28" t="s">
        <v>529</v>
      </c>
      <c r="I312" s="27" t="s">
        <v>22</v>
      </c>
      <c r="J312" s="31" t="s">
        <v>71</v>
      </c>
      <c r="K312" s="27" t="s">
        <v>41</v>
      </c>
      <c r="L312" s="27" t="s">
        <v>45</v>
      </c>
      <c r="M312" s="32"/>
    </row>
    <row r="313" spans="1:13" ht="15.2" customHeight="1" x14ac:dyDescent="0.2">
      <c r="A313" s="26" t="s">
        <v>542</v>
      </c>
      <c r="B313" s="27" t="s">
        <v>543</v>
      </c>
      <c r="C313" s="28">
        <v>1</v>
      </c>
      <c r="D313" s="29">
        <v>14.42</v>
      </c>
      <c r="E313" s="29">
        <v>14.42</v>
      </c>
      <c r="F313" s="30">
        <v>39.5</v>
      </c>
      <c r="G313" s="29">
        <v>39.5</v>
      </c>
      <c r="H313" s="28" t="s">
        <v>532</v>
      </c>
      <c r="I313" s="27" t="s">
        <v>49</v>
      </c>
      <c r="J313" s="31" t="s">
        <v>5</v>
      </c>
      <c r="K313" s="27" t="s">
        <v>41</v>
      </c>
      <c r="L313" s="27" t="s">
        <v>45</v>
      </c>
      <c r="M313" s="32"/>
    </row>
    <row r="314" spans="1:13" ht="15.2" customHeight="1" x14ac:dyDescent="0.2">
      <c r="A314" s="26" t="s">
        <v>1641</v>
      </c>
      <c r="B314" s="27" t="s">
        <v>528</v>
      </c>
      <c r="C314" s="28">
        <v>1</v>
      </c>
      <c r="D314" s="29">
        <v>14.42</v>
      </c>
      <c r="E314" s="29">
        <v>14.42</v>
      </c>
      <c r="F314" s="30">
        <v>39.5</v>
      </c>
      <c r="G314" s="29">
        <v>39.5</v>
      </c>
      <c r="H314" s="28" t="s">
        <v>529</v>
      </c>
      <c r="I314" s="27" t="s">
        <v>280</v>
      </c>
      <c r="J314" s="31" t="s">
        <v>5</v>
      </c>
      <c r="K314" s="27" t="s">
        <v>41</v>
      </c>
      <c r="L314" s="27" t="s">
        <v>45</v>
      </c>
      <c r="M314" s="32"/>
    </row>
    <row r="315" spans="1:13" ht="15.2" customHeight="1" x14ac:dyDescent="0.2">
      <c r="A315" s="26" t="s">
        <v>4077</v>
      </c>
      <c r="B315" s="27" t="s">
        <v>4078</v>
      </c>
      <c r="C315" s="28">
        <v>1</v>
      </c>
      <c r="D315" s="29">
        <v>14.42</v>
      </c>
      <c r="E315" s="29">
        <v>14.42</v>
      </c>
      <c r="F315" s="30">
        <v>39.5</v>
      </c>
      <c r="G315" s="29">
        <v>39.5</v>
      </c>
      <c r="H315" s="28" t="s">
        <v>4079</v>
      </c>
      <c r="I315" s="27" t="s">
        <v>1103</v>
      </c>
      <c r="J315" s="31" t="s">
        <v>40</v>
      </c>
      <c r="K315" s="27" t="s">
        <v>41</v>
      </c>
      <c r="L315" s="27" t="s">
        <v>45</v>
      </c>
      <c r="M315" s="32"/>
    </row>
    <row r="316" spans="1:13" ht="15.2" customHeight="1" x14ac:dyDescent="0.2">
      <c r="A316" s="26" t="s">
        <v>530</v>
      </c>
      <c r="B316" s="27" t="s">
        <v>531</v>
      </c>
      <c r="C316" s="28">
        <v>1</v>
      </c>
      <c r="D316" s="29">
        <v>14.42</v>
      </c>
      <c r="E316" s="29">
        <v>14.42</v>
      </c>
      <c r="F316" s="30">
        <v>39.5</v>
      </c>
      <c r="G316" s="29">
        <v>39.5</v>
      </c>
      <c r="H316" s="28" t="s">
        <v>532</v>
      </c>
      <c r="I316" s="27" t="s">
        <v>49</v>
      </c>
      <c r="J316" s="31" t="s">
        <v>21</v>
      </c>
      <c r="K316" s="27" t="s">
        <v>41</v>
      </c>
      <c r="L316" s="27" t="s">
        <v>45</v>
      </c>
      <c r="M316" s="32"/>
    </row>
    <row r="317" spans="1:13" ht="15.2" customHeight="1" x14ac:dyDescent="0.2">
      <c r="A317" s="26" t="s">
        <v>4080</v>
      </c>
      <c r="B317" s="27" t="s">
        <v>549</v>
      </c>
      <c r="C317" s="28">
        <v>1</v>
      </c>
      <c r="D317" s="29">
        <v>14.4</v>
      </c>
      <c r="E317" s="29">
        <v>14.4</v>
      </c>
      <c r="F317" s="30">
        <v>39.5</v>
      </c>
      <c r="G317" s="29">
        <v>39.5</v>
      </c>
      <c r="H317" s="28" t="s">
        <v>550</v>
      </c>
      <c r="I317" s="27" t="s">
        <v>4</v>
      </c>
      <c r="J317" s="31" t="s">
        <v>52</v>
      </c>
      <c r="K317" s="27" t="s">
        <v>41</v>
      </c>
      <c r="L317" s="27" t="s">
        <v>45</v>
      </c>
      <c r="M317" s="32"/>
    </row>
    <row r="318" spans="1:13" ht="15.2" customHeight="1" x14ac:dyDescent="0.2">
      <c r="A318" s="26" t="s">
        <v>4081</v>
      </c>
      <c r="B318" s="27" t="s">
        <v>4082</v>
      </c>
      <c r="C318" s="28">
        <v>1</v>
      </c>
      <c r="D318" s="29">
        <v>13.5</v>
      </c>
      <c r="E318" s="29">
        <v>13.5</v>
      </c>
      <c r="F318" s="30">
        <v>39</v>
      </c>
      <c r="G318" s="29">
        <v>39</v>
      </c>
      <c r="H318" s="28" t="s">
        <v>4083</v>
      </c>
      <c r="I318" s="27" t="s">
        <v>271</v>
      </c>
      <c r="J318" s="31" t="s">
        <v>65</v>
      </c>
      <c r="K318" s="27" t="s">
        <v>154</v>
      </c>
      <c r="L318" s="27" t="s">
        <v>155</v>
      </c>
      <c r="M318" s="32"/>
    </row>
    <row r="319" spans="1:13" ht="15.2" customHeight="1" x14ac:dyDescent="0.2">
      <c r="A319" s="26" t="s">
        <v>4084</v>
      </c>
      <c r="B319" s="27" t="s">
        <v>2469</v>
      </c>
      <c r="C319" s="28">
        <v>2</v>
      </c>
      <c r="D319" s="29">
        <v>12.5</v>
      </c>
      <c r="E319" s="29">
        <v>25</v>
      </c>
      <c r="F319" s="30">
        <v>49</v>
      </c>
      <c r="G319" s="29">
        <v>98</v>
      </c>
      <c r="H319" s="28" t="s">
        <v>2470</v>
      </c>
      <c r="I319" s="27" t="s">
        <v>26</v>
      </c>
      <c r="J319" s="31" t="s">
        <v>65</v>
      </c>
      <c r="K319" s="27" t="s">
        <v>154</v>
      </c>
      <c r="L319" s="27" t="s">
        <v>155</v>
      </c>
      <c r="M319" s="32"/>
    </row>
    <row r="320" spans="1:13" ht="15.2" customHeight="1" x14ac:dyDescent="0.2">
      <c r="A320" s="26" t="s">
        <v>4085</v>
      </c>
      <c r="B320" s="27" t="s">
        <v>4086</v>
      </c>
      <c r="C320" s="28">
        <v>1</v>
      </c>
      <c r="D320" s="29">
        <v>12.5</v>
      </c>
      <c r="E320" s="29">
        <v>12.5</v>
      </c>
      <c r="F320" s="30">
        <v>34.99</v>
      </c>
      <c r="G320" s="29">
        <v>34.99</v>
      </c>
      <c r="H320" s="28" t="s">
        <v>4087</v>
      </c>
      <c r="I320" s="27" t="s">
        <v>4</v>
      </c>
      <c r="J320" s="31" t="s">
        <v>69</v>
      </c>
      <c r="K320" s="27" t="s">
        <v>200</v>
      </c>
      <c r="L320" s="27" t="s">
        <v>287</v>
      </c>
      <c r="M320" s="32"/>
    </row>
    <row r="321" spans="1:13" ht="15.2" customHeight="1" x14ac:dyDescent="0.2">
      <c r="A321" s="26" t="s">
        <v>4088</v>
      </c>
      <c r="B321" s="27" t="s">
        <v>4089</v>
      </c>
      <c r="C321" s="28">
        <v>1</v>
      </c>
      <c r="D321" s="29">
        <v>12.4</v>
      </c>
      <c r="E321" s="29">
        <v>12.4</v>
      </c>
      <c r="F321" s="30">
        <v>27.99</v>
      </c>
      <c r="G321" s="29">
        <v>27.99</v>
      </c>
      <c r="H321" s="28" t="s">
        <v>2754</v>
      </c>
      <c r="I321" s="27" t="s">
        <v>33</v>
      </c>
      <c r="J321" s="31" t="s">
        <v>52</v>
      </c>
      <c r="K321" s="27" t="s">
        <v>208</v>
      </c>
      <c r="L321" s="27" t="s">
        <v>197</v>
      </c>
      <c r="M321" s="32"/>
    </row>
    <row r="322" spans="1:13" ht="15.2" customHeight="1" x14ac:dyDescent="0.2">
      <c r="A322" s="26" t="s">
        <v>2471</v>
      </c>
      <c r="B322" s="27" t="s">
        <v>2472</v>
      </c>
      <c r="C322" s="28">
        <v>1</v>
      </c>
      <c r="D322" s="29">
        <v>12.08</v>
      </c>
      <c r="E322" s="29">
        <v>12.08</v>
      </c>
      <c r="F322" s="30">
        <v>27.99</v>
      </c>
      <c r="G322" s="29">
        <v>27.99</v>
      </c>
      <c r="H322" s="28" t="s">
        <v>558</v>
      </c>
      <c r="I322" s="27" t="s">
        <v>4</v>
      </c>
      <c r="J322" s="31" t="s">
        <v>5</v>
      </c>
      <c r="K322" s="27" t="s">
        <v>224</v>
      </c>
      <c r="L322" s="27" t="s">
        <v>237</v>
      </c>
      <c r="M322" s="32"/>
    </row>
    <row r="323" spans="1:13" ht="15.2" customHeight="1" x14ac:dyDescent="0.2">
      <c r="A323" s="26" t="s">
        <v>556</v>
      </c>
      <c r="B323" s="27" t="s">
        <v>557</v>
      </c>
      <c r="C323" s="28">
        <v>1</v>
      </c>
      <c r="D323" s="29">
        <v>12.08</v>
      </c>
      <c r="E323" s="29">
        <v>12.08</v>
      </c>
      <c r="F323" s="30">
        <v>27.99</v>
      </c>
      <c r="G323" s="29">
        <v>27.99</v>
      </c>
      <c r="H323" s="28" t="s">
        <v>558</v>
      </c>
      <c r="I323" s="27" t="s">
        <v>4</v>
      </c>
      <c r="J323" s="31" t="s">
        <v>52</v>
      </c>
      <c r="K323" s="27" t="s">
        <v>224</v>
      </c>
      <c r="L323" s="27" t="s">
        <v>237</v>
      </c>
      <c r="M323" s="32"/>
    </row>
    <row r="324" spans="1:13" ht="15.2" customHeight="1" x14ac:dyDescent="0.2">
      <c r="A324" s="26" t="s">
        <v>1025</v>
      </c>
      <c r="B324" s="27" t="s">
        <v>1026</v>
      </c>
      <c r="C324" s="28">
        <v>1</v>
      </c>
      <c r="D324" s="29">
        <v>12</v>
      </c>
      <c r="E324" s="29">
        <v>12</v>
      </c>
      <c r="F324" s="30">
        <v>39</v>
      </c>
      <c r="G324" s="29">
        <v>39</v>
      </c>
      <c r="H324" s="28">
        <v>90302</v>
      </c>
      <c r="I324" s="27" t="s">
        <v>4</v>
      </c>
      <c r="J324" s="31" t="s">
        <v>5</v>
      </c>
      <c r="K324" s="27" t="s">
        <v>154</v>
      </c>
      <c r="L324" s="27" t="s">
        <v>155</v>
      </c>
      <c r="M324" s="32"/>
    </row>
    <row r="325" spans="1:13" ht="15.2" customHeight="1" x14ac:dyDescent="0.2">
      <c r="A325" s="26" t="s">
        <v>3585</v>
      </c>
      <c r="B325" s="27" t="s">
        <v>3586</v>
      </c>
      <c r="C325" s="28">
        <v>1</v>
      </c>
      <c r="D325" s="29">
        <v>12</v>
      </c>
      <c r="E325" s="29">
        <v>12</v>
      </c>
      <c r="F325" s="30">
        <v>39</v>
      </c>
      <c r="G325" s="29">
        <v>39</v>
      </c>
      <c r="H325" s="28" t="s">
        <v>3587</v>
      </c>
      <c r="I325" s="27" t="s">
        <v>82</v>
      </c>
      <c r="J325" s="31" t="s">
        <v>5</v>
      </c>
      <c r="K325" s="27" t="s">
        <v>154</v>
      </c>
      <c r="L325" s="27" t="s">
        <v>155</v>
      </c>
      <c r="M325" s="32"/>
    </row>
    <row r="326" spans="1:13" ht="15.2" customHeight="1" x14ac:dyDescent="0.2">
      <c r="A326" s="26" t="s">
        <v>4090</v>
      </c>
      <c r="B326" s="27" t="s">
        <v>2762</v>
      </c>
      <c r="C326" s="28">
        <v>1</v>
      </c>
      <c r="D326" s="29">
        <v>11.5</v>
      </c>
      <c r="E326" s="29">
        <v>11.5</v>
      </c>
      <c r="F326" s="30">
        <v>39</v>
      </c>
      <c r="G326" s="29">
        <v>39</v>
      </c>
      <c r="H326" s="28" t="s">
        <v>2763</v>
      </c>
      <c r="I326" s="27" t="s">
        <v>4</v>
      </c>
      <c r="J326" s="31" t="s">
        <v>5</v>
      </c>
      <c r="K326" s="27" t="s">
        <v>154</v>
      </c>
      <c r="L326" s="27" t="s">
        <v>155</v>
      </c>
      <c r="M326" s="32"/>
    </row>
    <row r="327" spans="1:13" ht="15.2" customHeight="1" x14ac:dyDescent="0.2">
      <c r="A327" s="26" t="s">
        <v>4091</v>
      </c>
      <c r="B327" s="27" t="s">
        <v>2762</v>
      </c>
      <c r="C327" s="28">
        <v>1</v>
      </c>
      <c r="D327" s="29">
        <v>11.5</v>
      </c>
      <c r="E327" s="29">
        <v>11.5</v>
      </c>
      <c r="F327" s="30">
        <v>39</v>
      </c>
      <c r="G327" s="29">
        <v>39</v>
      </c>
      <c r="H327" s="28" t="s">
        <v>2763</v>
      </c>
      <c r="I327" s="27" t="s">
        <v>4</v>
      </c>
      <c r="J327" s="31" t="s">
        <v>21</v>
      </c>
      <c r="K327" s="27" t="s">
        <v>154</v>
      </c>
      <c r="L327" s="27" t="s">
        <v>155</v>
      </c>
      <c r="M327" s="32"/>
    </row>
    <row r="328" spans="1:13" ht="15.2" customHeight="1" x14ac:dyDescent="0.2">
      <c r="A328" s="26" t="s">
        <v>4092</v>
      </c>
      <c r="B328" s="27" t="s">
        <v>4093</v>
      </c>
      <c r="C328" s="28">
        <v>1</v>
      </c>
      <c r="D328" s="29">
        <v>11.5</v>
      </c>
      <c r="E328" s="29">
        <v>11.5</v>
      </c>
      <c r="F328" s="30">
        <v>59</v>
      </c>
      <c r="G328" s="29">
        <v>59</v>
      </c>
      <c r="H328" s="28" t="s">
        <v>4094</v>
      </c>
      <c r="I328" s="27" t="s">
        <v>36</v>
      </c>
      <c r="J328" s="31" t="s">
        <v>32</v>
      </c>
      <c r="K328" s="27" t="s">
        <v>132</v>
      </c>
      <c r="L328" s="27" t="s">
        <v>493</v>
      </c>
      <c r="M328" s="32"/>
    </row>
    <row r="329" spans="1:13" ht="15.2" customHeight="1" x14ac:dyDescent="0.2">
      <c r="A329" s="26" t="s">
        <v>4095</v>
      </c>
      <c r="B329" s="27" t="s">
        <v>4096</v>
      </c>
      <c r="C329" s="28">
        <v>1</v>
      </c>
      <c r="D329" s="29">
        <v>11.5</v>
      </c>
      <c r="E329" s="29">
        <v>11.5</v>
      </c>
      <c r="F329" s="30">
        <v>25.99</v>
      </c>
      <c r="G329" s="29">
        <v>25.99</v>
      </c>
      <c r="H329" s="28" t="s">
        <v>229</v>
      </c>
      <c r="I329" s="27" t="s">
        <v>1311</v>
      </c>
      <c r="J329" s="31" t="s">
        <v>214</v>
      </c>
      <c r="K329" s="27" t="s">
        <v>200</v>
      </c>
      <c r="L329" s="27" t="s">
        <v>133</v>
      </c>
      <c r="M329" s="32"/>
    </row>
    <row r="330" spans="1:13" ht="15.2" customHeight="1" x14ac:dyDescent="0.2">
      <c r="A330" s="26" t="s">
        <v>4097</v>
      </c>
      <c r="B330" s="27" t="s">
        <v>4098</v>
      </c>
      <c r="C330" s="28">
        <v>1</v>
      </c>
      <c r="D330" s="29">
        <v>11.5</v>
      </c>
      <c r="E330" s="29">
        <v>11.5</v>
      </c>
      <c r="F330" s="30">
        <v>39</v>
      </c>
      <c r="G330" s="29">
        <v>39</v>
      </c>
      <c r="H330" s="28" t="s">
        <v>4099</v>
      </c>
      <c r="I330" s="27"/>
      <c r="J330" s="31" t="s">
        <v>71</v>
      </c>
      <c r="K330" s="27" t="s">
        <v>154</v>
      </c>
      <c r="L330" s="27" t="s">
        <v>155</v>
      </c>
      <c r="M330" s="32"/>
    </row>
    <row r="331" spans="1:13" ht="15.2" customHeight="1" x14ac:dyDescent="0.2">
      <c r="A331" s="26" t="s">
        <v>4100</v>
      </c>
      <c r="B331" s="27" t="s">
        <v>4101</v>
      </c>
      <c r="C331" s="28">
        <v>1</v>
      </c>
      <c r="D331" s="29">
        <v>11.34</v>
      </c>
      <c r="E331" s="29">
        <v>11.34</v>
      </c>
      <c r="F331" s="30">
        <v>39</v>
      </c>
      <c r="G331" s="29">
        <v>39</v>
      </c>
      <c r="H331" s="28" t="s">
        <v>2022</v>
      </c>
      <c r="I331" s="27" t="s">
        <v>20</v>
      </c>
      <c r="J331" s="31" t="s">
        <v>5</v>
      </c>
      <c r="K331" s="27" t="s">
        <v>510</v>
      </c>
      <c r="L331" s="27" t="s">
        <v>511</v>
      </c>
      <c r="M331" s="32"/>
    </row>
    <row r="332" spans="1:13" ht="15.2" customHeight="1" x14ac:dyDescent="0.2">
      <c r="A332" s="26" t="s">
        <v>4102</v>
      </c>
      <c r="B332" s="27" t="s">
        <v>4103</v>
      </c>
      <c r="C332" s="28">
        <v>1</v>
      </c>
      <c r="D332" s="29">
        <v>11.34</v>
      </c>
      <c r="E332" s="29">
        <v>11.34</v>
      </c>
      <c r="F332" s="30">
        <v>39</v>
      </c>
      <c r="G332" s="29">
        <v>39</v>
      </c>
      <c r="H332" s="28" t="s">
        <v>2022</v>
      </c>
      <c r="I332" s="27" t="s">
        <v>20</v>
      </c>
      <c r="J332" s="31" t="s">
        <v>40</v>
      </c>
      <c r="K332" s="27" t="s">
        <v>510</v>
      </c>
      <c r="L332" s="27" t="s">
        <v>511</v>
      </c>
      <c r="M332" s="32"/>
    </row>
    <row r="333" spans="1:13" ht="15.2" customHeight="1" x14ac:dyDescent="0.2">
      <c r="A333" s="26" t="s">
        <v>2479</v>
      </c>
      <c r="B333" s="27" t="s">
        <v>2480</v>
      </c>
      <c r="C333" s="28">
        <v>1</v>
      </c>
      <c r="D333" s="29">
        <v>11</v>
      </c>
      <c r="E333" s="29">
        <v>11</v>
      </c>
      <c r="F333" s="30">
        <v>27.99</v>
      </c>
      <c r="G333" s="29">
        <v>27.99</v>
      </c>
      <c r="H333" s="28" t="s">
        <v>562</v>
      </c>
      <c r="I333" s="27" t="s">
        <v>285</v>
      </c>
      <c r="J333" s="31" t="s">
        <v>5</v>
      </c>
      <c r="K333" s="27" t="s">
        <v>224</v>
      </c>
      <c r="L333" s="27" t="s">
        <v>563</v>
      </c>
      <c r="M333" s="32"/>
    </row>
    <row r="334" spans="1:13" ht="15.2" customHeight="1" x14ac:dyDescent="0.2">
      <c r="A334" s="26" t="s">
        <v>4104</v>
      </c>
      <c r="B334" s="27" t="s">
        <v>4105</v>
      </c>
      <c r="C334" s="28">
        <v>1</v>
      </c>
      <c r="D334" s="29">
        <v>11</v>
      </c>
      <c r="E334" s="29">
        <v>11</v>
      </c>
      <c r="F334" s="30">
        <v>27.99</v>
      </c>
      <c r="G334" s="29">
        <v>27.99</v>
      </c>
      <c r="H334" s="28" t="s">
        <v>2478</v>
      </c>
      <c r="I334" s="27" t="s">
        <v>33</v>
      </c>
      <c r="J334" s="31" t="s">
        <v>21</v>
      </c>
      <c r="K334" s="27" t="s">
        <v>224</v>
      </c>
      <c r="L334" s="27" t="s">
        <v>254</v>
      </c>
      <c r="M334" s="32"/>
    </row>
    <row r="335" spans="1:13" ht="15.2" customHeight="1" x14ac:dyDescent="0.2">
      <c r="A335" s="26" t="s">
        <v>1038</v>
      </c>
      <c r="B335" s="27" t="s">
        <v>1039</v>
      </c>
      <c r="C335" s="28">
        <v>1</v>
      </c>
      <c r="D335" s="29">
        <v>11</v>
      </c>
      <c r="E335" s="29">
        <v>11</v>
      </c>
      <c r="F335" s="30">
        <v>27.99</v>
      </c>
      <c r="G335" s="29">
        <v>27.99</v>
      </c>
      <c r="H335" s="28" t="s">
        <v>1035</v>
      </c>
      <c r="I335" s="27" t="s">
        <v>59</v>
      </c>
      <c r="J335" s="31" t="s">
        <v>5</v>
      </c>
      <c r="K335" s="27" t="s">
        <v>224</v>
      </c>
      <c r="L335" s="27" t="s">
        <v>254</v>
      </c>
      <c r="M335" s="32"/>
    </row>
    <row r="336" spans="1:13" ht="15.2" customHeight="1" x14ac:dyDescent="0.2">
      <c r="A336" s="26" t="s">
        <v>4106</v>
      </c>
      <c r="B336" s="27" t="s">
        <v>4107</v>
      </c>
      <c r="C336" s="28">
        <v>1</v>
      </c>
      <c r="D336" s="29">
        <v>11</v>
      </c>
      <c r="E336" s="29">
        <v>11</v>
      </c>
      <c r="F336" s="30">
        <v>39</v>
      </c>
      <c r="G336" s="29">
        <v>39</v>
      </c>
      <c r="H336" s="28">
        <v>1050425</v>
      </c>
      <c r="I336" s="27" t="s">
        <v>4</v>
      </c>
      <c r="J336" s="31" t="s">
        <v>5</v>
      </c>
      <c r="K336" s="27" t="s">
        <v>154</v>
      </c>
      <c r="L336" s="27" t="s">
        <v>155</v>
      </c>
      <c r="M336" s="32"/>
    </row>
    <row r="337" spans="1:13" ht="15.2" customHeight="1" x14ac:dyDescent="0.2">
      <c r="A337" s="26" t="s">
        <v>4108</v>
      </c>
      <c r="B337" s="27" t="s">
        <v>4109</v>
      </c>
      <c r="C337" s="28">
        <v>1</v>
      </c>
      <c r="D337" s="29">
        <v>11</v>
      </c>
      <c r="E337" s="29">
        <v>11</v>
      </c>
      <c r="F337" s="30">
        <v>39</v>
      </c>
      <c r="G337" s="29">
        <v>39</v>
      </c>
      <c r="H337" s="28" t="s">
        <v>4110</v>
      </c>
      <c r="I337" s="27" t="s">
        <v>4</v>
      </c>
      <c r="J337" s="31" t="s">
        <v>52</v>
      </c>
      <c r="K337" s="27" t="s">
        <v>154</v>
      </c>
      <c r="L337" s="27" t="s">
        <v>155</v>
      </c>
      <c r="M337" s="32"/>
    </row>
    <row r="338" spans="1:13" ht="15.2" customHeight="1" x14ac:dyDescent="0.2">
      <c r="A338" s="26" t="s">
        <v>560</v>
      </c>
      <c r="B338" s="27" t="s">
        <v>561</v>
      </c>
      <c r="C338" s="28">
        <v>1</v>
      </c>
      <c r="D338" s="29">
        <v>11</v>
      </c>
      <c r="E338" s="29">
        <v>11</v>
      </c>
      <c r="F338" s="30">
        <v>27.99</v>
      </c>
      <c r="G338" s="29">
        <v>27.99</v>
      </c>
      <c r="H338" s="28" t="s">
        <v>562</v>
      </c>
      <c r="I338" s="27" t="s">
        <v>189</v>
      </c>
      <c r="J338" s="31" t="s">
        <v>52</v>
      </c>
      <c r="K338" s="27" t="s">
        <v>224</v>
      </c>
      <c r="L338" s="27" t="s">
        <v>563</v>
      </c>
      <c r="M338" s="32"/>
    </row>
    <row r="339" spans="1:13" ht="15.2" customHeight="1" x14ac:dyDescent="0.2">
      <c r="A339" s="26" t="s">
        <v>4111</v>
      </c>
      <c r="B339" s="27" t="s">
        <v>4112</v>
      </c>
      <c r="C339" s="28">
        <v>1</v>
      </c>
      <c r="D339" s="29">
        <v>10.9</v>
      </c>
      <c r="E339" s="29">
        <v>10.9</v>
      </c>
      <c r="F339" s="30">
        <v>22.99</v>
      </c>
      <c r="G339" s="29">
        <v>22.99</v>
      </c>
      <c r="H339" s="28" t="s">
        <v>4113</v>
      </c>
      <c r="I339" s="27" t="s">
        <v>144</v>
      </c>
      <c r="J339" s="31" t="s">
        <v>21</v>
      </c>
      <c r="K339" s="27" t="s">
        <v>200</v>
      </c>
      <c r="L339" s="27" t="s">
        <v>552</v>
      </c>
      <c r="M339" s="32"/>
    </row>
    <row r="340" spans="1:13" ht="15.2" customHeight="1" x14ac:dyDescent="0.2">
      <c r="A340" s="26" t="s">
        <v>4114</v>
      </c>
      <c r="B340" s="27" t="s">
        <v>4115</v>
      </c>
      <c r="C340" s="28">
        <v>1</v>
      </c>
      <c r="D340" s="29">
        <v>10.199999999999999</v>
      </c>
      <c r="E340" s="29">
        <v>10.199999999999999</v>
      </c>
      <c r="F340" s="30">
        <v>27.99</v>
      </c>
      <c r="G340" s="29">
        <v>27.99</v>
      </c>
      <c r="H340" s="28" t="s">
        <v>4116</v>
      </c>
      <c r="I340" s="27" t="s">
        <v>59</v>
      </c>
      <c r="J340" s="31" t="s">
        <v>21</v>
      </c>
      <c r="K340" s="27" t="s">
        <v>70</v>
      </c>
      <c r="L340" s="27" t="s">
        <v>101</v>
      </c>
      <c r="M340" s="32"/>
    </row>
    <row r="341" spans="1:13" ht="15.2" customHeight="1" x14ac:dyDescent="0.2">
      <c r="A341" s="26" t="s">
        <v>4117</v>
      </c>
      <c r="B341" s="27" t="s">
        <v>4118</v>
      </c>
      <c r="C341" s="28">
        <v>1</v>
      </c>
      <c r="D341" s="29">
        <v>10</v>
      </c>
      <c r="E341" s="29">
        <v>10</v>
      </c>
      <c r="F341" s="30">
        <v>24.99</v>
      </c>
      <c r="G341" s="29">
        <v>24.99</v>
      </c>
      <c r="H341" s="28" t="s">
        <v>1048</v>
      </c>
      <c r="I341" s="27" t="s">
        <v>4</v>
      </c>
      <c r="J341" s="31" t="s">
        <v>52</v>
      </c>
      <c r="K341" s="27" t="s">
        <v>196</v>
      </c>
      <c r="L341" s="27" t="s">
        <v>336</v>
      </c>
      <c r="M341" s="32"/>
    </row>
    <row r="342" spans="1:13" ht="15.2" customHeight="1" x14ac:dyDescent="0.2">
      <c r="A342" s="26" t="s">
        <v>3081</v>
      </c>
      <c r="B342" s="27" t="s">
        <v>3082</v>
      </c>
      <c r="C342" s="28">
        <v>1</v>
      </c>
      <c r="D342" s="29">
        <v>10</v>
      </c>
      <c r="E342" s="29">
        <v>10</v>
      </c>
      <c r="F342" s="30">
        <v>24.99</v>
      </c>
      <c r="G342" s="29">
        <v>24.99</v>
      </c>
      <c r="H342" s="28" t="s">
        <v>2499</v>
      </c>
      <c r="I342" s="27" t="s">
        <v>146</v>
      </c>
      <c r="J342" s="31" t="s">
        <v>40</v>
      </c>
      <c r="K342" s="27" t="s">
        <v>224</v>
      </c>
      <c r="L342" s="27" t="s">
        <v>197</v>
      </c>
      <c r="M342" s="32"/>
    </row>
    <row r="343" spans="1:13" ht="15.2" customHeight="1" x14ac:dyDescent="0.2">
      <c r="A343" s="26" t="s">
        <v>2773</v>
      </c>
      <c r="B343" s="27" t="s">
        <v>2774</v>
      </c>
      <c r="C343" s="28">
        <v>1</v>
      </c>
      <c r="D343" s="29">
        <v>10</v>
      </c>
      <c r="E343" s="29">
        <v>10</v>
      </c>
      <c r="F343" s="30">
        <v>24.99</v>
      </c>
      <c r="G343" s="29">
        <v>24.99</v>
      </c>
      <c r="H343" s="28" t="s">
        <v>2499</v>
      </c>
      <c r="I343" s="27" t="s">
        <v>271</v>
      </c>
      <c r="J343" s="31" t="s">
        <v>40</v>
      </c>
      <c r="K343" s="27" t="s">
        <v>224</v>
      </c>
      <c r="L343" s="27" t="s">
        <v>197</v>
      </c>
      <c r="M343" s="32"/>
    </row>
    <row r="344" spans="1:13" ht="15.2" customHeight="1" x14ac:dyDescent="0.2">
      <c r="A344" s="26" t="s">
        <v>2500</v>
      </c>
      <c r="B344" s="27" t="s">
        <v>2501</v>
      </c>
      <c r="C344" s="28">
        <v>1</v>
      </c>
      <c r="D344" s="29">
        <v>10</v>
      </c>
      <c r="E344" s="29">
        <v>10</v>
      </c>
      <c r="F344" s="30">
        <v>24.99</v>
      </c>
      <c r="G344" s="29">
        <v>24.99</v>
      </c>
      <c r="H344" s="28" t="s">
        <v>2499</v>
      </c>
      <c r="I344" s="27" t="s">
        <v>280</v>
      </c>
      <c r="J344" s="31" t="s">
        <v>5</v>
      </c>
      <c r="K344" s="27" t="s">
        <v>224</v>
      </c>
      <c r="L344" s="27" t="s">
        <v>197</v>
      </c>
      <c r="M344" s="32"/>
    </row>
    <row r="345" spans="1:13" ht="15.2" customHeight="1" x14ac:dyDescent="0.2">
      <c r="A345" s="26" t="s">
        <v>1046</v>
      </c>
      <c r="B345" s="27" t="s">
        <v>1047</v>
      </c>
      <c r="C345" s="28">
        <v>1</v>
      </c>
      <c r="D345" s="29">
        <v>10</v>
      </c>
      <c r="E345" s="29">
        <v>10</v>
      </c>
      <c r="F345" s="30">
        <v>24.99</v>
      </c>
      <c r="G345" s="29">
        <v>24.99</v>
      </c>
      <c r="H345" s="28" t="s">
        <v>1048</v>
      </c>
      <c r="I345" s="27" t="s">
        <v>291</v>
      </c>
      <c r="J345" s="31" t="s">
        <v>52</v>
      </c>
      <c r="K345" s="27" t="s">
        <v>196</v>
      </c>
      <c r="L345" s="27" t="s">
        <v>336</v>
      </c>
      <c r="M345" s="32"/>
    </row>
    <row r="346" spans="1:13" ht="15.2" customHeight="1" x14ac:dyDescent="0.2">
      <c r="A346" s="26" t="s">
        <v>4119</v>
      </c>
      <c r="B346" s="27" t="s">
        <v>4120</v>
      </c>
      <c r="C346" s="28">
        <v>2</v>
      </c>
      <c r="D346" s="29">
        <v>10</v>
      </c>
      <c r="E346" s="29">
        <v>20</v>
      </c>
      <c r="F346" s="30">
        <v>24.99</v>
      </c>
      <c r="G346" s="29">
        <v>49.98</v>
      </c>
      <c r="H346" s="28" t="s">
        <v>2499</v>
      </c>
      <c r="I346" s="27" t="s">
        <v>146</v>
      </c>
      <c r="J346" s="31" t="s">
        <v>5</v>
      </c>
      <c r="K346" s="27" t="s">
        <v>224</v>
      </c>
      <c r="L346" s="27" t="s">
        <v>197</v>
      </c>
      <c r="M346" s="32"/>
    </row>
    <row r="347" spans="1:13" ht="15.2" customHeight="1" x14ac:dyDescent="0.2">
      <c r="A347" s="26" t="s">
        <v>4121</v>
      </c>
      <c r="B347" s="27" t="s">
        <v>4122</v>
      </c>
      <c r="C347" s="28">
        <v>1</v>
      </c>
      <c r="D347" s="29">
        <v>10</v>
      </c>
      <c r="E347" s="29">
        <v>10</v>
      </c>
      <c r="F347" s="30">
        <v>24.99</v>
      </c>
      <c r="G347" s="29">
        <v>24.99</v>
      </c>
      <c r="H347" s="28" t="s">
        <v>1048</v>
      </c>
      <c r="I347" s="27" t="s">
        <v>4</v>
      </c>
      <c r="J347" s="31" t="s">
        <v>21</v>
      </c>
      <c r="K347" s="27" t="s">
        <v>196</v>
      </c>
      <c r="L347" s="27" t="s">
        <v>336</v>
      </c>
      <c r="M347" s="32"/>
    </row>
    <row r="348" spans="1:13" ht="15.2" customHeight="1" x14ac:dyDescent="0.2">
      <c r="A348" s="26" t="s">
        <v>4123</v>
      </c>
      <c r="B348" s="27" t="s">
        <v>4124</v>
      </c>
      <c r="C348" s="28">
        <v>1</v>
      </c>
      <c r="D348" s="29">
        <v>10</v>
      </c>
      <c r="E348" s="29">
        <v>10</v>
      </c>
      <c r="F348" s="30">
        <v>24.99</v>
      </c>
      <c r="G348" s="29">
        <v>24.99</v>
      </c>
      <c r="H348" s="28" t="s">
        <v>1048</v>
      </c>
      <c r="I348" s="27" t="s">
        <v>291</v>
      </c>
      <c r="J348" s="31" t="s">
        <v>71</v>
      </c>
      <c r="K348" s="27" t="s">
        <v>196</v>
      </c>
      <c r="L348" s="27" t="s">
        <v>336</v>
      </c>
      <c r="M348" s="32"/>
    </row>
    <row r="349" spans="1:13" ht="15.2" customHeight="1" x14ac:dyDescent="0.2">
      <c r="A349" s="26" t="s">
        <v>4125</v>
      </c>
      <c r="B349" s="27" t="s">
        <v>4126</v>
      </c>
      <c r="C349" s="28">
        <v>1</v>
      </c>
      <c r="D349" s="29">
        <v>10</v>
      </c>
      <c r="E349" s="29">
        <v>10</v>
      </c>
      <c r="F349" s="30">
        <v>24.99</v>
      </c>
      <c r="G349" s="29">
        <v>24.99</v>
      </c>
      <c r="H349" s="28" t="s">
        <v>1048</v>
      </c>
      <c r="I349" s="27" t="s">
        <v>291</v>
      </c>
      <c r="J349" s="31" t="s">
        <v>5</v>
      </c>
      <c r="K349" s="27" t="s">
        <v>196</v>
      </c>
      <c r="L349" s="27" t="s">
        <v>336</v>
      </c>
      <c r="M349" s="32"/>
    </row>
    <row r="350" spans="1:13" ht="15.2" customHeight="1" x14ac:dyDescent="0.2">
      <c r="A350" s="26" t="s">
        <v>2771</v>
      </c>
      <c r="B350" s="27" t="s">
        <v>2772</v>
      </c>
      <c r="C350" s="28">
        <v>1</v>
      </c>
      <c r="D350" s="29">
        <v>10</v>
      </c>
      <c r="E350" s="29">
        <v>10</v>
      </c>
      <c r="F350" s="30">
        <v>24.99</v>
      </c>
      <c r="G350" s="29">
        <v>24.99</v>
      </c>
      <c r="H350" s="28" t="s">
        <v>2499</v>
      </c>
      <c r="I350" s="27" t="s">
        <v>271</v>
      </c>
      <c r="J350" s="31" t="s">
        <v>21</v>
      </c>
      <c r="K350" s="27" t="s">
        <v>224</v>
      </c>
      <c r="L350" s="27" t="s">
        <v>197</v>
      </c>
      <c r="M350" s="32"/>
    </row>
    <row r="351" spans="1:13" ht="15.2" customHeight="1" x14ac:dyDescent="0.2">
      <c r="A351" s="26" t="s">
        <v>4127</v>
      </c>
      <c r="B351" s="27" t="s">
        <v>4128</v>
      </c>
      <c r="C351" s="28">
        <v>1</v>
      </c>
      <c r="D351" s="29">
        <v>9.8000000000000007</v>
      </c>
      <c r="E351" s="29">
        <v>9.8000000000000007</v>
      </c>
      <c r="F351" s="30">
        <v>19.989999999999998</v>
      </c>
      <c r="G351" s="29">
        <v>19.989999999999998</v>
      </c>
      <c r="H351" s="28" t="s">
        <v>1054</v>
      </c>
      <c r="I351" s="27" t="s">
        <v>374</v>
      </c>
      <c r="J351" s="31" t="s">
        <v>52</v>
      </c>
      <c r="K351" s="27" t="s">
        <v>196</v>
      </c>
      <c r="L351" s="27" t="s">
        <v>225</v>
      </c>
      <c r="M351" s="32"/>
    </row>
    <row r="352" spans="1:13" ht="15.2" customHeight="1" x14ac:dyDescent="0.2">
      <c r="A352" s="26" t="s">
        <v>1052</v>
      </c>
      <c r="B352" s="27" t="s">
        <v>1053</v>
      </c>
      <c r="C352" s="28">
        <v>1</v>
      </c>
      <c r="D352" s="29">
        <v>9.8000000000000007</v>
      </c>
      <c r="E352" s="29">
        <v>9.8000000000000007</v>
      </c>
      <c r="F352" s="30">
        <v>19.989999999999998</v>
      </c>
      <c r="G352" s="29">
        <v>19.989999999999998</v>
      </c>
      <c r="H352" s="28" t="s">
        <v>1054</v>
      </c>
      <c r="I352" s="27" t="s">
        <v>374</v>
      </c>
      <c r="J352" s="31" t="s">
        <v>21</v>
      </c>
      <c r="K352" s="27" t="s">
        <v>196</v>
      </c>
      <c r="L352" s="27" t="s">
        <v>225</v>
      </c>
      <c r="M352" s="32"/>
    </row>
    <row r="353" spans="1:13" ht="15.2" customHeight="1" x14ac:dyDescent="0.2">
      <c r="A353" s="26" t="s">
        <v>4129</v>
      </c>
      <c r="B353" s="27" t="s">
        <v>4130</v>
      </c>
      <c r="C353" s="28">
        <v>1</v>
      </c>
      <c r="D353" s="29">
        <v>9.8000000000000007</v>
      </c>
      <c r="E353" s="29">
        <v>9.8000000000000007</v>
      </c>
      <c r="F353" s="30">
        <v>19.989999999999998</v>
      </c>
      <c r="G353" s="29">
        <v>19.989999999999998</v>
      </c>
      <c r="H353" s="28" t="s">
        <v>3085</v>
      </c>
      <c r="I353" s="27" t="s">
        <v>377</v>
      </c>
      <c r="J353" s="31" t="s">
        <v>5</v>
      </c>
      <c r="K353" s="27" t="s">
        <v>196</v>
      </c>
      <c r="L353" s="27" t="s">
        <v>225</v>
      </c>
      <c r="M353" s="32"/>
    </row>
    <row r="354" spans="1:13" ht="15.2" customHeight="1" x14ac:dyDescent="0.2">
      <c r="A354" s="26" t="s">
        <v>2032</v>
      </c>
      <c r="B354" s="27" t="s">
        <v>2033</v>
      </c>
      <c r="C354" s="28">
        <v>3</v>
      </c>
      <c r="D354" s="29">
        <v>9.8000000000000007</v>
      </c>
      <c r="E354" s="29">
        <v>29.4</v>
      </c>
      <c r="F354" s="30">
        <v>19.989999999999998</v>
      </c>
      <c r="G354" s="29">
        <v>59.97</v>
      </c>
      <c r="H354" s="28" t="s">
        <v>1051</v>
      </c>
      <c r="I354" s="27" t="s">
        <v>189</v>
      </c>
      <c r="J354" s="31" t="s">
        <v>5</v>
      </c>
      <c r="K354" s="27" t="s">
        <v>196</v>
      </c>
      <c r="L354" s="27" t="s">
        <v>225</v>
      </c>
      <c r="M354" s="32"/>
    </row>
    <row r="355" spans="1:13" ht="15.2" customHeight="1" x14ac:dyDescent="0.2">
      <c r="A355" s="26" t="s">
        <v>4131</v>
      </c>
      <c r="B355" s="27" t="s">
        <v>4132</v>
      </c>
      <c r="C355" s="28">
        <v>1</v>
      </c>
      <c r="D355" s="29">
        <v>9.8000000000000007</v>
      </c>
      <c r="E355" s="29">
        <v>9.8000000000000007</v>
      </c>
      <c r="F355" s="30">
        <v>19.989999999999998</v>
      </c>
      <c r="G355" s="29">
        <v>19.989999999999998</v>
      </c>
      <c r="H355" s="28" t="s">
        <v>1657</v>
      </c>
      <c r="I355" s="27" t="s">
        <v>59</v>
      </c>
      <c r="J355" s="31" t="s">
        <v>5</v>
      </c>
      <c r="K355" s="27" t="s">
        <v>196</v>
      </c>
      <c r="L355" s="27" t="s">
        <v>225</v>
      </c>
      <c r="M355" s="32"/>
    </row>
    <row r="356" spans="1:13" ht="15.2" customHeight="1" x14ac:dyDescent="0.2">
      <c r="A356" s="26" t="s">
        <v>2030</v>
      </c>
      <c r="B356" s="27" t="s">
        <v>2031</v>
      </c>
      <c r="C356" s="28">
        <v>1</v>
      </c>
      <c r="D356" s="29">
        <v>9.8000000000000007</v>
      </c>
      <c r="E356" s="29">
        <v>9.8000000000000007</v>
      </c>
      <c r="F356" s="30">
        <v>19.989999999999998</v>
      </c>
      <c r="G356" s="29">
        <v>19.989999999999998</v>
      </c>
      <c r="H356" s="28" t="s">
        <v>1657</v>
      </c>
      <c r="I356" s="27" t="s">
        <v>59</v>
      </c>
      <c r="J356" s="31" t="s">
        <v>40</v>
      </c>
      <c r="K356" s="27" t="s">
        <v>196</v>
      </c>
      <c r="L356" s="27" t="s">
        <v>225</v>
      </c>
      <c r="M356" s="32"/>
    </row>
    <row r="357" spans="1:13" ht="15.2" customHeight="1" x14ac:dyDescent="0.2">
      <c r="A357" s="26" t="s">
        <v>4133</v>
      </c>
      <c r="B357" s="27" t="s">
        <v>4134</v>
      </c>
      <c r="C357" s="28">
        <v>1</v>
      </c>
      <c r="D357" s="29">
        <v>9.5</v>
      </c>
      <c r="E357" s="29">
        <v>9.5</v>
      </c>
      <c r="F357" s="30">
        <v>39</v>
      </c>
      <c r="G357" s="29">
        <v>39</v>
      </c>
      <c r="H357" s="28" t="s">
        <v>4135</v>
      </c>
      <c r="I357" s="27" t="s">
        <v>22</v>
      </c>
      <c r="J357" s="31" t="s">
        <v>5</v>
      </c>
      <c r="K357" s="27" t="s">
        <v>154</v>
      </c>
      <c r="L357" s="27" t="s">
        <v>155</v>
      </c>
      <c r="M357" s="32"/>
    </row>
    <row r="358" spans="1:13" ht="15.2" customHeight="1" x14ac:dyDescent="0.2">
      <c r="A358" s="26" t="s">
        <v>2503</v>
      </c>
      <c r="B358" s="27" t="s">
        <v>2504</v>
      </c>
      <c r="C358" s="28">
        <v>1</v>
      </c>
      <c r="D358" s="29">
        <v>9.25</v>
      </c>
      <c r="E358" s="29">
        <v>9.25</v>
      </c>
      <c r="F358" s="30">
        <v>22.99</v>
      </c>
      <c r="G358" s="29">
        <v>22.99</v>
      </c>
      <c r="H358" s="28" t="s">
        <v>575</v>
      </c>
      <c r="I358" s="27" t="s">
        <v>207</v>
      </c>
      <c r="J358" s="31" t="s">
        <v>5</v>
      </c>
      <c r="K358" s="27" t="s">
        <v>196</v>
      </c>
      <c r="L358" s="27" t="s">
        <v>239</v>
      </c>
      <c r="M358" s="32"/>
    </row>
    <row r="359" spans="1:13" ht="15.2" customHeight="1" x14ac:dyDescent="0.2">
      <c r="A359" s="26" t="s">
        <v>4136</v>
      </c>
      <c r="B359" s="27" t="s">
        <v>1673</v>
      </c>
      <c r="C359" s="28">
        <v>1</v>
      </c>
      <c r="D359" s="29">
        <v>9.1999999999999993</v>
      </c>
      <c r="E359" s="29">
        <v>9.1999999999999993</v>
      </c>
      <c r="F359" s="30">
        <v>21.99</v>
      </c>
      <c r="G359" s="29">
        <v>21.99</v>
      </c>
      <c r="H359" s="28" t="s">
        <v>1674</v>
      </c>
      <c r="I359" s="27" t="s">
        <v>82</v>
      </c>
      <c r="J359" s="31" t="s">
        <v>172</v>
      </c>
      <c r="K359" s="27" t="s">
        <v>159</v>
      </c>
      <c r="L359" s="27" t="s">
        <v>160</v>
      </c>
      <c r="M359" s="32"/>
    </row>
    <row r="360" spans="1:13" ht="15.2" customHeight="1" x14ac:dyDescent="0.2">
      <c r="A360" s="26" t="s">
        <v>4137</v>
      </c>
      <c r="B360" s="27" t="s">
        <v>1676</v>
      </c>
      <c r="C360" s="28">
        <v>1</v>
      </c>
      <c r="D360" s="29">
        <v>9.1999999999999993</v>
      </c>
      <c r="E360" s="29">
        <v>9.1999999999999993</v>
      </c>
      <c r="F360" s="30">
        <v>21.99</v>
      </c>
      <c r="G360" s="29">
        <v>21.99</v>
      </c>
      <c r="H360" s="28" t="s">
        <v>1677</v>
      </c>
      <c r="I360" s="27" t="s">
        <v>4</v>
      </c>
      <c r="J360" s="31" t="s">
        <v>21</v>
      </c>
      <c r="K360" s="27" t="s">
        <v>159</v>
      </c>
      <c r="L360" s="27" t="s">
        <v>160</v>
      </c>
      <c r="M360" s="32"/>
    </row>
    <row r="361" spans="1:13" ht="15.2" customHeight="1" x14ac:dyDescent="0.2">
      <c r="A361" s="26" t="s">
        <v>4138</v>
      </c>
      <c r="B361" s="27" t="s">
        <v>1062</v>
      </c>
      <c r="C361" s="28">
        <v>1</v>
      </c>
      <c r="D361" s="29">
        <v>8.94</v>
      </c>
      <c r="E361" s="29">
        <v>8.94</v>
      </c>
      <c r="F361" s="30">
        <v>24.5</v>
      </c>
      <c r="G361" s="29">
        <v>24.5</v>
      </c>
      <c r="H361" s="28" t="s">
        <v>1063</v>
      </c>
      <c r="I361" s="27" t="s">
        <v>4</v>
      </c>
      <c r="J361" s="31" t="s">
        <v>40</v>
      </c>
      <c r="K361" s="27" t="s">
        <v>41</v>
      </c>
      <c r="L361" s="27" t="s">
        <v>45</v>
      </c>
      <c r="M361" s="32"/>
    </row>
    <row r="362" spans="1:13" ht="15.2" customHeight="1" x14ac:dyDescent="0.2">
      <c r="A362" s="26" t="s">
        <v>3087</v>
      </c>
      <c r="B362" s="27" t="s">
        <v>1062</v>
      </c>
      <c r="C362" s="28">
        <v>1</v>
      </c>
      <c r="D362" s="29">
        <v>8.94</v>
      </c>
      <c r="E362" s="29">
        <v>8.94</v>
      </c>
      <c r="F362" s="30">
        <v>24.5</v>
      </c>
      <c r="G362" s="29">
        <v>24.5</v>
      </c>
      <c r="H362" s="28" t="s">
        <v>1063</v>
      </c>
      <c r="I362" s="27" t="s">
        <v>4</v>
      </c>
      <c r="J362" s="31" t="s">
        <v>52</v>
      </c>
      <c r="K362" s="27" t="s">
        <v>41</v>
      </c>
      <c r="L362" s="27" t="s">
        <v>45</v>
      </c>
      <c r="M362" s="32"/>
    </row>
    <row r="363" spans="1:13" ht="15.2" customHeight="1" x14ac:dyDescent="0.2">
      <c r="A363" s="26" t="s">
        <v>2516</v>
      </c>
      <c r="B363" s="27" t="s">
        <v>1062</v>
      </c>
      <c r="C363" s="28">
        <v>1</v>
      </c>
      <c r="D363" s="29">
        <v>8.94</v>
      </c>
      <c r="E363" s="29">
        <v>8.94</v>
      </c>
      <c r="F363" s="30">
        <v>24.5</v>
      </c>
      <c r="G363" s="29">
        <v>24.5</v>
      </c>
      <c r="H363" s="28" t="s">
        <v>1063</v>
      </c>
      <c r="I363" s="27" t="s">
        <v>4</v>
      </c>
      <c r="J363" s="31" t="s">
        <v>5</v>
      </c>
      <c r="K363" s="27" t="s">
        <v>41</v>
      </c>
      <c r="L363" s="27" t="s">
        <v>45</v>
      </c>
      <c r="M363" s="32"/>
    </row>
    <row r="364" spans="1:13" ht="15.2" customHeight="1" x14ac:dyDescent="0.2">
      <c r="A364" s="26" t="s">
        <v>3644</v>
      </c>
      <c r="B364" s="27" t="s">
        <v>1062</v>
      </c>
      <c r="C364" s="28">
        <v>1</v>
      </c>
      <c r="D364" s="29">
        <v>8.94</v>
      </c>
      <c r="E364" s="29">
        <v>8.94</v>
      </c>
      <c r="F364" s="30">
        <v>24.5</v>
      </c>
      <c r="G364" s="29">
        <v>24.5</v>
      </c>
      <c r="H364" s="28" t="s">
        <v>1063</v>
      </c>
      <c r="I364" s="27" t="s">
        <v>746</v>
      </c>
      <c r="J364" s="31" t="s">
        <v>5</v>
      </c>
      <c r="K364" s="27" t="s">
        <v>41</v>
      </c>
      <c r="L364" s="27" t="s">
        <v>45</v>
      </c>
      <c r="M364" s="32"/>
    </row>
    <row r="365" spans="1:13" ht="15.2" customHeight="1" x14ac:dyDescent="0.2">
      <c r="A365" s="26" t="s">
        <v>4139</v>
      </c>
      <c r="B365" s="27" t="s">
        <v>1062</v>
      </c>
      <c r="C365" s="28">
        <v>1</v>
      </c>
      <c r="D365" s="29">
        <v>8.94</v>
      </c>
      <c r="E365" s="29">
        <v>8.94</v>
      </c>
      <c r="F365" s="30">
        <v>24.5</v>
      </c>
      <c r="G365" s="29">
        <v>24.5</v>
      </c>
      <c r="H365" s="28" t="s">
        <v>1063</v>
      </c>
      <c r="I365" s="27" t="s">
        <v>4</v>
      </c>
      <c r="J365" s="31" t="s">
        <v>21</v>
      </c>
      <c r="K365" s="27" t="s">
        <v>41</v>
      </c>
      <c r="L365" s="27" t="s">
        <v>45</v>
      </c>
      <c r="M365" s="32"/>
    </row>
    <row r="366" spans="1:13" ht="15.2" customHeight="1" x14ac:dyDescent="0.2">
      <c r="A366" s="26" t="s">
        <v>4140</v>
      </c>
      <c r="B366" s="27" t="s">
        <v>4141</v>
      </c>
      <c r="C366" s="28">
        <v>1</v>
      </c>
      <c r="D366" s="29">
        <v>8.5</v>
      </c>
      <c r="E366" s="29">
        <v>8.5</v>
      </c>
      <c r="F366" s="30">
        <v>19.989999999999998</v>
      </c>
      <c r="G366" s="29">
        <v>19.989999999999998</v>
      </c>
      <c r="H366" s="28" t="s">
        <v>582</v>
      </c>
      <c r="I366" s="27" t="s">
        <v>33</v>
      </c>
      <c r="J366" s="31" t="s">
        <v>21</v>
      </c>
      <c r="K366" s="27" t="s">
        <v>282</v>
      </c>
      <c r="L366" s="27" t="s">
        <v>312</v>
      </c>
      <c r="M366" s="32"/>
    </row>
    <row r="367" spans="1:13" ht="15.2" customHeight="1" x14ac:dyDescent="0.2">
      <c r="A367" s="26" t="s">
        <v>4142</v>
      </c>
      <c r="B367" s="27" t="s">
        <v>4143</v>
      </c>
      <c r="C367" s="28">
        <v>1</v>
      </c>
      <c r="D367" s="29">
        <v>8.5</v>
      </c>
      <c r="E367" s="29">
        <v>8.5</v>
      </c>
      <c r="F367" s="30">
        <v>19.989999999999998</v>
      </c>
      <c r="G367" s="29">
        <v>19.989999999999998</v>
      </c>
      <c r="H367" s="28" t="s">
        <v>4144</v>
      </c>
      <c r="I367" s="27" t="s">
        <v>215</v>
      </c>
      <c r="J367" s="31" t="s">
        <v>40</v>
      </c>
      <c r="K367" s="27" t="s">
        <v>282</v>
      </c>
      <c r="L367" s="27" t="s">
        <v>322</v>
      </c>
      <c r="M367" s="32"/>
    </row>
    <row r="368" spans="1:13" ht="15.2" customHeight="1" x14ac:dyDescent="0.2">
      <c r="A368" s="26" t="s">
        <v>4145</v>
      </c>
      <c r="B368" s="27" t="s">
        <v>4146</v>
      </c>
      <c r="C368" s="28">
        <v>1</v>
      </c>
      <c r="D368" s="29">
        <v>8.5</v>
      </c>
      <c r="E368" s="29">
        <v>8.5</v>
      </c>
      <c r="F368" s="30">
        <v>19.989999999999998</v>
      </c>
      <c r="G368" s="29">
        <v>19.989999999999998</v>
      </c>
      <c r="H368" s="28" t="s">
        <v>582</v>
      </c>
      <c r="I368" s="27" t="s">
        <v>33</v>
      </c>
      <c r="J368" s="31" t="s">
        <v>52</v>
      </c>
      <c r="K368" s="27" t="s">
        <v>282</v>
      </c>
      <c r="L368" s="27" t="s">
        <v>312</v>
      </c>
      <c r="M368" s="32"/>
    </row>
    <row r="369" spans="1:13" ht="15.2" customHeight="1" x14ac:dyDescent="0.2">
      <c r="A369" s="26" t="s">
        <v>2519</v>
      </c>
      <c r="B369" s="27" t="s">
        <v>2520</v>
      </c>
      <c r="C369" s="28">
        <v>1</v>
      </c>
      <c r="D369" s="29">
        <v>8.5</v>
      </c>
      <c r="E369" s="29">
        <v>8.5</v>
      </c>
      <c r="F369" s="30">
        <v>19.989999999999998</v>
      </c>
      <c r="G369" s="29">
        <v>19.989999999999998</v>
      </c>
      <c r="H369" s="28" t="s">
        <v>587</v>
      </c>
      <c r="I369" s="27" t="s">
        <v>33</v>
      </c>
      <c r="J369" s="31" t="s">
        <v>21</v>
      </c>
      <c r="K369" s="27" t="s">
        <v>282</v>
      </c>
      <c r="L369" s="27" t="s">
        <v>312</v>
      </c>
      <c r="M369" s="32"/>
    </row>
    <row r="370" spans="1:13" ht="15.2" customHeight="1" x14ac:dyDescent="0.2">
      <c r="A370" s="26" t="s">
        <v>2051</v>
      </c>
      <c r="B370" s="27" t="s">
        <v>2052</v>
      </c>
      <c r="C370" s="28">
        <v>1</v>
      </c>
      <c r="D370" s="29">
        <v>8.5</v>
      </c>
      <c r="E370" s="29">
        <v>8.5</v>
      </c>
      <c r="F370" s="30">
        <v>19.989999999999998</v>
      </c>
      <c r="G370" s="29">
        <v>19.989999999999998</v>
      </c>
      <c r="H370" s="28" t="s">
        <v>587</v>
      </c>
      <c r="I370" s="27" t="s">
        <v>33</v>
      </c>
      <c r="J370" s="31" t="s">
        <v>5</v>
      </c>
      <c r="K370" s="27" t="s">
        <v>282</v>
      </c>
      <c r="L370" s="27" t="s">
        <v>312</v>
      </c>
      <c r="M370" s="32"/>
    </row>
    <row r="371" spans="1:13" ht="15.2" customHeight="1" x14ac:dyDescent="0.2">
      <c r="A371" s="26" t="s">
        <v>585</v>
      </c>
      <c r="B371" s="27" t="s">
        <v>586</v>
      </c>
      <c r="C371" s="28">
        <v>1</v>
      </c>
      <c r="D371" s="29">
        <v>8.5</v>
      </c>
      <c r="E371" s="29">
        <v>8.5</v>
      </c>
      <c r="F371" s="30">
        <v>19.989999999999998</v>
      </c>
      <c r="G371" s="29">
        <v>19.989999999999998</v>
      </c>
      <c r="H371" s="28" t="s">
        <v>587</v>
      </c>
      <c r="I371" s="27" t="s">
        <v>33</v>
      </c>
      <c r="J371" s="31" t="s">
        <v>52</v>
      </c>
      <c r="K371" s="27" t="s">
        <v>282</v>
      </c>
      <c r="L371" s="27" t="s">
        <v>312</v>
      </c>
      <c r="M371" s="32"/>
    </row>
    <row r="372" spans="1:13" ht="15.2" customHeight="1" x14ac:dyDescent="0.2">
      <c r="A372" s="26" t="s">
        <v>4147</v>
      </c>
      <c r="B372" s="27" t="s">
        <v>589</v>
      </c>
      <c r="C372" s="28">
        <v>1</v>
      </c>
      <c r="D372" s="29">
        <v>8.25</v>
      </c>
      <c r="E372" s="29">
        <v>8.25</v>
      </c>
      <c r="F372" s="30">
        <v>19.989999999999998</v>
      </c>
      <c r="G372" s="29">
        <v>19.989999999999998</v>
      </c>
      <c r="H372" s="28" t="s">
        <v>590</v>
      </c>
      <c r="I372" s="27" t="s">
        <v>22</v>
      </c>
      <c r="J372" s="31" t="s">
        <v>21</v>
      </c>
      <c r="K372" s="27" t="s">
        <v>196</v>
      </c>
      <c r="L372" s="27" t="s">
        <v>256</v>
      </c>
      <c r="M372" s="32"/>
    </row>
    <row r="373" spans="1:13" ht="15.2" customHeight="1" x14ac:dyDescent="0.2">
      <c r="A373" s="26" t="s">
        <v>588</v>
      </c>
      <c r="B373" s="27" t="s">
        <v>589</v>
      </c>
      <c r="C373" s="28">
        <v>2</v>
      </c>
      <c r="D373" s="29">
        <v>8.25</v>
      </c>
      <c r="E373" s="29">
        <v>16.5</v>
      </c>
      <c r="F373" s="30">
        <v>19.989999999999998</v>
      </c>
      <c r="G373" s="29">
        <v>39.979999999999997</v>
      </c>
      <c r="H373" s="28" t="s">
        <v>590</v>
      </c>
      <c r="I373" s="27" t="s">
        <v>22</v>
      </c>
      <c r="J373" s="31" t="s">
        <v>71</v>
      </c>
      <c r="K373" s="27" t="s">
        <v>196</v>
      </c>
      <c r="L373" s="27" t="s">
        <v>256</v>
      </c>
      <c r="M373" s="32"/>
    </row>
    <row r="374" spans="1:13" ht="15.2" customHeight="1" x14ac:dyDescent="0.2">
      <c r="A374" s="26" t="s">
        <v>4148</v>
      </c>
      <c r="B374" s="27" t="s">
        <v>589</v>
      </c>
      <c r="C374" s="28">
        <v>4</v>
      </c>
      <c r="D374" s="29">
        <v>8.25</v>
      </c>
      <c r="E374" s="29">
        <v>33</v>
      </c>
      <c r="F374" s="30">
        <v>19.989999999999998</v>
      </c>
      <c r="G374" s="29">
        <v>79.959999999999994</v>
      </c>
      <c r="H374" s="28" t="s">
        <v>590</v>
      </c>
      <c r="I374" s="27" t="s">
        <v>22</v>
      </c>
      <c r="J374" s="31" t="s">
        <v>40</v>
      </c>
      <c r="K374" s="27" t="s">
        <v>196</v>
      </c>
      <c r="L374" s="27" t="s">
        <v>256</v>
      </c>
      <c r="M374" s="32"/>
    </row>
    <row r="375" spans="1:13" ht="15.2" customHeight="1" x14ac:dyDescent="0.2">
      <c r="A375" s="26" t="s">
        <v>4149</v>
      </c>
      <c r="B375" s="27" t="s">
        <v>4150</v>
      </c>
      <c r="C375" s="28">
        <v>1</v>
      </c>
      <c r="D375" s="29">
        <v>8.25</v>
      </c>
      <c r="E375" s="29">
        <v>8.25</v>
      </c>
      <c r="F375" s="30">
        <v>19.989999999999998</v>
      </c>
      <c r="G375" s="29">
        <v>19.989999999999998</v>
      </c>
      <c r="H375" s="28" t="s">
        <v>4151</v>
      </c>
      <c r="I375" s="27" t="s">
        <v>280</v>
      </c>
      <c r="J375" s="31" t="s">
        <v>5</v>
      </c>
      <c r="K375" s="27" t="s">
        <v>196</v>
      </c>
      <c r="L375" s="27" t="s">
        <v>322</v>
      </c>
      <c r="M375" s="32"/>
    </row>
    <row r="376" spans="1:13" ht="15.2" customHeight="1" x14ac:dyDescent="0.2">
      <c r="A376" s="26" t="s">
        <v>4152</v>
      </c>
      <c r="B376" s="27" t="s">
        <v>4153</v>
      </c>
      <c r="C376" s="28">
        <v>1</v>
      </c>
      <c r="D376" s="29">
        <v>8</v>
      </c>
      <c r="E376" s="29">
        <v>8</v>
      </c>
      <c r="F376" s="30">
        <v>19.989999999999998</v>
      </c>
      <c r="G376" s="29">
        <v>19.989999999999998</v>
      </c>
      <c r="H376" s="28" t="s">
        <v>4154</v>
      </c>
      <c r="I376" s="27" t="s">
        <v>291</v>
      </c>
      <c r="J376" s="31" t="s">
        <v>40</v>
      </c>
      <c r="K376" s="27" t="s">
        <v>196</v>
      </c>
      <c r="L376" s="27" t="s">
        <v>239</v>
      </c>
      <c r="M376" s="32"/>
    </row>
    <row r="377" spans="1:13" ht="15.2" customHeight="1" x14ac:dyDescent="0.2">
      <c r="A377" s="26" t="s">
        <v>3650</v>
      </c>
      <c r="B377" s="27" t="s">
        <v>3651</v>
      </c>
      <c r="C377" s="28">
        <v>2</v>
      </c>
      <c r="D377" s="29">
        <v>7.95</v>
      </c>
      <c r="E377" s="29">
        <v>15.9</v>
      </c>
      <c r="F377" s="30">
        <v>19.989999999999998</v>
      </c>
      <c r="G377" s="29">
        <v>39.979999999999997</v>
      </c>
      <c r="H377" s="28" t="s">
        <v>590</v>
      </c>
      <c r="I377" s="27" t="s">
        <v>22</v>
      </c>
      <c r="J377" s="31" t="s">
        <v>5</v>
      </c>
      <c r="K377" s="27" t="s">
        <v>196</v>
      </c>
      <c r="L377" s="27" t="s">
        <v>256</v>
      </c>
      <c r="M377" s="32"/>
    </row>
    <row r="378" spans="1:13" ht="15.2" customHeight="1" x14ac:dyDescent="0.2">
      <c r="A378" s="26" t="s">
        <v>4155</v>
      </c>
      <c r="B378" s="27" t="s">
        <v>4156</v>
      </c>
      <c r="C378" s="28">
        <v>1</v>
      </c>
      <c r="D378" s="29">
        <v>7.95</v>
      </c>
      <c r="E378" s="29">
        <v>7.95</v>
      </c>
      <c r="F378" s="30">
        <v>19.989999999999998</v>
      </c>
      <c r="G378" s="29">
        <v>19.989999999999998</v>
      </c>
      <c r="H378" s="28" t="s">
        <v>590</v>
      </c>
      <c r="I378" s="27" t="s">
        <v>22</v>
      </c>
      <c r="J378" s="31" t="s">
        <v>21</v>
      </c>
      <c r="K378" s="27" t="s">
        <v>196</v>
      </c>
      <c r="L378" s="27" t="s">
        <v>256</v>
      </c>
      <c r="M378" s="32"/>
    </row>
    <row r="379" spans="1:13" ht="15.2" customHeight="1" x14ac:dyDescent="0.2">
      <c r="A379" s="26" t="s">
        <v>598</v>
      </c>
      <c r="B379" s="27" t="s">
        <v>599</v>
      </c>
      <c r="C379" s="28">
        <v>2</v>
      </c>
      <c r="D379" s="29">
        <v>7.9</v>
      </c>
      <c r="E379" s="29">
        <v>15.8</v>
      </c>
      <c r="F379" s="30">
        <v>19.989999999999998</v>
      </c>
      <c r="G379" s="29">
        <v>39.979999999999997</v>
      </c>
      <c r="H379" s="28" t="s">
        <v>595</v>
      </c>
      <c r="I379" s="27" t="s">
        <v>22</v>
      </c>
      <c r="J379" s="31" t="s">
        <v>52</v>
      </c>
      <c r="K379" s="27" t="s">
        <v>282</v>
      </c>
      <c r="L379" s="27" t="s">
        <v>349</v>
      </c>
      <c r="M379" s="32"/>
    </row>
    <row r="380" spans="1:13" ht="15.2" customHeight="1" x14ac:dyDescent="0.2">
      <c r="A380" s="26" t="s">
        <v>2060</v>
      </c>
      <c r="B380" s="27" t="s">
        <v>2061</v>
      </c>
      <c r="C380" s="28">
        <v>1</v>
      </c>
      <c r="D380" s="29">
        <v>7.7</v>
      </c>
      <c r="E380" s="29">
        <v>7.7</v>
      </c>
      <c r="F380" s="30">
        <v>18.989999999999998</v>
      </c>
      <c r="G380" s="29">
        <v>18.989999999999998</v>
      </c>
      <c r="H380" s="28" t="s">
        <v>2059</v>
      </c>
      <c r="I380" s="27" t="s">
        <v>144</v>
      </c>
      <c r="J380" s="31" t="s">
        <v>40</v>
      </c>
      <c r="K380" s="27" t="s">
        <v>208</v>
      </c>
      <c r="L380" s="27" t="s">
        <v>197</v>
      </c>
      <c r="M380" s="32"/>
    </row>
    <row r="381" spans="1:13" ht="15.2" customHeight="1" x14ac:dyDescent="0.2">
      <c r="A381" s="26" t="s">
        <v>4157</v>
      </c>
      <c r="B381" s="27" t="s">
        <v>3090</v>
      </c>
      <c r="C381" s="28">
        <v>1</v>
      </c>
      <c r="D381" s="29">
        <v>7.5</v>
      </c>
      <c r="E381" s="29">
        <v>7.5</v>
      </c>
      <c r="F381" s="30">
        <v>39</v>
      </c>
      <c r="G381" s="29">
        <v>39</v>
      </c>
      <c r="H381" s="28" t="s">
        <v>3091</v>
      </c>
      <c r="I381" s="27"/>
      <c r="J381" s="31" t="s">
        <v>5</v>
      </c>
      <c r="K381" s="27" t="s">
        <v>154</v>
      </c>
      <c r="L381" s="27" t="s">
        <v>155</v>
      </c>
      <c r="M381" s="32"/>
    </row>
    <row r="382" spans="1:13" ht="15.2" customHeight="1" x14ac:dyDescent="0.2">
      <c r="A382" s="26" t="s">
        <v>4158</v>
      </c>
      <c r="B382" s="27" t="s">
        <v>4159</v>
      </c>
      <c r="C382" s="28">
        <v>1</v>
      </c>
      <c r="D382" s="29">
        <v>7</v>
      </c>
      <c r="E382" s="29">
        <v>7</v>
      </c>
      <c r="F382" s="30">
        <v>16.989999999999998</v>
      </c>
      <c r="G382" s="29">
        <v>16.989999999999998</v>
      </c>
      <c r="H382" s="28" t="s">
        <v>1693</v>
      </c>
      <c r="I382" s="27" t="s">
        <v>280</v>
      </c>
      <c r="J382" s="31" t="s">
        <v>5</v>
      </c>
      <c r="K382" s="27" t="s">
        <v>224</v>
      </c>
      <c r="L382" s="27" t="s">
        <v>197</v>
      </c>
      <c r="M382" s="32"/>
    </row>
    <row r="383" spans="1:13" ht="15.2" customHeight="1" x14ac:dyDescent="0.2">
      <c r="A383" s="26" t="s">
        <v>4160</v>
      </c>
      <c r="B383" s="27" t="s">
        <v>4161</v>
      </c>
      <c r="C383" s="28">
        <v>1</v>
      </c>
      <c r="D383" s="29">
        <v>6.5</v>
      </c>
      <c r="E383" s="29">
        <v>6.5</v>
      </c>
      <c r="F383" s="30">
        <v>12.99</v>
      </c>
      <c r="G383" s="29">
        <v>12.99</v>
      </c>
      <c r="H383" s="28" t="s">
        <v>4162</v>
      </c>
      <c r="I383" s="27" t="s">
        <v>189</v>
      </c>
      <c r="J383" s="31" t="s">
        <v>52</v>
      </c>
      <c r="K383" s="27" t="s">
        <v>282</v>
      </c>
      <c r="L383" s="27" t="s">
        <v>225</v>
      </c>
      <c r="M383" s="32"/>
    </row>
    <row r="384" spans="1:13" ht="15.2" customHeight="1" x14ac:dyDescent="0.2">
      <c r="A384" s="26" t="s">
        <v>4163</v>
      </c>
      <c r="B384" s="27" t="s">
        <v>2063</v>
      </c>
      <c r="C384" s="28">
        <v>1</v>
      </c>
      <c r="D384" s="29">
        <v>6.32</v>
      </c>
      <c r="E384" s="29">
        <v>6.32</v>
      </c>
      <c r="F384" s="30">
        <v>14.99</v>
      </c>
      <c r="G384" s="29">
        <v>14.99</v>
      </c>
      <c r="H384" s="28" t="s">
        <v>2064</v>
      </c>
      <c r="I384" s="27" t="s">
        <v>291</v>
      </c>
      <c r="J384" s="31" t="s">
        <v>21</v>
      </c>
      <c r="K384" s="27" t="s">
        <v>159</v>
      </c>
      <c r="L384" s="27" t="s">
        <v>160</v>
      </c>
      <c r="M384" s="32"/>
    </row>
    <row r="385" spans="1:13" ht="15.2" customHeight="1" x14ac:dyDescent="0.2">
      <c r="A385" s="26" t="s">
        <v>4164</v>
      </c>
      <c r="B385" s="27" t="s">
        <v>4165</v>
      </c>
      <c r="C385" s="28">
        <v>1</v>
      </c>
      <c r="D385" s="29">
        <v>6.25</v>
      </c>
      <c r="E385" s="29">
        <v>6.25</v>
      </c>
      <c r="F385" s="30">
        <v>14.99</v>
      </c>
      <c r="G385" s="29">
        <v>14.99</v>
      </c>
      <c r="H385" s="28" t="s">
        <v>4166</v>
      </c>
      <c r="I385" s="27" t="s">
        <v>82</v>
      </c>
      <c r="J385" s="31" t="s">
        <v>71</v>
      </c>
      <c r="K385" s="27" t="s">
        <v>159</v>
      </c>
      <c r="L385" s="27" t="s">
        <v>160</v>
      </c>
      <c r="M385" s="32"/>
    </row>
    <row r="386" spans="1:13" ht="15.2" customHeight="1" x14ac:dyDescent="0.2">
      <c r="A386" s="26" t="s">
        <v>4167</v>
      </c>
      <c r="B386" s="27" t="s">
        <v>4168</v>
      </c>
      <c r="C386" s="28">
        <v>1</v>
      </c>
      <c r="D386" s="29">
        <v>6.25</v>
      </c>
      <c r="E386" s="29">
        <v>6.25</v>
      </c>
      <c r="F386" s="30">
        <v>13.99</v>
      </c>
      <c r="G386" s="29">
        <v>13.99</v>
      </c>
      <c r="H386" s="28" t="s">
        <v>608</v>
      </c>
      <c r="I386" s="27" t="s">
        <v>4</v>
      </c>
      <c r="J386" s="31" t="s">
        <v>21</v>
      </c>
      <c r="K386" s="27" t="s">
        <v>282</v>
      </c>
      <c r="L386" s="27" t="s">
        <v>260</v>
      </c>
      <c r="M386" s="32"/>
    </row>
    <row r="387" spans="1:13" ht="15.2" customHeight="1" x14ac:dyDescent="0.2">
      <c r="A387" s="26" t="s">
        <v>4169</v>
      </c>
      <c r="B387" s="27" t="s">
        <v>2531</v>
      </c>
      <c r="C387" s="28">
        <v>1</v>
      </c>
      <c r="D387" s="29">
        <v>6.25</v>
      </c>
      <c r="E387" s="29">
        <v>6.25</v>
      </c>
      <c r="F387" s="30">
        <v>14.99</v>
      </c>
      <c r="G387" s="29">
        <v>14.99</v>
      </c>
      <c r="H387" s="28" t="s">
        <v>2532</v>
      </c>
      <c r="I387" s="27" t="s">
        <v>238</v>
      </c>
      <c r="J387" s="31" t="s">
        <v>71</v>
      </c>
      <c r="K387" s="27" t="s">
        <v>159</v>
      </c>
      <c r="L387" s="27" t="s">
        <v>160</v>
      </c>
      <c r="M387" s="32"/>
    </row>
    <row r="388" spans="1:13" ht="15.2" customHeight="1" x14ac:dyDescent="0.2">
      <c r="A388" s="26" t="s">
        <v>2530</v>
      </c>
      <c r="B388" s="27" t="s">
        <v>2531</v>
      </c>
      <c r="C388" s="28">
        <v>1</v>
      </c>
      <c r="D388" s="29">
        <v>6.25</v>
      </c>
      <c r="E388" s="29">
        <v>6.25</v>
      </c>
      <c r="F388" s="30">
        <v>14.99</v>
      </c>
      <c r="G388" s="29">
        <v>14.99</v>
      </c>
      <c r="H388" s="28" t="s">
        <v>2532</v>
      </c>
      <c r="I388" s="27" t="s">
        <v>238</v>
      </c>
      <c r="J388" s="31" t="s">
        <v>40</v>
      </c>
      <c r="K388" s="27" t="s">
        <v>159</v>
      </c>
      <c r="L388" s="27" t="s">
        <v>160</v>
      </c>
      <c r="M388" s="32"/>
    </row>
    <row r="389" spans="1:13" ht="15.2" customHeight="1" x14ac:dyDescent="0.2">
      <c r="A389" s="26" t="s">
        <v>4170</v>
      </c>
      <c r="B389" s="27" t="s">
        <v>4171</v>
      </c>
      <c r="C389" s="28">
        <v>1</v>
      </c>
      <c r="D389" s="29">
        <v>5.95</v>
      </c>
      <c r="E389" s="29">
        <v>5.95</v>
      </c>
      <c r="F389" s="30">
        <v>19.989999999999998</v>
      </c>
      <c r="G389" s="29">
        <v>19.989999999999998</v>
      </c>
      <c r="H389" s="28" t="s">
        <v>2533</v>
      </c>
      <c r="I389" s="27" t="s">
        <v>274</v>
      </c>
      <c r="J389" s="31" t="s">
        <v>5</v>
      </c>
      <c r="K389" s="27" t="s">
        <v>196</v>
      </c>
      <c r="L389" s="27" t="s">
        <v>256</v>
      </c>
      <c r="M389" s="32"/>
    </row>
    <row r="390" spans="1:13" ht="15.2" customHeight="1" x14ac:dyDescent="0.2">
      <c r="A390" s="26" t="s">
        <v>4172</v>
      </c>
      <c r="B390" s="27" t="s">
        <v>4173</v>
      </c>
      <c r="C390" s="28">
        <v>1</v>
      </c>
      <c r="D390" s="29">
        <v>5.95</v>
      </c>
      <c r="E390" s="29">
        <v>5.95</v>
      </c>
      <c r="F390" s="30">
        <v>19.989999999999998</v>
      </c>
      <c r="G390" s="29">
        <v>19.989999999999998</v>
      </c>
      <c r="H390" s="28" t="s">
        <v>2533</v>
      </c>
      <c r="I390" s="27" t="s">
        <v>274</v>
      </c>
      <c r="J390" s="31" t="s">
        <v>40</v>
      </c>
      <c r="K390" s="27" t="s">
        <v>196</v>
      </c>
      <c r="L390" s="27" t="s">
        <v>256</v>
      </c>
      <c r="M390" s="32"/>
    </row>
    <row r="391" spans="1:13" ht="15.2" customHeight="1" x14ac:dyDescent="0.2">
      <c r="A391" s="26" t="s">
        <v>4174</v>
      </c>
      <c r="B391" s="27" t="s">
        <v>3095</v>
      </c>
      <c r="C391" s="28">
        <v>1</v>
      </c>
      <c r="D391" s="29">
        <v>5.75</v>
      </c>
      <c r="E391" s="29">
        <v>5.75</v>
      </c>
      <c r="F391" s="30">
        <v>12.99</v>
      </c>
      <c r="G391" s="29">
        <v>12.99</v>
      </c>
      <c r="H391" s="28" t="s">
        <v>3096</v>
      </c>
      <c r="I391" s="27" t="s">
        <v>4</v>
      </c>
      <c r="J391" s="31" t="s">
        <v>52</v>
      </c>
      <c r="K391" s="27" t="s">
        <v>282</v>
      </c>
      <c r="L391" s="27" t="s">
        <v>386</v>
      </c>
      <c r="M391" s="32"/>
    </row>
    <row r="392" spans="1:13" ht="15.2" customHeight="1" x14ac:dyDescent="0.2">
      <c r="A392" s="26" t="s">
        <v>4175</v>
      </c>
      <c r="B392" s="27" t="s">
        <v>3095</v>
      </c>
      <c r="C392" s="28">
        <v>1</v>
      </c>
      <c r="D392" s="29">
        <v>5.75</v>
      </c>
      <c r="E392" s="29">
        <v>5.75</v>
      </c>
      <c r="F392" s="30">
        <v>12.99</v>
      </c>
      <c r="G392" s="29">
        <v>12.99</v>
      </c>
      <c r="H392" s="28" t="s">
        <v>3096</v>
      </c>
      <c r="I392" s="27" t="s">
        <v>4</v>
      </c>
      <c r="J392" s="31" t="s">
        <v>5</v>
      </c>
      <c r="K392" s="27" t="s">
        <v>282</v>
      </c>
      <c r="L392" s="27" t="s">
        <v>386</v>
      </c>
      <c r="M392" s="32"/>
    </row>
    <row r="393" spans="1:13" ht="15.2" customHeight="1" x14ac:dyDescent="0.2">
      <c r="A393" s="26" t="s">
        <v>4176</v>
      </c>
      <c r="B393" s="27" t="s">
        <v>612</v>
      </c>
      <c r="C393" s="28">
        <v>2</v>
      </c>
      <c r="D393" s="29">
        <v>5.75</v>
      </c>
      <c r="E393" s="29">
        <v>11.5</v>
      </c>
      <c r="F393" s="30">
        <v>12.99</v>
      </c>
      <c r="G393" s="29">
        <v>25.98</v>
      </c>
      <c r="H393" s="28" t="s">
        <v>613</v>
      </c>
      <c r="I393" s="27" t="s">
        <v>4</v>
      </c>
      <c r="J393" s="31" t="s">
        <v>5</v>
      </c>
      <c r="K393" s="27" t="s">
        <v>282</v>
      </c>
      <c r="L393" s="27" t="s">
        <v>386</v>
      </c>
      <c r="M393" s="32"/>
    </row>
    <row r="394" spans="1:13" ht="15.2" customHeight="1" x14ac:dyDescent="0.2">
      <c r="A394" s="26" t="s">
        <v>2540</v>
      </c>
      <c r="B394" s="27" t="s">
        <v>2537</v>
      </c>
      <c r="C394" s="28">
        <v>1</v>
      </c>
      <c r="D394" s="29">
        <v>5.65</v>
      </c>
      <c r="E394" s="29">
        <v>5.65</v>
      </c>
      <c r="F394" s="30">
        <v>12.99</v>
      </c>
      <c r="G394" s="29">
        <v>12.99</v>
      </c>
      <c r="H394" s="28" t="s">
        <v>2538</v>
      </c>
      <c r="I394" s="27" t="s">
        <v>280</v>
      </c>
      <c r="J394" s="31" t="s">
        <v>5</v>
      </c>
      <c r="K394" s="27" t="s">
        <v>282</v>
      </c>
      <c r="L394" s="27" t="s">
        <v>393</v>
      </c>
      <c r="M394" s="32"/>
    </row>
    <row r="395" spans="1:13" ht="15.2" customHeight="1" x14ac:dyDescent="0.2">
      <c r="A395" s="26" t="s">
        <v>4177</v>
      </c>
      <c r="B395" s="27" t="s">
        <v>4178</v>
      </c>
      <c r="C395" s="28">
        <v>2</v>
      </c>
      <c r="D395" s="29">
        <v>5.5</v>
      </c>
      <c r="E395" s="29">
        <v>11</v>
      </c>
      <c r="F395" s="30">
        <v>12.99</v>
      </c>
      <c r="G395" s="29">
        <v>25.98</v>
      </c>
      <c r="H395" s="28" t="s">
        <v>4179</v>
      </c>
      <c r="I395" s="27" t="s">
        <v>4</v>
      </c>
      <c r="J395" s="31" t="s">
        <v>5</v>
      </c>
      <c r="K395" s="27" t="s">
        <v>282</v>
      </c>
      <c r="L395" s="27" t="s">
        <v>283</v>
      </c>
      <c r="M395" s="32"/>
    </row>
    <row r="396" spans="1:13" ht="15.2" customHeight="1" x14ac:dyDescent="0.2">
      <c r="A396" s="26" t="s">
        <v>639</v>
      </c>
      <c r="B396" s="27" t="s">
        <v>629</v>
      </c>
      <c r="C396" s="28">
        <v>1</v>
      </c>
      <c r="D396" s="29">
        <v>5.5</v>
      </c>
      <c r="E396" s="29">
        <v>5.5</v>
      </c>
      <c r="F396" s="30">
        <v>12.99</v>
      </c>
      <c r="G396" s="29">
        <v>12.99</v>
      </c>
      <c r="H396" s="28" t="s">
        <v>630</v>
      </c>
      <c r="I396" s="27" t="s">
        <v>82</v>
      </c>
      <c r="J396" s="31" t="s">
        <v>5</v>
      </c>
      <c r="K396" s="27" t="s">
        <v>282</v>
      </c>
      <c r="L396" s="27" t="s">
        <v>312</v>
      </c>
      <c r="M396" s="32"/>
    </row>
    <row r="397" spans="1:13" ht="15.2" customHeight="1" x14ac:dyDescent="0.2">
      <c r="A397" s="26" t="s">
        <v>4180</v>
      </c>
      <c r="B397" s="27" t="s">
        <v>4181</v>
      </c>
      <c r="C397" s="28">
        <v>1</v>
      </c>
      <c r="D397" s="29">
        <v>5.5</v>
      </c>
      <c r="E397" s="29">
        <v>5.5</v>
      </c>
      <c r="F397" s="30">
        <v>12.99</v>
      </c>
      <c r="G397" s="29">
        <v>12.99</v>
      </c>
      <c r="H397" s="28" t="s">
        <v>4182</v>
      </c>
      <c r="I397" s="27" t="s">
        <v>1</v>
      </c>
      <c r="J397" s="31" t="s">
        <v>21</v>
      </c>
      <c r="K397" s="27" t="s">
        <v>282</v>
      </c>
      <c r="L397" s="27" t="s">
        <v>283</v>
      </c>
      <c r="M397" s="32"/>
    </row>
    <row r="398" spans="1:13" ht="15.2" customHeight="1" x14ac:dyDescent="0.2">
      <c r="A398" s="26" t="s">
        <v>4183</v>
      </c>
      <c r="B398" s="27" t="s">
        <v>629</v>
      </c>
      <c r="C398" s="28">
        <v>1</v>
      </c>
      <c r="D398" s="29">
        <v>5.5</v>
      </c>
      <c r="E398" s="29">
        <v>5.5</v>
      </c>
      <c r="F398" s="30">
        <v>12.99</v>
      </c>
      <c r="G398" s="29">
        <v>12.99</v>
      </c>
      <c r="H398" s="28" t="s">
        <v>630</v>
      </c>
      <c r="I398" s="27" t="s">
        <v>82</v>
      </c>
      <c r="J398" s="31" t="s">
        <v>21</v>
      </c>
      <c r="K398" s="27" t="s">
        <v>282</v>
      </c>
      <c r="L398" s="27" t="s">
        <v>312</v>
      </c>
      <c r="M398" s="32"/>
    </row>
    <row r="399" spans="1:13" ht="15.2" customHeight="1" x14ac:dyDescent="0.2">
      <c r="A399" s="26" t="s">
        <v>4184</v>
      </c>
      <c r="B399" s="27" t="s">
        <v>640</v>
      </c>
      <c r="C399" s="28">
        <v>1</v>
      </c>
      <c r="D399" s="29">
        <v>5.5</v>
      </c>
      <c r="E399" s="29">
        <v>5.5</v>
      </c>
      <c r="F399" s="30">
        <v>12.99</v>
      </c>
      <c r="G399" s="29">
        <v>12.99</v>
      </c>
      <c r="H399" s="28" t="s">
        <v>641</v>
      </c>
      <c r="I399" s="27" t="s">
        <v>144</v>
      </c>
      <c r="J399" s="31" t="s">
        <v>40</v>
      </c>
      <c r="K399" s="27" t="s">
        <v>282</v>
      </c>
      <c r="L399" s="27" t="s">
        <v>312</v>
      </c>
      <c r="M399" s="32"/>
    </row>
    <row r="400" spans="1:13" ht="15.2" customHeight="1" x14ac:dyDescent="0.2">
      <c r="A400" s="26" t="s">
        <v>4185</v>
      </c>
      <c r="B400" s="27" t="s">
        <v>4186</v>
      </c>
      <c r="C400" s="28">
        <v>1</v>
      </c>
      <c r="D400" s="29">
        <v>5.5</v>
      </c>
      <c r="E400" s="29">
        <v>5.5</v>
      </c>
      <c r="F400" s="30">
        <v>12.99</v>
      </c>
      <c r="G400" s="29">
        <v>12.99</v>
      </c>
      <c r="H400" s="28" t="s">
        <v>4179</v>
      </c>
      <c r="I400" s="27" t="s">
        <v>4</v>
      </c>
      <c r="J400" s="31" t="s">
        <v>21</v>
      </c>
      <c r="K400" s="27" t="s">
        <v>282</v>
      </c>
      <c r="L400" s="27" t="s">
        <v>283</v>
      </c>
      <c r="M400" s="32"/>
    </row>
  </sheetData>
  <pageMargins left="0.5" right="0.5" top="0.25" bottom="0.25" header="0.3" footer="0.3"/>
  <pageSetup scale="65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15"/>
  <sheetViews>
    <sheetView workbookViewId="0">
      <selection activeCell="B25" sqref="B25"/>
    </sheetView>
  </sheetViews>
  <sheetFormatPr defaultRowHeight="15.2" customHeight="1" x14ac:dyDescent="0.2"/>
  <cols>
    <col min="1" max="1" width="14.85546875" style="1" bestFit="1" customWidth="1"/>
    <col min="2" max="2" width="74.28515625" style="1" bestFit="1" customWidth="1"/>
    <col min="3" max="3" width="6.42578125" style="1" bestFit="1" customWidth="1"/>
    <col min="4" max="4" width="7.5703125" style="1" bestFit="1" customWidth="1"/>
    <col min="5" max="5" width="9.5703125" style="1" bestFit="1" customWidth="1"/>
    <col min="6" max="6" width="8.7109375" style="1" bestFit="1" customWidth="1"/>
    <col min="7" max="7" width="11.140625" style="1" bestFit="1" customWidth="1"/>
    <col min="8" max="8" width="23" style="1" bestFit="1" customWidth="1"/>
    <col min="9" max="9" width="14.7109375" style="1" bestFit="1" customWidth="1"/>
    <col min="10" max="10" width="10.7109375" style="1" bestFit="1" customWidth="1"/>
    <col min="11" max="11" width="19" style="1" bestFit="1" customWidth="1"/>
    <col min="12" max="12" width="43.7109375" style="1" bestFit="1" customWidth="1"/>
    <col min="13" max="13" width="49.42578125" style="1" bestFit="1" customWidth="1"/>
    <col min="14" max="16384" width="9.140625" style="1"/>
  </cols>
  <sheetData>
    <row r="1" spans="1:13" ht="15.2" customHeight="1" x14ac:dyDescent="0.2">
      <c r="A1" s="25" t="s">
        <v>0</v>
      </c>
      <c r="B1" s="25" t="s">
        <v>11929</v>
      </c>
      <c r="C1" s="25" t="s">
        <v>11915</v>
      </c>
      <c r="D1" s="25" t="s">
        <v>11927</v>
      </c>
      <c r="E1" s="25" t="s">
        <v>11928</v>
      </c>
      <c r="F1" s="25" t="s">
        <v>11919</v>
      </c>
      <c r="G1" s="25" t="s">
        <v>11920</v>
      </c>
      <c r="H1" s="25" t="s">
        <v>11921</v>
      </c>
      <c r="I1" s="25" t="s">
        <v>11922</v>
      </c>
      <c r="J1" s="25" t="s">
        <v>11923</v>
      </c>
      <c r="K1" s="25" t="s">
        <v>11924</v>
      </c>
      <c r="L1" s="25" t="s">
        <v>11925</v>
      </c>
      <c r="M1" s="25" t="s">
        <v>11926</v>
      </c>
    </row>
    <row r="2" spans="1:13" ht="15.2" customHeight="1" x14ac:dyDescent="0.2">
      <c r="A2" s="26" t="s">
        <v>4905</v>
      </c>
      <c r="B2" s="27" t="s">
        <v>4906</v>
      </c>
      <c r="C2" s="28">
        <v>1</v>
      </c>
      <c r="D2" s="29">
        <v>36.5</v>
      </c>
      <c r="E2" s="29">
        <v>36.5</v>
      </c>
      <c r="F2" s="30">
        <v>109</v>
      </c>
      <c r="G2" s="29">
        <v>109</v>
      </c>
      <c r="H2" s="28" t="s">
        <v>4907</v>
      </c>
      <c r="I2" s="27" t="s">
        <v>22</v>
      </c>
      <c r="J2" s="31" t="s">
        <v>69</v>
      </c>
      <c r="K2" s="27" t="s">
        <v>24</v>
      </c>
      <c r="L2" s="27" t="s">
        <v>25</v>
      </c>
      <c r="M2" s="32" t="str">
        <f>HYPERLINK("http://slimages.macys.com/is/image/MCY/3776746 ")</f>
        <v xml:space="preserve">http://slimages.macys.com/is/image/MCY/3776746 </v>
      </c>
    </row>
    <row r="3" spans="1:13" ht="15.2" customHeight="1" x14ac:dyDescent="0.2">
      <c r="A3" s="26" t="s">
        <v>4908</v>
      </c>
      <c r="B3" s="27" t="s">
        <v>4909</v>
      </c>
      <c r="C3" s="28">
        <v>1</v>
      </c>
      <c r="D3" s="29">
        <v>34</v>
      </c>
      <c r="E3" s="29">
        <v>34</v>
      </c>
      <c r="F3" s="30">
        <v>99</v>
      </c>
      <c r="G3" s="29">
        <v>99</v>
      </c>
      <c r="H3" s="28" t="s">
        <v>4910</v>
      </c>
      <c r="I3" s="27" t="s">
        <v>291</v>
      </c>
      <c r="J3" s="31" t="s">
        <v>210</v>
      </c>
      <c r="K3" s="27" t="s">
        <v>24</v>
      </c>
      <c r="L3" s="27" t="s">
        <v>25</v>
      </c>
      <c r="M3" s="32" t="str">
        <f>HYPERLINK("http://slimages.macys.com/is/image/MCY/2950892 ")</f>
        <v xml:space="preserve">http://slimages.macys.com/is/image/MCY/2950892 </v>
      </c>
    </row>
    <row r="4" spans="1:13" ht="15.2" customHeight="1" x14ac:dyDescent="0.2">
      <c r="A4" s="26" t="s">
        <v>4911</v>
      </c>
      <c r="B4" s="27" t="s">
        <v>4912</v>
      </c>
      <c r="C4" s="28">
        <v>1</v>
      </c>
      <c r="D4" s="29">
        <v>33</v>
      </c>
      <c r="E4" s="29">
        <v>33</v>
      </c>
      <c r="F4" s="30">
        <v>99</v>
      </c>
      <c r="G4" s="29">
        <v>99</v>
      </c>
      <c r="H4" s="28" t="s">
        <v>4913</v>
      </c>
      <c r="I4" s="27" t="s">
        <v>82</v>
      </c>
      <c r="J4" s="31" t="s">
        <v>69</v>
      </c>
      <c r="K4" s="27" t="s">
        <v>24</v>
      </c>
      <c r="L4" s="27" t="s">
        <v>650</v>
      </c>
      <c r="M4" s="32" t="str">
        <f>HYPERLINK("http://slimages.macys.com/is/image/MCY/3739877 ")</f>
        <v xml:space="preserve">http://slimages.macys.com/is/image/MCY/3739877 </v>
      </c>
    </row>
    <row r="5" spans="1:13" ht="15.2" customHeight="1" x14ac:dyDescent="0.2">
      <c r="A5" s="26" t="s">
        <v>4914</v>
      </c>
      <c r="B5" s="27" t="s">
        <v>4915</v>
      </c>
      <c r="C5" s="28">
        <v>1</v>
      </c>
      <c r="D5" s="29">
        <v>31.75</v>
      </c>
      <c r="E5" s="29">
        <v>31.75</v>
      </c>
      <c r="F5" s="30">
        <v>99</v>
      </c>
      <c r="G5" s="29">
        <v>99</v>
      </c>
      <c r="H5" s="28" t="s">
        <v>4916</v>
      </c>
      <c r="I5" s="27" t="s">
        <v>59</v>
      </c>
      <c r="J5" s="31" t="s">
        <v>205</v>
      </c>
      <c r="K5" s="27" t="s">
        <v>24</v>
      </c>
      <c r="L5" s="27" t="s">
        <v>25</v>
      </c>
      <c r="M5" s="32" t="str">
        <f>HYPERLINK("http://slimages.macys.com/is/image/MCY/3503182 ")</f>
        <v xml:space="preserve">http://slimages.macys.com/is/image/MCY/3503182 </v>
      </c>
    </row>
    <row r="6" spans="1:13" ht="15.2" customHeight="1" x14ac:dyDescent="0.2">
      <c r="A6" s="26" t="s">
        <v>4917</v>
      </c>
      <c r="B6" s="27" t="s">
        <v>4918</v>
      </c>
      <c r="C6" s="28">
        <v>1</v>
      </c>
      <c r="D6" s="29">
        <v>29</v>
      </c>
      <c r="E6" s="29">
        <v>29</v>
      </c>
      <c r="F6" s="30">
        <v>89</v>
      </c>
      <c r="G6" s="29">
        <v>89</v>
      </c>
      <c r="H6" s="28" t="s">
        <v>1086</v>
      </c>
      <c r="I6" s="27" t="s">
        <v>4</v>
      </c>
      <c r="J6" s="31"/>
      <c r="K6" s="27" t="s">
        <v>24</v>
      </c>
      <c r="L6" s="27" t="s">
        <v>67</v>
      </c>
      <c r="M6" s="32" t="str">
        <f>HYPERLINK("http://slimages.macys.com/is/image/MCY/3785825 ")</f>
        <v xml:space="preserve">http://slimages.macys.com/is/image/MCY/3785825 </v>
      </c>
    </row>
    <row r="7" spans="1:13" ht="15.2" customHeight="1" x14ac:dyDescent="0.2">
      <c r="A7" s="26" t="s">
        <v>4919</v>
      </c>
      <c r="B7" s="27" t="s">
        <v>4920</v>
      </c>
      <c r="C7" s="28">
        <v>1</v>
      </c>
      <c r="D7" s="29">
        <v>27.5</v>
      </c>
      <c r="E7" s="29">
        <v>27.5</v>
      </c>
      <c r="F7" s="30">
        <v>89</v>
      </c>
      <c r="G7" s="29">
        <v>89</v>
      </c>
      <c r="H7" s="28" t="s">
        <v>4921</v>
      </c>
      <c r="I7" s="27" t="s">
        <v>59</v>
      </c>
      <c r="J7" s="31" t="s">
        <v>216</v>
      </c>
      <c r="K7" s="27" t="s">
        <v>24</v>
      </c>
      <c r="L7" s="27" t="s">
        <v>25</v>
      </c>
      <c r="M7" s="32" t="str">
        <f>HYPERLINK("http://slimages.macys.com/is/image/MCY/3429644 ")</f>
        <v xml:space="preserve">http://slimages.macys.com/is/image/MCY/3429644 </v>
      </c>
    </row>
    <row r="8" spans="1:13" ht="15.2" customHeight="1" x14ac:dyDescent="0.2">
      <c r="A8" s="26" t="s">
        <v>4922</v>
      </c>
      <c r="B8" s="27" t="s">
        <v>4923</v>
      </c>
      <c r="C8" s="28">
        <v>1</v>
      </c>
      <c r="D8" s="29">
        <v>26</v>
      </c>
      <c r="E8" s="29">
        <v>26</v>
      </c>
      <c r="F8" s="30">
        <v>79</v>
      </c>
      <c r="G8" s="29">
        <v>79</v>
      </c>
      <c r="H8" s="28" t="s">
        <v>2805</v>
      </c>
      <c r="I8" s="27" t="s">
        <v>4</v>
      </c>
      <c r="J8" s="31"/>
      <c r="K8" s="27" t="s">
        <v>24</v>
      </c>
      <c r="L8" s="27" t="s">
        <v>67</v>
      </c>
      <c r="M8" s="32" t="str">
        <f>HYPERLINK("http://slimages.macys.com/is/image/MCY/3817400 ")</f>
        <v xml:space="preserve">http://slimages.macys.com/is/image/MCY/3817400 </v>
      </c>
    </row>
    <row r="9" spans="1:13" ht="15.2" customHeight="1" x14ac:dyDescent="0.2">
      <c r="A9" s="26" t="s">
        <v>4924</v>
      </c>
      <c r="B9" s="27" t="s">
        <v>4925</v>
      </c>
      <c r="C9" s="28">
        <v>1</v>
      </c>
      <c r="D9" s="29">
        <v>25.34</v>
      </c>
      <c r="E9" s="29">
        <v>25.34</v>
      </c>
      <c r="F9" s="30">
        <v>69.5</v>
      </c>
      <c r="G9" s="29">
        <v>69.5</v>
      </c>
      <c r="H9" s="28" t="s">
        <v>4926</v>
      </c>
      <c r="I9" s="27" t="s">
        <v>10</v>
      </c>
      <c r="J9" s="31" t="s">
        <v>21</v>
      </c>
      <c r="K9" s="27" t="s">
        <v>41</v>
      </c>
      <c r="L9" s="27" t="s">
        <v>45</v>
      </c>
      <c r="M9" s="32" t="str">
        <f>HYPERLINK("http://slimages.macys.com/is/image/MCY/3802135 ")</f>
        <v xml:space="preserve">http://slimages.macys.com/is/image/MCY/3802135 </v>
      </c>
    </row>
    <row r="10" spans="1:13" ht="15.2" customHeight="1" x14ac:dyDescent="0.2">
      <c r="A10" s="26" t="s">
        <v>4927</v>
      </c>
      <c r="B10" s="27" t="s">
        <v>4928</v>
      </c>
      <c r="C10" s="28">
        <v>1</v>
      </c>
      <c r="D10" s="29">
        <v>25</v>
      </c>
      <c r="E10" s="29">
        <v>25</v>
      </c>
      <c r="F10" s="30">
        <v>59</v>
      </c>
      <c r="G10" s="29">
        <v>59</v>
      </c>
      <c r="H10" s="28">
        <v>2018</v>
      </c>
      <c r="I10" s="27" t="s">
        <v>1</v>
      </c>
      <c r="J10" s="31"/>
      <c r="K10" s="27" t="s">
        <v>1089</v>
      </c>
      <c r="L10" s="27" t="s">
        <v>4432</v>
      </c>
      <c r="M10" s="32" t="str">
        <f>HYPERLINK("http://slimages.macys.com/is/image/MCY/3593142 ")</f>
        <v xml:space="preserve">http://slimages.macys.com/is/image/MCY/3593142 </v>
      </c>
    </row>
    <row r="11" spans="1:13" ht="15.2" customHeight="1" x14ac:dyDescent="0.2">
      <c r="A11" s="26" t="s">
        <v>4929</v>
      </c>
      <c r="B11" s="27" t="s">
        <v>4930</v>
      </c>
      <c r="C11" s="28">
        <v>1</v>
      </c>
      <c r="D11" s="29">
        <v>23.7</v>
      </c>
      <c r="E11" s="29">
        <v>23.7</v>
      </c>
      <c r="F11" s="30">
        <v>79</v>
      </c>
      <c r="G11" s="29">
        <v>79</v>
      </c>
      <c r="H11" s="28">
        <v>49007563</v>
      </c>
      <c r="I11" s="27" t="s">
        <v>4</v>
      </c>
      <c r="J11" s="31" t="s">
        <v>65</v>
      </c>
      <c r="K11" s="27" t="s">
        <v>6</v>
      </c>
      <c r="L11" s="27" t="s">
        <v>7</v>
      </c>
      <c r="M11" s="32" t="str">
        <f>HYPERLINK("http://slimages.macys.com/is/image/MCY/3600945 ")</f>
        <v xml:space="preserve">http://slimages.macys.com/is/image/MCY/3600945 </v>
      </c>
    </row>
    <row r="12" spans="1:13" ht="15.2" customHeight="1" x14ac:dyDescent="0.2">
      <c r="A12" s="26" t="s">
        <v>4931</v>
      </c>
      <c r="B12" s="27" t="s">
        <v>4932</v>
      </c>
      <c r="C12" s="28">
        <v>1</v>
      </c>
      <c r="D12" s="29">
        <v>23</v>
      </c>
      <c r="E12" s="29">
        <v>23</v>
      </c>
      <c r="F12" s="30">
        <v>59.5</v>
      </c>
      <c r="G12" s="29">
        <v>59.5</v>
      </c>
      <c r="H12" s="28" t="s">
        <v>672</v>
      </c>
      <c r="I12" s="27" t="s">
        <v>4</v>
      </c>
      <c r="J12" s="31" t="s">
        <v>71</v>
      </c>
      <c r="K12" s="27" t="s">
        <v>17</v>
      </c>
      <c r="L12" s="27" t="s">
        <v>18</v>
      </c>
      <c r="M12" s="32" t="str">
        <f>HYPERLINK("http://slimages.macys.com/is/image/MCY/3895026 ")</f>
        <v xml:space="preserve">http://slimages.macys.com/is/image/MCY/3895026 </v>
      </c>
    </row>
    <row r="13" spans="1:13" ht="15.2" customHeight="1" x14ac:dyDescent="0.2">
      <c r="A13" s="26" t="s">
        <v>4933</v>
      </c>
      <c r="B13" s="27" t="s">
        <v>4934</v>
      </c>
      <c r="C13" s="28">
        <v>1</v>
      </c>
      <c r="D13" s="29">
        <v>22</v>
      </c>
      <c r="E13" s="29">
        <v>22</v>
      </c>
      <c r="F13" s="30">
        <v>69</v>
      </c>
      <c r="G13" s="29">
        <v>69</v>
      </c>
      <c r="H13" s="28" t="s">
        <v>4935</v>
      </c>
      <c r="I13" s="27" t="s">
        <v>59</v>
      </c>
      <c r="J13" s="31" t="s">
        <v>210</v>
      </c>
      <c r="K13" s="27" t="s">
        <v>24</v>
      </c>
      <c r="L13" s="27" t="s">
        <v>485</v>
      </c>
      <c r="M13" s="32" t="str">
        <f>HYPERLINK("http://slimages.macys.com/is/image/MCY/3721284 ")</f>
        <v xml:space="preserve">http://slimages.macys.com/is/image/MCY/3721284 </v>
      </c>
    </row>
    <row r="14" spans="1:13" ht="15.2" customHeight="1" x14ac:dyDescent="0.2">
      <c r="A14" s="26" t="s">
        <v>4936</v>
      </c>
      <c r="B14" s="27" t="s">
        <v>4937</v>
      </c>
      <c r="C14" s="28">
        <v>1</v>
      </c>
      <c r="D14" s="29">
        <v>21.96</v>
      </c>
      <c r="E14" s="29">
        <v>21.96</v>
      </c>
      <c r="F14" s="30">
        <v>59.99</v>
      </c>
      <c r="G14" s="29">
        <v>59.99</v>
      </c>
      <c r="H14" s="28" t="s">
        <v>4938</v>
      </c>
      <c r="I14" s="27" t="s">
        <v>4</v>
      </c>
      <c r="J14" s="31" t="s">
        <v>52</v>
      </c>
      <c r="K14" s="27" t="s">
        <v>41</v>
      </c>
      <c r="L14" s="27" t="s">
        <v>83</v>
      </c>
      <c r="M14" s="32" t="str">
        <f>HYPERLINK("http://slimages.macys.com/is/image/MCY/2915075 ")</f>
        <v xml:space="preserve">http://slimages.macys.com/is/image/MCY/2915075 </v>
      </c>
    </row>
    <row r="15" spans="1:13" ht="15.2" customHeight="1" x14ac:dyDescent="0.2">
      <c r="A15" s="26" t="s">
        <v>4939</v>
      </c>
      <c r="B15" s="27" t="s">
        <v>4940</v>
      </c>
      <c r="C15" s="28">
        <v>1</v>
      </c>
      <c r="D15" s="29">
        <v>21.46</v>
      </c>
      <c r="E15" s="29">
        <v>21.46</v>
      </c>
      <c r="F15" s="30">
        <v>54.99</v>
      </c>
      <c r="G15" s="29">
        <v>54.99</v>
      </c>
      <c r="H15" s="28" t="s">
        <v>4941</v>
      </c>
      <c r="I15" s="27" t="s">
        <v>10</v>
      </c>
      <c r="J15" s="31" t="s">
        <v>172</v>
      </c>
      <c r="K15" s="27" t="s">
        <v>41</v>
      </c>
      <c r="L15" s="27" t="s">
        <v>83</v>
      </c>
      <c r="M15" s="32" t="str">
        <f>HYPERLINK("http://slimages.macys.com/is/image/MCY/3555978 ")</f>
        <v xml:space="preserve">http://slimages.macys.com/is/image/MCY/3555978 </v>
      </c>
    </row>
    <row r="16" spans="1:13" ht="15.2" customHeight="1" x14ac:dyDescent="0.2">
      <c r="A16" s="26" t="s">
        <v>4942</v>
      </c>
      <c r="B16" s="27" t="s">
        <v>4943</v>
      </c>
      <c r="C16" s="28">
        <v>1</v>
      </c>
      <c r="D16" s="29">
        <v>21.14</v>
      </c>
      <c r="E16" s="29">
        <v>21.14</v>
      </c>
      <c r="F16" s="30">
        <v>59.5</v>
      </c>
      <c r="G16" s="29">
        <v>59.5</v>
      </c>
      <c r="H16" s="28" t="s">
        <v>48</v>
      </c>
      <c r="I16" s="27" t="s">
        <v>49</v>
      </c>
      <c r="J16" s="31"/>
      <c r="K16" s="27" t="s">
        <v>12</v>
      </c>
      <c r="L16" s="27" t="s">
        <v>13</v>
      </c>
      <c r="M16" s="32" t="str">
        <f>HYPERLINK("http://slimages.macys.com/is/image/MCY/3922311 ")</f>
        <v xml:space="preserve">http://slimages.macys.com/is/image/MCY/3922311 </v>
      </c>
    </row>
    <row r="17" spans="1:13" ht="15.2" customHeight="1" x14ac:dyDescent="0.2">
      <c r="A17" s="26" t="s">
        <v>46</v>
      </c>
      <c r="B17" s="27" t="s">
        <v>47</v>
      </c>
      <c r="C17" s="28">
        <v>1</v>
      </c>
      <c r="D17" s="29">
        <v>21.14</v>
      </c>
      <c r="E17" s="29">
        <v>21.14</v>
      </c>
      <c r="F17" s="30">
        <v>59.5</v>
      </c>
      <c r="G17" s="29">
        <v>59.5</v>
      </c>
      <c r="H17" s="28" t="s">
        <v>48</v>
      </c>
      <c r="I17" s="27" t="s">
        <v>49</v>
      </c>
      <c r="J17" s="31" t="s">
        <v>30</v>
      </c>
      <c r="K17" s="27" t="s">
        <v>12</v>
      </c>
      <c r="L17" s="27" t="s">
        <v>13</v>
      </c>
      <c r="M17" s="32" t="str">
        <f>HYPERLINK("http://slimages.macys.com/is/image/MCY/3922311 ")</f>
        <v xml:space="preserve">http://slimages.macys.com/is/image/MCY/3922311 </v>
      </c>
    </row>
    <row r="18" spans="1:13" ht="15.2" customHeight="1" x14ac:dyDescent="0.2">
      <c r="A18" s="26" t="s">
        <v>4944</v>
      </c>
      <c r="B18" s="27" t="s">
        <v>4945</v>
      </c>
      <c r="C18" s="28">
        <v>1</v>
      </c>
      <c r="D18" s="29">
        <v>20.52</v>
      </c>
      <c r="E18" s="29">
        <v>20.52</v>
      </c>
      <c r="F18" s="30">
        <v>59.5</v>
      </c>
      <c r="G18" s="29">
        <v>59.5</v>
      </c>
      <c r="H18" s="28" t="s">
        <v>682</v>
      </c>
      <c r="I18" s="27" t="s">
        <v>82</v>
      </c>
      <c r="J18" s="31" t="s">
        <v>40</v>
      </c>
      <c r="K18" s="27" t="s">
        <v>53</v>
      </c>
      <c r="L18" s="27" t="s">
        <v>167</v>
      </c>
      <c r="M18" s="32" t="str">
        <f>HYPERLINK("http://slimages.macys.com/is/image/MCY/3918811 ")</f>
        <v xml:space="preserve">http://slimages.macys.com/is/image/MCY/3918811 </v>
      </c>
    </row>
    <row r="19" spans="1:13" ht="15.2" customHeight="1" x14ac:dyDescent="0.2">
      <c r="A19" s="26" t="s">
        <v>4946</v>
      </c>
      <c r="B19" s="27" t="s">
        <v>4947</v>
      </c>
      <c r="C19" s="28">
        <v>1</v>
      </c>
      <c r="D19" s="29">
        <v>20</v>
      </c>
      <c r="E19" s="29">
        <v>20</v>
      </c>
      <c r="F19" s="30">
        <v>49.99</v>
      </c>
      <c r="G19" s="29">
        <v>49.99</v>
      </c>
      <c r="H19" s="28" t="s">
        <v>1119</v>
      </c>
      <c r="I19" s="27" t="s">
        <v>10</v>
      </c>
      <c r="J19" s="31"/>
      <c r="K19" s="27" t="s">
        <v>70</v>
      </c>
      <c r="L19" s="27" t="s">
        <v>67</v>
      </c>
      <c r="M19" s="32" t="str">
        <f>HYPERLINK("http://slimages.macys.com/is/image/MCY/3760845 ")</f>
        <v xml:space="preserve">http://slimages.macys.com/is/image/MCY/3760845 </v>
      </c>
    </row>
    <row r="20" spans="1:13" ht="15.2" customHeight="1" x14ac:dyDescent="0.2">
      <c r="A20" s="26" t="s">
        <v>4948</v>
      </c>
      <c r="B20" s="27" t="s">
        <v>4949</v>
      </c>
      <c r="C20" s="28">
        <v>1</v>
      </c>
      <c r="D20" s="29">
        <v>20</v>
      </c>
      <c r="E20" s="29">
        <v>20</v>
      </c>
      <c r="F20" s="30">
        <v>59</v>
      </c>
      <c r="G20" s="29">
        <v>59</v>
      </c>
      <c r="H20" s="28" t="s">
        <v>4950</v>
      </c>
      <c r="I20" s="27" t="s">
        <v>4</v>
      </c>
      <c r="J20" s="31" t="s">
        <v>234</v>
      </c>
      <c r="K20" s="27" t="s">
        <v>24</v>
      </c>
      <c r="L20" s="27" t="s">
        <v>650</v>
      </c>
      <c r="M20" s="32" t="str">
        <f>HYPERLINK("http://slimages.macys.com/is/image/MCY/3459663 ")</f>
        <v xml:space="preserve">http://slimages.macys.com/is/image/MCY/3459663 </v>
      </c>
    </row>
    <row r="21" spans="1:13" ht="15.2" customHeight="1" x14ac:dyDescent="0.2">
      <c r="A21" s="26" t="s">
        <v>4951</v>
      </c>
      <c r="B21" s="27" t="s">
        <v>4952</v>
      </c>
      <c r="C21" s="28">
        <v>1</v>
      </c>
      <c r="D21" s="29">
        <v>19.579999999999998</v>
      </c>
      <c r="E21" s="29">
        <v>19.579999999999998</v>
      </c>
      <c r="F21" s="30">
        <v>44.99</v>
      </c>
      <c r="G21" s="29">
        <v>44.99</v>
      </c>
      <c r="H21" s="28" t="s">
        <v>4953</v>
      </c>
      <c r="I21" s="27" t="s">
        <v>59</v>
      </c>
      <c r="J21" s="31" t="s">
        <v>21</v>
      </c>
      <c r="K21" s="27" t="s">
        <v>41</v>
      </c>
      <c r="L21" s="27" t="s">
        <v>45</v>
      </c>
      <c r="M21" s="32" t="str">
        <f>HYPERLINK("http://slimages.macys.com/is/image/MCY/3026770 ")</f>
        <v xml:space="preserve">http://slimages.macys.com/is/image/MCY/3026770 </v>
      </c>
    </row>
    <row r="22" spans="1:13" ht="15.2" customHeight="1" x14ac:dyDescent="0.2">
      <c r="A22" s="26" t="s">
        <v>4954</v>
      </c>
      <c r="B22" s="27" t="s">
        <v>4955</v>
      </c>
      <c r="C22" s="28">
        <v>1</v>
      </c>
      <c r="D22" s="29">
        <v>19</v>
      </c>
      <c r="E22" s="29">
        <v>19</v>
      </c>
      <c r="F22" s="30">
        <v>69</v>
      </c>
      <c r="G22" s="29">
        <v>69</v>
      </c>
      <c r="H22" s="28" t="s">
        <v>4956</v>
      </c>
      <c r="I22" s="27" t="s">
        <v>49</v>
      </c>
      <c r="J22" s="31" t="s">
        <v>214</v>
      </c>
      <c r="K22" s="27" t="s">
        <v>154</v>
      </c>
      <c r="L22" s="27" t="s">
        <v>155</v>
      </c>
      <c r="M22" s="32" t="str">
        <f>HYPERLINK("http://slimages.macys.com/is/image/MCY/3315047 ")</f>
        <v xml:space="preserve">http://slimages.macys.com/is/image/MCY/3315047 </v>
      </c>
    </row>
    <row r="23" spans="1:13" ht="15.2" customHeight="1" x14ac:dyDescent="0.2">
      <c r="A23" s="26" t="s">
        <v>4813</v>
      </c>
      <c r="B23" s="27" t="s">
        <v>4814</v>
      </c>
      <c r="C23" s="28">
        <v>1</v>
      </c>
      <c r="D23" s="29">
        <v>19</v>
      </c>
      <c r="E23" s="29">
        <v>19</v>
      </c>
      <c r="F23" s="30">
        <v>49</v>
      </c>
      <c r="G23" s="29">
        <v>49</v>
      </c>
      <c r="H23" s="28" t="s">
        <v>1740</v>
      </c>
      <c r="I23" s="27" t="s">
        <v>1</v>
      </c>
      <c r="J23" s="31" t="s">
        <v>5</v>
      </c>
      <c r="K23" s="27" t="s">
        <v>42</v>
      </c>
      <c r="L23" s="27" t="s">
        <v>327</v>
      </c>
      <c r="M23" s="32" t="str">
        <f>HYPERLINK("http://slimages.macys.com/is/image/MCY/3703339 ")</f>
        <v xml:space="preserve">http://slimages.macys.com/is/image/MCY/3703339 </v>
      </c>
    </row>
    <row r="24" spans="1:13" ht="15.2" customHeight="1" x14ac:dyDescent="0.2">
      <c r="A24" s="26" t="s">
        <v>4957</v>
      </c>
      <c r="B24" s="27" t="s">
        <v>4958</v>
      </c>
      <c r="C24" s="28">
        <v>1</v>
      </c>
      <c r="D24" s="29">
        <v>18.23</v>
      </c>
      <c r="E24" s="29">
        <v>18.23</v>
      </c>
      <c r="F24" s="30">
        <v>49.99</v>
      </c>
      <c r="G24" s="29">
        <v>49.99</v>
      </c>
      <c r="H24" s="28" t="s">
        <v>1141</v>
      </c>
      <c r="I24" s="27" t="s">
        <v>1</v>
      </c>
      <c r="J24" s="31" t="s">
        <v>65</v>
      </c>
      <c r="K24" s="27" t="s">
        <v>41</v>
      </c>
      <c r="L24" s="27" t="s">
        <v>83</v>
      </c>
      <c r="M24" s="32" t="str">
        <f>HYPERLINK("http://slimages.macys.com/is/image/MCY/3954961 ")</f>
        <v xml:space="preserve">http://slimages.macys.com/is/image/MCY/3954961 </v>
      </c>
    </row>
    <row r="25" spans="1:13" ht="15.2" customHeight="1" x14ac:dyDescent="0.2">
      <c r="A25" s="26" t="s">
        <v>1137</v>
      </c>
      <c r="B25" s="27" t="s">
        <v>1138</v>
      </c>
      <c r="C25" s="28">
        <v>1</v>
      </c>
      <c r="D25" s="29">
        <v>18.23</v>
      </c>
      <c r="E25" s="29">
        <v>18.23</v>
      </c>
      <c r="F25" s="30">
        <v>49.99</v>
      </c>
      <c r="G25" s="29">
        <v>49.99</v>
      </c>
      <c r="H25" s="28" t="s">
        <v>79</v>
      </c>
      <c r="I25" s="27" t="s">
        <v>20</v>
      </c>
      <c r="J25" s="31" t="s">
        <v>40</v>
      </c>
      <c r="K25" s="27" t="s">
        <v>41</v>
      </c>
      <c r="L25" s="27" t="s">
        <v>80</v>
      </c>
      <c r="M25" s="32" t="str">
        <f>HYPERLINK("http://slimages.macys.com/is/image/MCY/3954963 ")</f>
        <v xml:space="preserve">http://slimages.macys.com/is/image/MCY/3954963 </v>
      </c>
    </row>
    <row r="26" spans="1:13" ht="15.2" customHeight="1" x14ac:dyDescent="0.2">
      <c r="A26" s="26" t="s">
        <v>77</v>
      </c>
      <c r="B26" s="27" t="s">
        <v>78</v>
      </c>
      <c r="C26" s="28">
        <v>1</v>
      </c>
      <c r="D26" s="29">
        <v>18.23</v>
      </c>
      <c r="E26" s="29">
        <v>18.23</v>
      </c>
      <c r="F26" s="30">
        <v>49.99</v>
      </c>
      <c r="G26" s="29">
        <v>49.99</v>
      </c>
      <c r="H26" s="28" t="s">
        <v>79</v>
      </c>
      <c r="I26" s="27" t="s">
        <v>20</v>
      </c>
      <c r="J26" s="31" t="s">
        <v>52</v>
      </c>
      <c r="K26" s="27" t="s">
        <v>41</v>
      </c>
      <c r="L26" s="27" t="s">
        <v>80</v>
      </c>
      <c r="M26" s="32" t="str">
        <f>HYPERLINK("http://slimages.macys.com/is/image/MCY/3954963 ")</f>
        <v xml:space="preserve">http://slimages.macys.com/is/image/MCY/3954963 </v>
      </c>
    </row>
    <row r="27" spans="1:13" ht="15.2" customHeight="1" x14ac:dyDescent="0.2">
      <c r="A27" s="26" t="s">
        <v>4959</v>
      </c>
      <c r="B27" s="27" t="s">
        <v>4960</v>
      </c>
      <c r="C27" s="28">
        <v>1</v>
      </c>
      <c r="D27" s="29">
        <v>18.22</v>
      </c>
      <c r="E27" s="29">
        <v>18.22</v>
      </c>
      <c r="F27" s="30">
        <v>49.99</v>
      </c>
      <c r="G27" s="29">
        <v>49.99</v>
      </c>
      <c r="H27" s="28" t="s">
        <v>81</v>
      </c>
      <c r="I27" s="27" t="s">
        <v>82</v>
      </c>
      <c r="J27" s="31" t="s">
        <v>5</v>
      </c>
      <c r="K27" s="27" t="s">
        <v>41</v>
      </c>
      <c r="L27" s="27" t="s">
        <v>83</v>
      </c>
      <c r="M27" s="32" t="str">
        <f>HYPERLINK("http://slimages.macys.com/is/image/MCY/3963138 ")</f>
        <v xml:space="preserve">http://slimages.macys.com/is/image/MCY/3963138 </v>
      </c>
    </row>
    <row r="28" spans="1:13" ht="15.2" customHeight="1" x14ac:dyDescent="0.2">
      <c r="A28" s="26" t="s">
        <v>4961</v>
      </c>
      <c r="B28" s="27" t="s">
        <v>4962</v>
      </c>
      <c r="C28" s="28">
        <v>1</v>
      </c>
      <c r="D28" s="29">
        <v>18.07</v>
      </c>
      <c r="E28" s="29">
        <v>18.07</v>
      </c>
      <c r="F28" s="30">
        <v>49.5</v>
      </c>
      <c r="G28" s="29">
        <v>49.5</v>
      </c>
      <c r="H28" s="28" t="s">
        <v>4963</v>
      </c>
      <c r="I28" s="27" t="s">
        <v>82</v>
      </c>
      <c r="J28" s="31" t="s">
        <v>172</v>
      </c>
      <c r="K28" s="27" t="s">
        <v>41</v>
      </c>
      <c r="L28" s="27" t="s">
        <v>80</v>
      </c>
      <c r="M28" s="32" t="str">
        <f>HYPERLINK("http://slimages.macys.com/is/image/MCY/3913395 ")</f>
        <v xml:space="preserve">http://slimages.macys.com/is/image/MCY/3913395 </v>
      </c>
    </row>
    <row r="29" spans="1:13" ht="15.2" customHeight="1" x14ac:dyDescent="0.2">
      <c r="A29" s="26" t="s">
        <v>4964</v>
      </c>
      <c r="B29" s="27" t="s">
        <v>4965</v>
      </c>
      <c r="C29" s="28">
        <v>1</v>
      </c>
      <c r="D29" s="29">
        <v>18</v>
      </c>
      <c r="E29" s="29">
        <v>18</v>
      </c>
      <c r="F29" s="30">
        <v>45</v>
      </c>
      <c r="G29" s="29">
        <v>45</v>
      </c>
      <c r="H29" s="28" t="s">
        <v>4966</v>
      </c>
      <c r="I29" s="27" t="s">
        <v>75</v>
      </c>
      <c r="J29" s="31" t="s">
        <v>52</v>
      </c>
      <c r="K29" s="27" t="s">
        <v>989</v>
      </c>
      <c r="L29" s="27" t="s">
        <v>2123</v>
      </c>
      <c r="M29" s="32" t="str">
        <f>HYPERLINK("http://slimages.macys.com/is/image/MCY/3879415 ")</f>
        <v xml:space="preserve">http://slimages.macys.com/is/image/MCY/3879415 </v>
      </c>
    </row>
    <row r="30" spans="1:13" ht="15.2" customHeight="1" x14ac:dyDescent="0.2">
      <c r="A30" s="26" t="s">
        <v>3732</v>
      </c>
      <c r="B30" s="27" t="s">
        <v>3733</v>
      </c>
      <c r="C30" s="28">
        <v>1</v>
      </c>
      <c r="D30" s="29">
        <v>17.850000000000001</v>
      </c>
      <c r="E30" s="29">
        <v>17.850000000000001</v>
      </c>
      <c r="F30" s="30">
        <v>59.5</v>
      </c>
      <c r="G30" s="29">
        <v>59.5</v>
      </c>
      <c r="H30" s="28">
        <v>49022900</v>
      </c>
      <c r="I30" s="27" t="s">
        <v>20</v>
      </c>
      <c r="J30" s="31" t="s">
        <v>40</v>
      </c>
      <c r="K30" s="27" t="s">
        <v>6</v>
      </c>
      <c r="L30" s="27" t="s">
        <v>7</v>
      </c>
      <c r="M30" s="32" t="str">
        <f>HYPERLINK("http://slimages.macys.com/is/image/MCY/3939787 ")</f>
        <v xml:space="preserve">http://slimages.macys.com/is/image/MCY/3939787 </v>
      </c>
    </row>
    <row r="31" spans="1:13" ht="15.2" customHeight="1" x14ac:dyDescent="0.2">
      <c r="A31" s="26" t="s">
        <v>4967</v>
      </c>
      <c r="B31" s="27" t="s">
        <v>4968</v>
      </c>
      <c r="C31" s="28">
        <v>1</v>
      </c>
      <c r="D31" s="29">
        <v>17.850000000000001</v>
      </c>
      <c r="E31" s="29">
        <v>17.850000000000001</v>
      </c>
      <c r="F31" s="30">
        <v>59.5</v>
      </c>
      <c r="G31" s="29">
        <v>59.5</v>
      </c>
      <c r="H31" s="28">
        <v>60433858</v>
      </c>
      <c r="I31" s="27" t="s">
        <v>4</v>
      </c>
      <c r="J31" s="31" t="s">
        <v>52</v>
      </c>
      <c r="K31" s="27" t="s">
        <v>6</v>
      </c>
      <c r="L31" s="27" t="s">
        <v>7</v>
      </c>
      <c r="M31" s="32" t="str">
        <f>HYPERLINK("http://slimages.macys.com/is/image/MCY/3894748 ")</f>
        <v xml:space="preserve">http://slimages.macys.com/is/image/MCY/3894748 </v>
      </c>
    </row>
    <row r="32" spans="1:13" ht="15.2" customHeight="1" x14ac:dyDescent="0.2">
      <c r="A32" s="26" t="s">
        <v>4969</v>
      </c>
      <c r="B32" s="27" t="s">
        <v>4970</v>
      </c>
      <c r="C32" s="28">
        <v>1</v>
      </c>
      <c r="D32" s="29">
        <v>17.850000000000001</v>
      </c>
      <c r="E32" s="29">
        <v>17.850000000000001</v>
      </c>
      <c r="F32" s="30">
        <v>59.5</v>
      </c>
      <c r="G32" s="29">
        <v>59.5</v>
      </c>
      <c r="H32" s="28">
        <v>49008661</v>
      </c>
      <c r="I32" s="27" t="s">
        <v>22</v>
      </c>
      <c r="J32" s="31" t="s">
        <v>52</v>
      </c>
      <c r="K32" s="27" t="s">
        <v>6</v>
      </c>
      <c r="L32" s="27" t="s">
        <v>7</v>
      </c>
      <c r="M32" s="32" t="str">
        <f>HYPERLINK("http://slimages.macys.com/is/image/MCY/3879441 ")</f>
        <v xml:space="preserve">http://slimages.macys.com/is/image/MCY/3879441 </v>
      </c>
    </row>
    <row r="33" spans="1:13" ht="15.2" customHeight="1" x14ac:dyDescent="0.2">
      <c r="A33" s="26" t="s">
        <v>4971</v>
      </c>
      <c r="B33" s="27" t="s">
        <v>4972</v>
      </c>
      <c r="C33" s="28">
        <v>1</v>
      </c>
      <c r="D33" s="29">
        <v>17.59</v>
      </c>
      <c r="E33" s="29">
        <v>17.59</v>
      </c>
      <c r="F33" s="30">
        <v>49.5</v>
      </c>
      <c r="G33" s="29">
        <v>49.5</v>
      </c>
      <c r="H33" s="28" t="s">
        <v>698</v>
      </c>
      <c r="I33" s="27" t="s">
        <v>82</v>
      </c>
      <c r="J33" s="31" t="s">
        <v>32</v>
      </c>
      <c r="K33" s="27" t="s">
        <v>12</v>
      </c>
      <c r="L33" s="27" t="s">
        <v>90</v>
      </c>
      <c r="M33" s="32" t="str">
        <f>HYPERLINK("http://slimages.macys.com/is/image/MCY/3922404 ")</f>
        <v xml:space="preserve">http://slimages.macys.com/is/image/MCY/3922404 </v>
      </c>
    </row>
    <row r="34" spans="1:13" ht="15.2" customHeight="1" x14ac:dyDescent="0.2">
      <c r="A34" s="26" t="s">
        <v>4973</v>
      </c>
      <c r="B34" s="27" t="s">
        <v>4974</v>
      </c>
      <c r="C34" s="28">
        <v>1</v>
      </c>
      <c r="D34" s="29">
        <v>17.59</v>
      </c>
      <c r="E34" s="29">
        <v>17.59</v>
      </c>
      <c r="F34" s="30">
        <v>49.5</v>
      </c>
      <c r="G34" s="29">
        <v>49.5</v>
      </c>
      <c r="H34" s="28" t="s">
        <v>102</v>
      </c>
      <c r="I34" s="27" t="s">
        <v>82</v>
      </c>
      <c r="J34" s="31" t="s">
        <v>50</v>
      </c>
      <c r="K34" s="27" t="s">
        <v>12</v>
      </c>
      <c r="L34" s="27" t="s">
        <v>13</v>
      </c>
      <c r="M34" s="32" t="str">
        <f>HYPERLINK("http://slimages.macys.com/is/image/MCY/3922363 ")</f>
        <v xml:space="preserve">http://slimages.macys.com/is/image/MCY/3922363 </v>
      </c>
    </row>
    <row r="35" spans="1:13" ht="15.2" customHeight="1" x14ac:dyDescent="0.2">
      <c r="A35" s="26" t="s">
        <v>2588</v>
      </c>
      <c r="B35" s="27" t="s">
        <v>2589</v>
      </c>
      <c r="C35" s="28">
        <v>1</v>
      </c>
      <c r="D35" s="29">
        <v>17.59</v>
      </c>
      <c r="E35" s="29">
        <v>17.59</v>
      </c>
      <c r="F35" s="30">
        <v>49.5</v>
      </c>
      <c r="G35" s="29">
        <v>49.5</v>
      </c>
      <c r="H35" s="28" t="s">
        <v>698</v>
      </c>
      <c r="I35" s="27" t="s">
        <v>33</v>
      </c>
      <c r="J35" s="31" t="s">
        <v>30</v>
      </c>
      <c r="K35" s="27" t="s">
        <v>12</v>
      </c>
      <c r="L35" s="27" t="s">
        <v>90</v>
      </c>
      <c r="M35" s="32" t="str">
        <f>HYPERLINK("http://slimages.macys.com/is/image/MCY/3922404 ")</f>
        <v xml:space="preserve">http://slimages.macys.com/is/image/MCY/3922404 </v>
      </c>
    </row>
    <row r="36" spans="1:13" ht="15.2" customHeight="1" x14ac:dyDescent="0.2">
      <c r="A36" s="26" t="s">
        <v>4975</v>
      </c>
      <c r="B36" s="27" t="s">
        <v>4976</v>
      </c>
      <c r="C36" s="28">
        <v>1</v>
      </c>
      <c r="D36" s="29">
        <v>17.5</v>
      </c>
      <c r="E36" s="29">
        <v>17.5</v>
      </c>
      <c r="F36" s="30">
        <v>59</v>
      </c>
      <c r="G36" s="29">
        <v>59</v>
      </c>
      <c r="H36" s="28" t="s">
        <v>4977</v>
      </c>
      <c r="I36" s="27" t="s">
        <v>26</v>
      </c>
      <c r="J36" s="31" t="s">
        <v>50</v>
      </c>
      <c r="K36" s="27" t="s">
        <v>132</v>
      </c>
      <c r="L36" s="27" t="s">
        <v>150</v>
      </c>
      <c r="M36" s="32" t="str">
        <f>HYPERLINK("http://slimages.macys.com/is/image/MCY/3731272 ")</f>
        <v xml:space="preserve">http://slimages.macys.com/is/image/MCY/3731272 </v>
      </c>
    </row>
    <row r="37" spans="1:13" ht="15.2" customHeight="1" x14ac:dyDescent="0.2">
      <c r="A37" s="26" t="s">
        <v>4978</v>
      </c>
      <c r="B37" s="27" t="s">
        <v>4979</v>
      </c>
      <c r="C37" s="28">
        <v>1</v>
      </c>
      <c r="D37" s="29">
        <v>17.47</v>
      </c>
      <c r="E37" s="29">
        <v>17.47</v>
      </c>
      <c r="F37" s="30">
        <v>49.5</v>
      </c>
      <c r="G37" s="29">
        <v>49.5</v>
      </c>
      <c r="H37" s="28" t="s">
        <v>4980</v>
      </c>
      <c r="I37" s="27" t="s">
        <v>10</v>
      </c>
      <c r="J37" s="31" t="s">
        <v>71</v>
      </c>
      <c r="K37" s="27" t="s">
        <v>41</v>
      </c>
      <c r="L37" s="27" t="s">
        <v>45</v>
      </c>
      <c r="M37" s="32" t="str">
        <f>HYPERLINK("http://slimages.macys.com/is/image/MCY/3613279 ")</f>
        <v xml:space="preserve">http://slimages.macys.com/is/image/MCY/3613279 </v>
      </c>
    </row>
    <row r="38" spans="1:13" ht="15.2" customHeight="1" x14ac:dyDescent="0.2">
      <c r="A38" s="26" t="s">
        <v>4981</v>
      </c>
      <c r="B38" s="27" t="s">
        <v>4982</v>
      </c>
      <c r="C38" s="28">
        <v>1</v>
      </c>
      <c r="D38" s="29">
        <v>17</v>
      </c>
      <c r="E38" s="29">
        <v>17</v>
      </c>
      <c r="F38" s="30">
        <v>41.99</v>
      </c>
      <c r="G38" s="29">
        <v>41.99</v>
      </c>
      <c r="H38" s="28" t="s">
        <v>4983</v>
      </c>
      <c r="I38" s="27"/>
      <c r="J38" s="31" t="s">
        <v>5</v>
      </c>
      <c r="K38" s="27" t="s">
        <v>70</v>
      </c>
      <c r="L38" s="27" t="s">
        <v>155</v>
      </c>
      <c r="M38" s="32" t="str">
        <f>HYPERLINK("http://slimages.macys.com/is/image/MCY/3814502 ")</f>
        <v xml:space="preserve">http://slimages.macys.com/is/image/MCY/3814502 </v>
      </c>
    </row>
    <row r="39" spans="1:13" ht="15.2" customHeight="1" x14ac:dyDescent="0.2">
      <c r="A39" s="26" t="s">
        <v>4984</v>
      </c>
      <c r="B39" s="27" t="s">
        <v>4985</v>
      </c>
      <c r="C39" s="28">
        <v>1</v>
      </c>
      <c r="D39" s="29">
        <v>16.75</v>
      </c>
      <c r="E39" s="29">
        <v>16.75</v>
      </c>
      <c r="F39" s="30">
        <v>59</v>
      </c>
      <c r="G39" s="29">
        <v>59</v>
      </c>
      <c r="H39" s="28" t="s">
        <v>4986</v>
      </c>
      <c r="I39" s="27" t="s">
        <v>75</v>
      </c>
      <c r="J39" s="31"/>
      <c r="K39" s="27" t="s">
        <v>37</v>
      </c>
      <c r="L39" s="27" t="s">
        <v>38</v>
      </c>
      <c r="M39" s="32" t="str">
        <f>HYPERLINK("http://slimages.macys.com/is/image/MCY/3559689 ")</f>
        <v xml:space="preserve">http://slimages.macys.com/is/image/MCY/3559689 </v>
      </c>
    </row>
    <row r="40" spans="1:13" ht="15.2" customHeight="1" x14ac:dyDescent="0.2">
      <c r="A40" s="26" t="s">
        <v>2833</v>
      </c>
      <c r="B40" s="27" t="s">
        <v>2834</v>
      </c>
      <c r="C40" s="28">
        <v>2</v>
      </c>
      <c r="D40" s="29">
        <v>16.45</v>
      </c>
      <c r="E40" s="29">
        <v>32.9</v>
      </c>
      <c r="F40" s="30">
        <v>44.5</v>
      </c>
      <c r="G40" s="29">
        <v>89</v>
      </c>
      <c r="H40" s="28" t="s">
        <v>2102</v>
      </c>
      <c r="I40" s="27" t="s">
        <v>4</v>
      </c>
      <c r="J40" s="31" t="s">
        <v>52</v>
      </c>
      <c r="K40" s="27" t="s">
        <v>53</v>
      </c>
      <c r="L40" s="27" t="s">
        <v>167</v>
      </c>
      <c r="M40" s="32" t="str">
        <f>HYPERLINK("http://slimages.macys.com/is/image/MCY/3761881 ")</f>
        <v xml:space="preserve">http://slimages.macys.com/is/image/MCY/3761881 </v>
      </c>
    </row>
    <row r="41" spans="1:13" ht="15.2" customHeight="1" x14ac:dyDescent="0.2">
      <c r="A41" s="26" t="s">
        <v>4987</v>
      </c>
      <c r="B41" s="27" t="s">
        <v>4988</v>
      </c>
      <c r="C41" s="28">
        <v>1</v>
      </c>
      <c r="D41" s="29">
        <v>16.45</v>
      </c>
      <c r="E41" s="29">
        <v>16.45</v>
      </c>
      <c r="F41" s="30">
        <v>44.5</v>
      </c>
      <c r="G41" s="29">
        <v>44.5</v>
      </c>
      <c r="H41" s="28" t="s">
        <v>2102</v>
      </c>
      <c r="I41" s="27" t="s">
        <v>4</v>
      </c>
      <c r="J41" s="31" t="s">
        <v>71</v>
      </c>
      <c r="K41" s="27" t="s">
        <v>53</v>
      </c>
      <c r="L41" s="27" t="s">
        <v>167</v>
      </c>
      <c r="M41" s="32" t="str">
        <f>HYPERLINK("http://slimages.macys.com/is/image/MCY/3761881 ")</f>
        <v xml:space="preserve">http://slimages.macys.com/is/image/MCY/3761881 </v>
      </c>
    </row>
    <row r="42" spans="1:13" ht="15.2" customHeight="1" x14ac:dyDescent="0.2">
      <c r="A42" s="26" t="s">
        <v>4989</v>
      </c>
      <c r="B42" s="27" t="s">
        <v>4990</v>
      </c>
      <c r="C42" s="28">
        <v>1</v>
      </c>
      <c r="D42" s="29">
        <v>16.239999999999998</v>
      </c>
      <c r="E42" s="29">
        <v>16.239999999999998</v>
      </c>
      <c r="F42" s="30">
        <v>44.5</v>
      </c>
      <c r="G42" s="29">
        <v>44.5</v>
      </c>
      <c r="H42" s="28" t="s">
        <v>2105</v>
      </c>
      <c r="I42" s="27" t="s">
        <v>4</v>
      </c>
      <c r="J42" s="31" t="s">
        <v>21</v>
      </c>
      <c r="K42" s="27" t="s">
        <v>53</v>
      </c>
      <c r="L42" s="27" t="s">
        <v>54</v>
      </c>
      <c r="M42" s="32" t="str">
        <f>HYPERLINK("http://slimages.macys.com/is/image/MCY/3811529 ")</f>
        <v xml:space="preserve">http://slimages.macys.com/is/image/MCY/3811529 </v>
      </c>
    </row>
    <row r="43" spans="1:13" ht="15.2" customHeight="1" x14ac:dyDescent="0.2">
      <c r="A43" s="26" t="s">
        <v>4991</v>
      </c>
      <c r="B43" s="27" t="s">
        <v>4992</v>
      </c>
      <c r="C43" s="28">
        <v>1</v>
      </c>
      <c r="D43" s="29">
        <v>16.239999999999998</v>
      </c>
      <c r="E43" s="29">
        <v>16.239999999999998</v>
      </c>
      <c r="F43" s="30">
        <v>44.5</v>
      </c>
      <c r="G43" s="29">
        <v>44.5</v>
      </c>
      <c r="H43" s="28" t="s">
        <v>2590</v>
      </c>
      <c r="I43" s="27" t="s">
        <v>10</v>
      </c>
      <c r="J43" s="31" t="s">
        <v>113</v>
      </c>
      <c r="K43" s="27" t="s">
        <v>41</v>
      </c>
      <c r="L43" s="27" t="s">
        <v>45</v>
      </c>
      <c r="M43" s="32" t="str">
        <f>HYPERLINK("http://slimages.macys.com/is/image/MCY/3737052 ")</f>
        <v xml:space="preserve">http://slimages.macys.com/is/image/MCY/3737052 </v>
      </c>
    </row>
    <row r="44" spans="1:13" ht="15.2" customHeight="1" x14ac:dyDescent="0.2">
      <c r="A44" s="26" t="s">
        <v>4993</v>
      </c>
      <c r="B44" s="27" t="s">
        <v>4994</v>
      </c>
      <c r="C44" s="28">
        <v>1</v>
      </c>
      <c r="D44" s="29">
        <v>15.95</v>
      </c>
      <c r="E44" s="29">
        <v>15.95</v>
      </c>
      <c r="F44" s="30">
        <v>36.99</v>
      </c>
      <c r="G44" s="29">
        <v>36.99</v>
      </c>
      <c r="H44" s="28" t="s">
        <v>4995</v>
      </c>
      <c r="I44" s="27" t="s">
        <v>82</v>
      </c>
      <c r="J44" s="31" t="s">
        <v>40</v>
      </c>
      <c r="K44" s="27" t="s">
        <v>41</v>
      </c>
      <c r="L44" s="27" t="s">
        <v>45</v>
      </c>
      <c r="M44" s="32" t="str">
        <f>HYPERLINK("http://slimages.macys.com/is/image/MCY/2795244 ")</f>
        <v xml:space="preserve">http://slimages.macys.com/is/image/MCY/2795244 </v>
      </c>
    </row>
    <row r="45" spans="1:13" ht="15.2" customHeight="1" x14ac:dyDescent="0.2">
      <c r="A45" s="26" t="s">
        <v>716</v>
      </c>
      <c r="B45" s="27" t="s">
        <v>717</v>
      </c>
      <c r="C45" s="28">
        <v>2</v>
      </c>
      <c r="D45" s="29">
        <v>15</v>
      </c>
      <c r="E45" s="29">
        <v>30</v>
      </c>
      <c r="F45" s="30">
        <v>39.5</v>
      </c>
      <c r="G45" s="29">
        <v>79</v>
      </c>
      <c r="H45" s="28" t="s">
        <v>718</v>
      </c>
      <c r="I45" s="27" t="s">
        <v>189</v>
      </c>
      <c r="J45" s="31" t="s">
        <v>52</v>
      </c>
      <c r="K45" s="27" t="s">
        <v>17</v>
      </c>
      <c r="L45" s="27" t="s">
        <v>18</v>
      </c>
      <c r="M45" s="32" t="str">
        <f>HYPERLINK("http://slimages.macys.com/is/image/MCY/3895640 ")</f>
        <v xml:space="preserve">http://slimages.macys.com/is/image/MCY/3895640 </v>
      </c>
    </row>
    <row r="46" spans="1:13" ht="15.2" customHeight="1" x14ac:dyDescent="0.2">
      <c r="A46" s="26" t="s">
        <v>719</v>
      </c>
      <c r="B46" s="27" t="s">
        <v>720</v>
      </c>
      <c r="C46" s="28">
        <v>1</v>
      </c>
      <c r="D46" s="29">
        <v>15</v>
      </c>
      <c r="E46" s="29">
        <v>15</v>
      </c>
      <c r="F46" s="30">
        <v>39.5</v>
      </c>
      <c r="G46" s="29">
        <v>39.5</v>
      </c>
      <c r="H46" s="28" t="s">
        <v>718</v>
      </c>
      <c r="I46" s="27" t="s">
        <v>189</v>
      </c>
      <c r="J46" s="31" t="s">
        <v>40</v>
      </c>
      <c r="K46" s="27" t="s">
        <v>17</v>
      </c>
      <c r="L46" s="27" t="s">
        <v>18</v>
      </c>
      <c r="M46" s="32" t="str">
        <f>HYPERLINK("http://slimages.macys.com/is/image/MCY/3895640 ")</f>
        <v xml:space="preserve">http://slimages.macys.com/is/image/MCY/3895640 </v>
      </c>
    </row>
    <row r="47" spans="1:13" ht="15.2" customHeight="1" x14ac:dyDescent="0.2">
      <c r="A47" s="26" t="s">
        <v>4996</v>
      </c>
      <c r="B47" s="27" t="s">
        <v>4997</v>
      </c>
      <c r="C47" s="28">
        <v>1</v>
      </c>
      <c r="D47" s="29">
        <v>15</v>
      </c>
      <c r="E47" s="29">
        <v>15</v>
      </c>
      <c r="F47" s="30">
        <v>39.99</v>
      </c>
      <c r="G47" s="29">
        <v>39.99</v>
      </c>
      <c r="H47" s="28" t="s">
        <v>4998</v>
      </c>
      <c r="I47" s="27" t="s">
        <v>661</v>
      </c>
      <c r="J47" s="31" t="s">
        <v>52</v>
      </c>
      <c r="K47" s="27" t="s">
        <v>70</v>
      </c>
      <c r="L47" s="27" t="s">
        <v>155</v>
      </c>
      <c r="M47" s="32" t="str">
        <f>HYPERLINK("http://slimages.macys.com/is/image/MCY/3654662 ")</f>
        <v xml:space="preserve">http://slimages.macys.com/is/image/MCY/3654662 </v>
      </c>
    </row>
    <row r="48" spans="1:13" ht="15.2" customHeight="1" x14ac:dyDescent="0.2">
      <c r="A48" s="26" t="s">
        <v>723</v>
      </c>
      <c r="B48" s="27" t="s">
        <v>724</v>
      </c>
      <c r="C48" s="28">
        <v>1</v>
      </c>
      <c r="D48" s="29">
        <v>15</v>
      </c>
      <c r="E48" s="29">
        <v>15</v>
      </c>
      <c r="F48" s="30">
        <v>39.5</v>
      </c>
      <c r="G48" s="29">
        <v>39.5</v>
      </c>
      <c r="H48" s="28" t="s">
        <v>718</v>
      </c>
      <c r="I48" s="27" t="s">
        <v>189</v>
      </c>
      <c r="J48" s="31" t="s">
        <v>71</v>
      </c>
      <c r="K48" s="27" t="s">
        <v>17</v>
      </c>
      <c r="L48" s="27" t="s">
        <v>18</v>
      </c>
      <c r="M48" s="32" t="str">
        <f>HYPERLINK("http://slimages.macys.com/is/image/MCY/3895640 ")</f>
        <v xml:space="preserve">http://slimages.macys.com/is/image/MCY/3895640 </v>
      </c>
    </row>
    <row r="49" spans="1:13" ht="15.2" customHeight="1" x14ac:dyDescent="0.2">
      <c r="A49" s="26" t="s">
        <v>4999</v>
      </c>
      <c r="B49" s="27" t="s">
        <v>5000</v>
      </c>
      <c r="C49" s="28">
        <v>1</v>
      </c>
      <c r="D49" s="29">
        <v>14.5</v>
      </c>
      <c r="E49" s="29">
        <v>14.5</v>
      </c>
      <c r="F49" s="30">
        <v>59</v>
      </c>
      <c r="G49" s="29">
        <v>59</v>
      </c>
      <c r="H49" s="28" t="s">
        <v>2848</v>
      </c>
      <c r="I49" s="27" t="s">
        <v>189</v>
      </c>
      <c r="J49" s="31" t="s">
        <v>50</v>
      </c>
      <c r="K49" s="27" t="s">
        <v>132</v>
      </c>
      <c r="L49" s="27" t="s">
        <v>150</v>
      </c>
      <c r="M49" s="32" t="str">
        <f>HYPERLINK("http://slimages.macys.com/is/image/MCY/3946710 ")</f>
        <v xml:space="preserve">http://slimages.macys.com/is/image/MCY/3946710 </v>
      </c>
    </row>
    <row r="50" spans="1:13" ht="15.2" customHeight="1" x14ac:dyDescent="0.2">
      <c r="A50" s="26" t="s">
        <v>175</v>
      </c>
      <c r="B50" s="27" t="s">
        <v>176</v>
      </c>
      <c r="C50" s="28">
        <v>1</v>
      </c>
      <c r="D50" s="29">
        <v>14.49</v>
      </c>
      <c r="E50" s="29">
        <v>14.49</v>
      </c>
      <c r="F50" s="30">
        <v>39.5</v>
      </c>
      <c r="G50" s="29">
        <v>39.5</v>
      </c>
      <c r="H50" s="28" t="s">
        <v>177</v>
      </c>
      <c r="I50" s="27" t="s">
        <v>26</v>
      </c>
      <c r="J50" s="31" t="s">
        <v>5</v>
      </c>
      <c r="K50" s="27" t="s">
        <v>53</v>
      </c>
      <c r="L50" s="27" t="s">
        <v>54</v>
      </c>
      <c r="M50" s="32" t="str">
        <f>HYPERLINK("http://slimages.macys.com/is/image/MCY/3711087 ")</f>
        <v xml:space="preserve">http://slimages.macys.com/is/image/MCY/3711087 </v>
      </c>
    </row>
    <row r="51" spans="1:13" ht="15.2" customHeight="1" x14ac:dyDescent="0.2">
      <c r="A51" s="26" t="s">
        <v>178</v>
      </c>
      <c r="B51" s="27" t="s">
        <v>179</v>
      </c>
      <c r="C51" s="28">
        <v>1</v>
      </c>
      <c r="D51" s="29">
        <v>14.49</v>
      </c>
      <c r="E51" s="29">
        <v>14.49</v>
      </c>
      <c r="F51" s="30">
        <v>39.5</v>
      </c>
      <c r="G51" s="29">
        <v>39.5</v>
      </c>
      <c r="H51" s="28" t="s">
        <v>171</v>
      </c>
      <c r="I51" s="27" t="s">
        <v>64</v>
      </c>
      <c r="J51" s="31" t="s">
        <v>52</v>
      </c>
      <c r="K51" s="27" t="s">
        <v>53</v>
      </c>
      <c r="L51" s="27" t="s">
        <v>54</v>
      </c>
      <c r="M51" s="32" t="str">
        <f>HYPERLINK("http://slimages.macys.com/is/image/MCY/3369009 ")</f>
        <v xml:space="preserve">http://slimages.macys.com/is/image/MCY/3369009 </v>
      </c>
    </row>
    <row r="52" spans="1:13" ht="15.2" customHeight="1" x14ac:dyDescent="0.2">
      <c r="A52" s="26" t="s">
        <v>5001</v>
      </c>
      <c r="B52" s="27" t="s">
        <v>5002</v>
      </c>
      <c r="C52" s="28">
        <v>1</v>
      </c>
      <c r="D52" s="29">
        <v>14.41</v>
      </c>
      <c r="E52" s="29">
        <v>14.41</v>
      </c>
      <c r="F52" s="30">
        <v>39.5</v>
      </c>
      <c r="G52" s="29">
        <v>39.5</v>
      </c>
      <c r="H52" s="28" t="s">
        <v>4610</v>
      </c>
      <c r="I52" s="27" t="s">
        <v>64</v>
      </c>
      <c r="J52" s="31" t="s">
        <v>21</v>
      </c>
      <c r="K52" s="27" t="s">
        <v>41</v>
      </c>
      <c r="L52" s="27" t="s">
        <v>80</v>
      </c>
      <c r="M52" s="32" t="str">
        <f>HYPERLINK("http://slimages.macys.com/is/image/MCY/3702307 ")</f>
        <v xml:space="preserve">http://slimages.macys.com/is/image/MCY/3702307 </v>
      </c>
    </row>
    <row r="53" spans="1:13" ht="15.2" customHeight="1" x14ac:dyDescent="0.2">
      <c r="A53" s="26" t="s">
        <v>4818</v>
      </c>
      <c r="B53" s="27" t="s">
        <v>4819</v>
      </c>
      <c r="C53" s="28">
        <v>1</v>
      </c>
      <c r="D53" s="29">
        <v>14.36</v>
      </c>
      <c r="E53" s="29">
        <v>14.36</v>
      </c>
      <c r="F53" s="30">
        <v>39.5</v>
      </c>
      <c r="G53" s="29">
        <v>39.5</v>
      </c>
      <c r="H53" s="28" t="s">
        <v>4820</v>
      </c>
      <c r="I53" s="27" t="s">
        <v>107</v>
      </c>
      <c r="J53" s="31" t="s">
        <v>760</v>
      </c>
      <c r="K53" s="27" t="s">
        <v>41</v>
      </c>
      <c r="L53" s="27" t="s">
        <v>45</v>
      </c>
      <c r="M53" s="32" t="str">
        <f>HYPERLINK("http://slimages.macys.com/is/image/MCY/3444364 ")</f>
        <v xml:space="preserve">http://slimages.macys.com/is/image/MCY/3444364 </v>
      </c>
    </row>
    <row r="54" spans="1:13" ht="15.2" customHeight="1" x14ac:dyDescent="0.2">
      <c r="A54" s="26" t="s">
        <v>5003</v>
      </c>
      <c r="B54" s="27" t="s">
        <v>5004</v>
      </c>
      <c r="C54" s="28">
        <v>1</v>
      </c>
      <c r="D54" s="29">
        <v>14</v>
      </c>
      <c r="E54" s="29">
        <v>14</v>
      </c>
      <c r="F54" s="30">
        <v>44</v>
      </c>
      <c r="G54" s="29">
        <v>44</v>
      </c>
      <c r="H54" s="28" t="s">
        <v>186</v>
      </c>
      <c r="I54" s="27" t="s">
        <v>377</v>
      </c>
      <c r="J54" s="31" t="s">
        <v>40</v>
      </c>
      <c r="K54" s="27" t="s">
        <v>37</v>
      </c>
      <c r="L54" s="27" t="s">
        <v>38</v>
      </c>
      <c r="M54" s="32" t="str">
        <f>HYPERLINK("http://slimages.macys.com/is/image/MCY/3667831 ")</f>
        <v xml:space="preserve">http://slimages.macys.com/is/image/MCY/3667831 </v>
      </c>
    </row>
    <row r="55" spans="1:13" ht="15.2" customHeight="1" x14ac:dyDescent="0.2">
      <c r="A55" s="26" t="s">
        <v>2854</v>
      </c>
      <c r="B55" s="27" t="s">
        <v>2855</v>
      </c>
      <c r="C55" s="28">
        <v>1</v>
      </c>
      <c r="D55" s="29">
        <v>14</v>
      </c>
      <c r="E55" s="29">
        <v>14</v>
      </c>
      <c r="F55" s="30">
        <v>59</v>
      </c>
      <c r="G55" s="29">
        <v>59</v>
      </c>
      <c r="H55" s="28" t="s">
        <v>2852</v>
      </c>
      <c r="I55" s="27" t="s">
        <v>26</v>
      </c>
      <c r="J55" s="31" t="s">
        <v>65</v>
      </c>
      <c r="K55" s="27" t="s">
        <v>154</v>
      </c>
      <c r="L55" s="27" t="s">
        <v>155</v>
      </c>
      <c r="M55" s="32" t="str">
        <f>HYPERLINK("http://slimages.macys.com/is/image/MCY/3721265 ")</f>
        <v xml:space="preserve">http://slimages.macys.com/is/image/MCY/3721265 </v>
      </c>
    </row>
    <row r="56" spans="1:13" ht="15.2" customHeight="1" x14ac:dyDescent="0.2">
      <c r="A56" s="26" t="s">
        <v>5005</v>
      </c>
      <c r="B56" s="27" t="s">
        <v>5006</v>
      </c>
      <c r="C56" s="28">
        <v>1</v>
      </c>
      <c r="D56" s="29">
        <v>13.5</v>
      </c>
      <c r="E56" s="29">
        <v>13.5</v>
      </c>
      <c r="F56" s="30">
        <v>29.99</v>
      </c>
      <c r="G56" s="29">
        <v>29.99</v>
      </c>
      <c r="H56" s="28" t="s">
        <v>1190</v>
      </c>
      <c r="I56" s="27" t="s">
        <v>107</v>
      </c>
      <c r="J56" s="31" t="s">
        <v>205</v>
      </c>
      <c r="K56" s="27" t="s">
        <v>200</v>
      </c>
      <c r="L56" s="27" t="s">
        <v>287</v>
      </c>
      <c r="M56" s="32" t="str">
        <f>HYPERLINK("http://slimages.macys.com/is/image/MCY/3631723 ")</f>
        <v xml:space="preserve">http://slimages.macys.com/is/image/MCY/3631723 </v>
      </c>
    </row>
    <row r="57" spans="1:13" ht="15.2" customHeight="1" x14ac:dyDescent="0.2">
      <c r="A57" s="26" t="s">
        <v>5007</v>
      </c>
      <c r="B57" s="27" t="s">
        <v>5008</v>
      </c>
      <c r="C57" s="28">
        <v>1</v>
      </c>
      <c r="D57" s="29">
        <v>13.5</v>
      </c>
      <c r="E57" s="29">
        <v>13.5</v>
      </c>
      <c r="F57" s="30">
        <v>29.99</v>
      </c>
      <c r="G57" s="29">
        <v>29.99</v>
      </c>
      <c r="H57" s="28" t="s">
        <v>1190</v>
      </c>
      <c r="I57" s="27" t="s">
        <v>107</v>
      </c>
      <c r="J57" s="31" t="s">
        <v>216</v>
      </c>
      <c r="K57" s="27" t="s">
        <v>200</v>
      </c>
      <c r="L57" s="27" t="s">
        <v>287</v>
      </c>
      <c r="M57" s="32" t="str">
        <f>HYPERLINK("http://slimages.macys.com/is/image/MCY/3631723 ")</f>
        <v xml:space="preserve">http://slimages.macys.com/is/image/MCY/3631723 </v>
      </c>
    </row>
    <row r="58" spans="1:13" ht="15.2" customHeight="1" x14ac:dyDescent="0.2">
      <c r="A58" s="26" t="s">
        <v>4821</v>
      </c>
      <c r="B58" s="27" t="s">
        <v>4822</v>
      </c>
      <c r="C58" s="28">
        <v>1</v>
      </c>
      <c r="D58" s="29">
        <v>13.5</v>
      </c>
      <c r="E58" s="29">
        <v>13.5</v>
      </c>
      <c r="F58" s="30">
        <v>29.99</v>
      </c>
      <c r="G58" s="29">
        <v>29.99</v>
      </c>
      <c r="H58" s="28" t="s">
        <v>4823</v>
      </c>
      <c r="I58" s="27" t="s">
        <v>280</v>
      </c>
      <c r="J58" s="31" t="s">
        <v>230</v>
      </c>
      <c r="K58" s="27" t="s">
        <v>200</v>
      </c>
      <c r="L58" s="27" t="s">
        <v>287</v>
      </c>
      <c r="M58" s="32" t="str">
        <f>HYPERLINK("http://slimages.macys.com/is/image/MCY/3631723 ")</f>
        <v xml:space="preserve">http://slimages.macys.com/is/image/MCY/3631723 </v>
      </c>
    </row>
    <row r="59" spans="1:13" ht="15.2" customHeight="1" x14ac:dyDescent="0.2">
      <c r="A59" s="26" t="s">
        <v>5009</v>
      </c>
      <c r="B59" s="27" t="s">
        <v>5010</v>
      </c>
      <c r="C59" s="28">
        <v>1</v>
      </c>
      <c r="D59" s="29">
        <v>13</v>
      </c>
      <c r="E59" s="29">
        <v>13</v>
      </c>
      <c r="F59" s="30">
        <v>29.99</v>
      </c>
      <c r="G59" s="29">
        <v>29.99</v>
      </c>
      <c r="H59" s="28" t="s">
        <v>5011</v>
      </c>
      <c r="I59" s="27" t="s">
        <v>8</v>
      </c>
      <c r="J59" s="31" t="s">
        <v>210</v>
      </c>
      <c r="K59" s="27" t="s">
        <v>200</v>
      </c>
      <c r="L59" s="27" t="s">
        <v>1201</v>
      </c>
      <c r="M59" s="32" t="str">
        <f>HYPERLINK("http://slimages.macys.com/is/image/MCY/3625219 ")</f>
        <v xml:space="preserve">http://slimages.macys.com/is/image/MCY/3625219 </v>
      </c>
    </row>
    <row r="60" spans="1:13" ht="15.2" customHeight="1" x14ac:dyDescent="0.2">
      <c r="A60" s="26" t="s">
        <v>1787</v>
      </c>
      <c r="B60" s="27" t="s">
        <v>1788</v>
      </c>
      <c r="C60" s="28">
        <v>1</v>
      </c>
      <c r="D60" s="29">
        <v>12.75</v>
      </c>
      <c r="E60" s="29">
        <v>12.75</v>
      </c>
      <c r="F60" s="30">
        <v>29.99</v>
      </c>
      <c r="G60" s="29">
        <v>29.99</v>
      </c>
      <c r="H60" s="28" t="s">
        <v>759</v>
      </c>
      <c r="I60" s="27" t="s">
        <v>4</v>
      </c>
      <c r="J60" s="31" t="s">
        <v>21</v>
      </c>
      <c r="K60" s="27" t="s">
        <v>200</v>
      </c>
      <c r="L60" s="27" t="s">
        <v>201</v>
      </c>
      <c r="M60" s="32" t="str">
        <f>HYPERLINK("http://slimages.macys.com/is/image/MCY/3798023 ")</f>
        <v xml:space="preserve">http://slimages.macys.com/is/image/MCY/3798023 </v>
      </c>
    </row>
    <row r="61" spans="1:13" ht="15.2" customHeight="1" x14ac:dyDescent="0.2">
      <c r="A61" s="26" t="s">
        <v>5012</v>
      </c>
      <c r="B61" s="27" t="s">
        <v>5013</v>
      </c>
      <c r="C61" s="28">
        <v>1</v>
      </c>
      <c r="D61" s="29">
        <v>12.65</v>
      </c>
      <c r="E61" s="29">
        <v>12.65</v>
      </c>
      <c r="F61" s="30">
        <v>29.99</v>
      </c>
      <c r="G61" s="29">
        <v>29.99</v>
      </c>
      <c r="H61" s="28" t="s">
        <v>5014</v>
      </c>
      <c r="I61" s="27" t="s">
        <v>29</v>
      </c>
      <c r="J61" s="31" t="s">
        <v>113</v>
      </c>
      <c r="K61" s="27" t="s">
        <v>200</v>
      </c>
      <c r="L61" s="27" t="s">
        <v>765</v>
      </c>
      <c r="M61" s="32" t="str">
        <f>HYPERLINK("http://slimages.macys.com/is/image/MCY/3045023 ")</f>
        <v xml:space="preserve">http://slimages.macys.com/is/image/MCY/3045023 </v>
      </c>
    </row>
    <row r="62" spans="1:13" ht="15.2" customHeight="1" x14ac:dyDescent="0.2">
      <c r="A62" s="26" t="s">
        <v>767</v>
      </c>
      <c r="B62" s="27" t="s">
        <v>768</v>
      </c>
      <c r="C62" s="28">
        <v>1</v>
      </c>
      <c r="D62" s="29">
        <v>12.6</v>
      </c>
      <c r="E62" s="29">
        <v>12.6</v>
      </c>
      <c r="F62" s="30">
        <v>29.99</v>
      </c>
      <c r="G62" s="29">
        <v>29.99</v>
      </c>
      <c r="H62" s="28" t="s">
        <v>769</v>
      </c>
      <c r="I62" s="27" t="s">
        <v>64</v>
      </c>
      <c r="J62" s="31" t="s">
        <v>21</v>
      </c>
      <c r="K62" s="27" t="s">
        <v>159</v>
      </c>
      <c r="L62" s="27" t="s">
        <v>160</v>
      </c>
      <c r="M62" s="32" t="str">
        <f>HYPERLINK("http://slimages.macys.com/is/image/MCY/3857674 ")</f>
        <v xml:space="preserve">http://slimages.macys.com/is/image/MCY/3857674 </v>
      </c>
    </row>
    <row r="63" spans="1:13" ht="15.2" customHeight="1" x14ac:dyDescent="0.2">
      <c r="A63" s="26" t="s">
        <v>2162</v>
      </c>
      <c r="B63" s="27" t="s">
        <v>2163</v>
      </c>
      <c r="C63" s="28">
        <v>1</v>
      </c>
      <c r="D63" s="29">
        <v>12.6</v>
      </c>
      <c r="E63" s="29">
        <v>12.6</v>
      </c>
      <c r="F63" s="30">
        <v>29.99</v>
      </c>
      <c r="G63" s="29">
        <v>29.99</v>
      </c>
      <c r="H63" s="28" t="s">
        <v>769</v>
      </c>
      <c r="I63" s="27" t="s">
        <v>291</v>
      </c>
      <c r="J63" s="31" t="s">
        <v>5</v>
      </c>
      <c r="K63" s="27" t="s">
        <v>159</v>
      </c>
      <c r="L63" s="27" t="s">
        <v>160</v>
      </c>
      <c r="M63" s="32" t="str">
        <f>HYPERLINK("http://slimages.macys.com/is/image/MCY/3857674 ")</f>
        <v xml:space="preserve">http://slimages.macys.com/is/image/MCY/3857674 </v>
      </c>
    </row>
    <row r="64" spans="1:13" ht="15.2" customHeight="1" x14ac:dyDescent="0.2">
      <c r="A64" s="26" t="s">
        <v>5015</v>
      </c>
      <c r="B64" s="27" t="s">
        <v>5016</v>
      </c>
      <c r="C64" s="28">
        <v>1</v>
      </c>
      <c r="D64" s="29">
        <v>12.5</v>
      </c>
      <c r="E64" s="29">
        <v>12.5</v>
      </c>
      <c r="F64" s="30">
        <v>39</v>
      </c>
      <c r="G64" s="29">
        <v>39</v>
      </c>
      <c r="H64" s="28" t="s">
        <v>5017</v>
      </c>
      <c r="I64" s="27" t="s">
        <v>4</v>
      </c>
      <c r="J64" s="31" t="s">
        <v>40</v>
      </c>
      <c r="K64" s="27" t="s">
        <v>154</v>
      </c>
      <c r="L64" s="27" t="s">
        <v>155</v>
      </c>
      <c r="M64" s="32" t="str">
        <f>HYPERLINK("http://slimages.macys.com/is/image/MCY/3718919 ")</f>
        <v xml:space="preserve">http://slimages.macys.com/is/image/MCY/3718919 </v>
      </c>
    </row>
    <row r="65" spans="1:13" ht="15.2" customHeight="1" x14ac:dyDescent="0.2">
      <c r="A65" s="26" t="s">
        <v>5018</v>
      </c>
      <c r="B65" s="27" t="s">
        <v>5019</v>
      </c>
      <c r="C65" s="28">
        <v>1</v>
      </c>
      <c r="D65" s="29">
        <v>12</v>
      </c>
      <c r="E65" s="29">
        <v>12</v>
      </c>
      <c r="F65" s="30">
        <v>27.99</v>
      </c>
      <c r="G65" s="29">
        <v>27.99</v>
      </c>
      <c r="H65" s="28">
        <v>47730</v>
      </c>
      <c r="I65" s="27" t="s">
        <v>4</v>
      </c>
      <c r="J65" s="31" t="s">
        <v>5</v>
      </c>
      <c r="K65" s="27" t="s">
        <v>196</v>
      </c>
      <c r="L65" s="27" t="s">
        <v>1808</v>
      </c>
      <c r="M65" s="32" t="str">
        <f>HYPERLINK("http://slimages.macys.com/is/image/MCY/3787584 ")</f>
        <v xml:space="preserve">http://slimages.macys.com/is/image/MCY/3787584 </v>
      </c>
    </row>
    <row r="66" spans="1:13" ht="15.2" customHeight="1" x14ac:dyDescent="0.2">
      <c r="A66" s="26" t="s">
        <v>5020</v>
      </c>
      <c r="B66" s="27" t="s">
        <v>5021</v>
      </c>
      <c r="C66" s="28">
        <v>1</v>
      </c>
      <c r="D66" s="29">
        <v>12</v>
      </c>
      <c r="E66" s="29">
        <v>12</v>
      </c>
      <c r="F66" s="30">
        <v>29.98</v>
      </c>
      <c r="G66" s="29">
        <v>29.98</v>
      </c>
      <c r="H66" s="28" t="s">
        <v>5022</v>
      </c>
      <c r="I66" s="27"/>
      <c r="J66" s="31" t="s">
        <v>21</v>
      </c>
      <c r="K66" s="27" t="s">
        <v>154</v>
      </c>
      <c r="L66" s="27" t="s">
        <v>155</v>
      </c>
      <c r="M66" s="32" t="str">
        <f>HYPERLINK("http://slimages.macys.com/is/image/MCY/3266381 ")</f>
        <v xml:space="preserve">http://slimages.macys.com/is/image/MCY/3266381 </v>
      </c>
    </row>
    <row r="67" spans="1:13" ht="15.2" customHeight="1" x14ac:dyDescent="0.2">
      <c r="A67" s="26" t="s">
        <v>5023</v>
      </c>
      <c r="B67" s="27" t="s">
        <v>5024</v>
      </c>
      <c r="C67" s="28">
        <v>1</v>
      </c>
      <c r="D67" s="29">
        <v>11.76</v>
      </c>
      <c r="E67" s="29">
        <v>11.76</v>
      </c>
      <c r="F67" s="30">
        <v>27.99</v>
      </c>
      <c r="G67" s="29">
        <v>27.99</v>
      </c>
      <c r="H67" s="28" t="s">
        <v>1250</v>
      </c>
      <c r="I67" s="27" t="s">
        <v>4</v>
      </c>
      <c r="J67" s="31" t="s">
        <v>52</v>
      </c>
      <c r="K67" s="27" t="s">
        <v>159</v>
      </c>
      <c r="L67" s="27" t="s">
        <v>160</v>
      </c>
      <c r="M67" s="32" t="str">
        <f>HYPERLINK("http://slimages.macys.com/is/image/MCY/3899763 ")</f>
        <v xml:space="preserve">http://slimages.macys.com/is/image/MCY/3899763 </v>
      </c>
    </row>
    <row r="68" spans="1:13" ht="15.2" customHeight="1" x14ac:dyDescent="0.2">
      <c r="A68" s="26" t="s">
        <v>235</v>
      </c>
      <c r="B68" s="27" t="s">
        <v>236</v>
      </c>
      <c r="C68" s="28">
        <v>1</v>
      </c>
      <c r="D68" s="29">
        <v>11.5</v>
      </c>
      <c r="E68" s="29">
        <v>11.5</v>
      </c>
      <c r="F68" s="30">
        <v>29.99</v>
      </c>
      <c r="G68" s="29">
        <v>29.99</v>
      </c>
      <c r="H68" s="28" t="s">
        <v>233</v>
      </c>
      <c r="I68" s="27" t="s">
        <v>26</v>
      </c>
      <c r="J68" s="31" t="s">
        <v>205</v>
      </c>
      <c r="K68" s="27" t="s">
        <v>200</v>
      </c>
      <c r="L68" s="27" t="s">
        <v>201</v>
      </c>
      <c r="M68" s="32" t="str">
        <f>HYPERLINK("http://slimages.macys.com/is/image/MCY/3899624 ")</f>
        <v xml:space="preserve">http://slimages.macys.com/is/image/MCY/3899624 </v>
      </c>
    </row>
    <row r="69" spans="1:13" ht="15.2" customHeight="1" x14ac:dyDescent="0.2">
      <c r="A69" s="26" t="s">
        <v>5025</v>
      </c>
      <c r="B69" s="27" t="s">
        <v>5026</v>
      </c>
      <c r="C69" s="28">
        <v>1</v>
      </c>
      <c r="D69" s="29">
        <v>11.5</v>
      </c>
      <c r="E69" s="29">
        <v>11.5</v>
      </c>
      <c r="F69" s="30">
        <v>29.99</v>
      </c>
      <c r="G69" s="29">
        <v>29.99</v>
      </c>
      <c r="H69" s="28" t="s">
        <v>3822</v>
      </c>
      <c r="I69" s="27" t="s">
        <v>1</v>
      </c>
      <c r="J69" s="31" t="s">
        <v>205</v>
      </c>
      <c r="K69" s="27" t="s">
        <v>200</v>
      </c>
      <c r="L69" s="27" t="s">
        <v>765</v>
      </c>
      <c r="M69" s="32" t="str">
        <f>HYPERLINK("http://slimages.macys.com/is/image/MCY/3581689 ")</f>
        <v xml:space="preserve">http://slimages.macys.com/is/image/MCY/3581689 </v>
      </c>
    </row>
    <row r="70" spans="1:13" ht="15.2" customHeight="1" x14ac:dyDescent="0.2">
      <c r="A70" s="26" t="s">
        <v>5027</v>
      </c>
      <c r="B70" s="27" t="s">
        <v>5028</v>
      </c>
      <c r="C70" s="28">
        <v>1</v>
      </c>
      <c r="D70" s="29">
        <v>11.5</v>
      </c>
      <c r="E70" s="29">
        <v>11.5</v>
      </c>
      <c r="F70" s="30">
        <v>25.99</v>
      </c>
      <c r="G70" s="29">
        <v>25.99</v>
      </c>
      <c r="H70" s="28" t="s">
        <v>5029</v>
      </c>
      <c r="I70" s="27" t="s">
        <v>29</v>
      </c>
      <c r="J70" s="31" t="s">
        <v>5030</v>
      </c>
      <c r="K70" s="27" t="s">
        <v>200</v>
      </c>
      <c r="L70" s="27" t="s">
        <v>133</v>
      </c>
      <c r="M70" s="32" t="str">
        <f>HYPERLINK("http://slimages.macys.com/is/image/MCY/1812108 ")</f>
        <v xml:space="preserve">http://slimages.macys.com/is/image/MCY/1812108 </v>
      </c>
    </row>
    <row r="71" spans="1:13" ht="15.2" customHeight="1" x14ac:dyDescent="0.2">
      <c r="A71" s="26" t="s">
        <v>4826</v>
      </c>
      <c r="B71" s="27" t="s">
        <v>4827</v>
      </c>
      <c r="C71" s="28">
        <v>1</v>
      </c>
      <c r="D71" s="29">
        <v>11.5</v>
      </c>
      <c r="E71" s="29">
        <v>11.5</v>
      </c>
      <c r="F71" s="30">
        <v>25.99</v>
      </c>
      <c r="G71" s="29">
        <v>25.99</v>
      </c>
      <c r="H71" s="28" t="s">
        <v>4825</v>
      </c>
      <c r="I71" s="27" t="s">
        <v>4</v>
      </c>
      <c r="J71" s="31" t="s">
        <v>234</v>
      </c>
      <c r="K71" s="27" t="s">
        <v>200</v>
      </c>
      <c r="L71" s="27" t="s">
        <v>133</v>
      </c>
      <c r="M71" s="32" t="str">
        <f>HYPERLINK("http://slimages.macys.com/is/image/MCY/1246397 ")</f>
        <v xml:space="preserve">http://slimages.macys.com/is/image/MCY/1246397 </v>
      </c>
    </row>
    <row r="72" spans="1:13" ht="15.2" customHeight="1" x14ac:dyDescent="0.2">
      <c r="A72" s="26" t="s">
        <v>5031</v>
      </c>
      <c r="B72" s="27" t="s">
        <v>5032</v>
      </c>
      <c r="C72" s="28">
        <v>1</v>
      </c>
      <c r="D72" s="29">
        <v>11.5</v>
      </c>
      <c r="E72" s="29">
        <v>11.5</v>
      </c>
      <c r="F72" s="30">
        <v>29.5</v>
      </c>
      <c r="G72" s="29">
        <v>29.5</v>
      </c>
      <c r="H72" s="28" t="s">
        <v>5033</v>
      </c>
      <c r="I72" s="27" t="s">
        <v>39</v>
      </c>
      <c r="J72" s="31" t="s">
        <v>230</v>
      </c>
      <c r="K72" s="27" t="s">
        <v>200</v>
      </c>
      <c r="L72" s="27" t="s">
        <v>133</v>
      </c>
      <c r="M72" s="32" t="str">
        <f>HYPERLINK("http://slimages.macys.com/is/image/MCY/1248151 ")</f>
        <v xml:space="preserve">http://slimages.macys.com/is/image/MCY/1248151 </v>
      </c>
    </row>
    <row r="73" spans="1:13" ht="15.2" customHeight="1" x14ac:dyDescent="0.2">
      <c r="A73" s="26" t="s">
        <v>240</v>
      </c>
      <c r="B73" s="27" t="s">
        <v>241</v>
      </c>
      <c r="C73" s="28">
        <v>1</v>
      </c>
      <c r="D73" s="29">
        <v>11</v>
      </c>
      <c r="E73" s="29">
        <v>11</v>
      </c>
      <c r="F73" s="30">
        <v>22.99</v>
      </c>
      <c r="G73" s="29">
        <v>22.99</v>
      </c>
      <c r="H73" s="28" t="s">
        <v>242</v>
      </c>
      <c r="I73" s="27" t="s">
        <v>22</v>
      </c>
      <c r="J73" s="31" t="s">
        <v>71</v>
      </c>
      <c r="K73" s="27" t="s">
        <v>200</v>
      </c>
      <c r="L73" s="27" t="s">
        <v>243</v>
      </c>
      <c r="M73" s="32" t="str">
        <f>HYPERLINK("http://slimages.macys.com/is/image/MCY/3755177 ")</f>
        <v xml:space="preserve">http://slimages.macys.com/is/image/MCY/3755177 </v>
      </c>
    </row>
    <row r="74" spans="1:13" ht="15.2" customHeight="1" x14ac:dyDescent="0.2">
      <c r="A74" s="26" t="s">
        <v>5034</v>
      </c>
      <c r="B74" s="27" t="s">
        <v>5035</v>
      </c>
      <c r="C74" s="28">
        <v>1</v>
      </c>
      <c r="D74" s="29">
        <v>10.65</v>
      </c>
      <c r="E74" s="29">
        <v>10.65</v>
      </c>
      <c r="F74" s="30">
        <v>27.99</v>
      </c>
      <c r="G74" s="29">
        <v>27.99</v>
      </c>
      <c r="H74" s="28" t="s">
        <v>1290</v>
      </c>
      <c r="I74" s="27" t="s">
        <v>49</v>
      </c>
      <c r="J74" s="31" t="s">
        <v>5</v>
      </c>
      <c r="K74" s="27" t="s">
        <v>224</v>
      </c>
      <c r="L74" s="27" t="s">
        <v>237</v>
      </c>
      <c r="M74" s="32" t="str">
        <f>HYPERLINK("http://slimages.macys.com/is/image/MCY/3787610 ")</f>
        <v xml:space="preserve">http://slimages.macys.com/is/image/MCY/3787610 </v>
      </c>
    </row>
    <row r="75" spans="1:13" ht="15.2" customHeight="1" x14ac:dyDescent="0.2">
      <c r="A75" s="26" t="s">
        <v>4759</v>
      </c>
      <c r="B75" s="27" t="s">
        <v>4760</v>
      </c>
      <c r="C75" s="28">
        <v>1</v>
      </c>
      <c r="D75" s="29">
        <v>10.6</v>
      </c>
      <c r="E75" s="29">
        <v>10.6</v>
      </c>
      <c r="F75" s="30">
        <v>24.99</v>
      </c>
      <c r="G75" s="29">
        <v>24.99</v>
      </c>
      <c r="H75" s="28" t="s">
        <v>2617</v>
      </c>
      <c r="I75" s="27" t="s">
        <v>4</v>
      </c>
      <c r="J75" s="31" t="s">
        <v>52</v>
      </c>
      <c r="K75" s="27" t="s">
        <v>208</v>
      </c>
      <c r="L75" s="27" t="s">
        <v>197</v>
      </c>
      <c r="M75" s="32" t="str">
        <f>HYPERLINK("http://slimages.macys.com/is/image/MCY/3832165 ")</f>
        <v xml:space="preserve">http://slimages.macys.com/is/image/MCY/3832165 </v>
      </c>
    </row>
    <row r="76" spans="1:13" ht="15.2" customHeight="1" x14ac:dyDescent="0.2">
      <c r="A76" s="26" t="s">
        <v>3314</v>
      </c>
      <c r="B76" s="27" t="s">
        <v>3315</v>
      </c>
      <c r="C76" s="28">
        <v>1</v>
      </c>
      <c r="D76" s="29">
        <v>10.6</v>
      </c>
      <c r="E76" s="29">
        <v>10.6</v>
      </c>
      <c r="F76" s="30">
        <v>24.99</v>
      </c>
      <c r="G76" s="29">
        <v>24.99</v>
      </c>
      <c r="H76" s="28" t="s">
        <v>247</v>
      </c>
      <c r="I76" s="27" t="s">
        <v>248</v>
      </c>
      <c r="J76" s="31" t="s">
        <v>52</v>
      </c>
      <c r="K76" s="27" t="s">
        <v>208</v>
      </c>
      <c r="L76" s="27" t="s">
        <v>197</v>
      </c>
      <c r="M76" s="32" t="str">
        <f>HYPERLINK("http://slimages.macys.com/is/image/MCY/3899669 ")</f>
        <v xml:space="preserve">http://slimages.macys.com/is/image/MCY/3899669 </v>
      </c>
    </row>
    <row r="77" spans="1:13" ht="15.2" customHeight="1" x14ac:dyDescent="0.2">
      <c r="A77" s="26" t="s">
        <v>5036</v>
      </c>
      <c r="B77" s="27" t="s">
        <v>5037</v>
      </c>
      <c r="C77" s="28">
        <v>1</v>
      </c>
      <c r="D77" s="29">
        <v>10.6</v>
      </c>
      <c r="E77" s="29">
        <v>10.6</v>
      </c>
      <c r="F77" s="30">
        <v>24.99</v>
      </c>
      <c r="G77" s="29">
        <v>24.99</v>
      </c>
      <c r="H77" s="28" t="s">
        <v>247</v>
      </c>
      <c r="I77" s="27" t="s">
        <v>4</v>
      </c>
      <c r="J77" s="31" t="s">
        <v>5</v>
      </c>
      <c r="K77" s="27" t="s">
        <v>208</v>
      </c>
      <c r="L77" s="27" t="s">
        <v>197</v>
      </c>
      <c r="M77" s="32" t="str">
        <f>HYPERLINK("http://slimages.macys.com/is/image/MCY/3899669 ")</f>
        <v xml:space="preserve">http://slimages.macys.com/is/image/MCY/3899669 </v>
      </c>
    </row>
    <row r="78" spans="1:13" ht="15.2" customHeight="1" x14ac:dyDescent="0.2">
      <c r="A78" s="26" t="s">
        <v>5038</v>
      </c>
      <c r="B78" s="27" t="s">
        <v>5039</v>
      </c>
      <c r="C78" s="28">
        <v>2</v>
      </c>
      <c r="D78" s="29">
        <v>10.6</v>
      </c>
      <c r="E78" s="29">
        <v>21.2</v>
      </c>
      <c r="F78" s="30">
        <v>24.99</v>
      </c>
      <c r="G78" s="29">
        <v>49.98</v>
      </c>
      <c r="H78" s="28" t="s">
        <v>247</v>
      </c>
      <c r="I78" s="27" t="s">
        <v>248</v>
      </c>
      <c r="J78" s="31" t="s">
        <v>21</v>
      </c>
      <c r="K78" s="27" t="s">
        <v>208</v>
      </c>
      <c r="L78" s="27" t="s">
        <v>197</v>
      </c>
      <c r="M78" s="32" t="str">
        <f>HYPERLINK("http://slimages.macys.com/is/image/MCY/3899669 ")</f>
        <v xml:space="preserve">http://slimages.macys.com/is/image/MCY/3899669 </v>
      </c>
    </row>
    <row r="79" spans="1:13" ht="15.2" customHeight="1" x14ac:dyDescent="0.2">
      <c r="A79" s="26" t="s">
        <v>4828</v>
      </c>
      <c r="B79" s="27" t="s">
        <v>4829</v>
      </c>
      <c r="C79" s="28">
        <v>2</v>
      </c>
      <c r="D79" s="29">
        <v>10.6</v>
      </c>
      <c r="E79" s="29">
        <v>21.2</v>
      </c>
      <c r="F79" s="30">
        <v>24.99</v>
      </c>
      <c r="G79" s="29">
        <v>49.98</v>
      </c>
      <c r="H79" s="28" t="s">
        <v>2617</v>
      </c>
      <c r="I79" s="27" t="s">
        <v>4</v>
      </c>
      <c r="J79" s="31" t="s">
        <v>21</v>
      </c>
      <c r="K79" s="27" t="s">
        <v>208</v>
      </c>
      <c r="L79" s="27" t="s">
        <v>197</v>
      </c>
      <c r="M79" s="32" t="str">
        <f>HYPERLINK("http://slimages.macys.com/is/image/MCY/3832165 ")</f>
        <v xml:space="preserve">http://slimages.macys.com/is/image/MCY/3832165 </v>
      </c>
    </row>
    <row r="80" spans="1:13" ht="15.2" customHeight="1" x14ac:dyDescent="0.2">
      <c r="A80" s="26" t="s">
        <v>5040</v>
      </c>
      <c r="B80" s="27" t="s">
        <v>5041</v>
      </c>
      <c r="C80" s="28">
        <v>1</v>
      </c>
      <c r="D80" s="29">
        <v>10.6</v>
      </c>
      <c r="E80" s="29">
        <v>10.6</v>
      </c>
      <c r="F80" s="30">
        <v>24.99</v>
      </c>
      <c r="G80" s="29">
        <v>24.99</v>
      </c>
      <c r="H80" s="28" t="s">
        <v>2617</v>
      </c>
      <c r="I80" s="27" t="s">
        <v>4</v>
      </c>
      <c r="J80" s="31" t="s">
        <v>40</v>
      </c>
      <c r="K80" s="27" t="s">
        <v>208</v>
      </c>
      <c r="L80" s="27" t="s">
        <v>197</v>
      </c>
      <c r="M80" s="32" t="str">
        <f>HYPERLINK("http://slimages.macys.com/is/image/MCY/3832165 ")</f>
        <v xml:space="preserve">http://slimages.macys.com/is/image/MCY/3832165 </v>
      </c>
    </row>
    <row r="81" spans="1:13" ht="15.2" customHeight="1" x14ac:dyDescent="0.2">
      <c r="A81" s="26" t="s">
        <v>5042</v>
      </c>
      <c r="B81" s="27" t="s">
        <v>5043</v>
      </c>
      <c r="C81" s="28">
        <v>1</v>
      </c>
      <c r="D81" s="29">
        <v>10.6</v>
      </c>
      <c r="E81" s="29">
        <v>10.6</v>
      </c>
      <c r="F81" s="30">
        <v>24.99</v>
      </c>
      <c r="G81" s="29">
        <v>24.99</v>
      </c>
      <c r="H81" s="28" t="s">
        <v>247</v>
      </c>
      <c r="I81" s="27" t="s">
        <v>4</v>
      </c>
      <c r="J81" s="31" t="s">
        <v>52</v>
      </c>
      <c r="K81" s="27" t="s">
        <v>208</v>
      </c>
      <c r="L81" s="27" t="s">
        <v>197</v>
      </c>
      <c r="M81" s="32" t="str">
        <f>HYPERLINK("http://slimages.macys.com/is/image/MCY/3899669 ")</f>
        <v xml:space="preserve">http://slimages.macys.com/is/image/MCY/3899669 </v>
      </c>
    </row>
    <row r="82" spans="1:13" ht="15.2" customHeight="1" x14ac:dyDescent="0.2">
      <c r="A82" s="26" t="s">
        <v>3322</v>
      </c>
      <c r="B82" s="27" t="s">
        <v>3323</v>
      </c>
      <c r="C82" s="28">
        <v>1</v>
      </c>
      <c r="D82" s="29">
        <v>10.5</v>
      </c>
      <c r="E82" s="29">
        <v>10.5</v>
      </c>
      <c r="F82" s="30">
        <v>27.99</v>
      </c>
      <c r="G82" s="29">
        <v>27.99</v>
      </c>
      <c r="H82" s="28" t="s">
        <v>790</v>
      </c>
      <c r="I82" s="27" t="s">
        <v>29</v>
      </c>
      <c r="J82" s="31" t="s">
        <v>5</v>
      </c>
      <c r="K82" s="27" t="s">
        <v>224</v>
      </c>
      <c r="L82" s="27" t="s">
        <v>239</v>
      </c>
      <c r="M82" s="32" t="str">
        <f>HYPERLINK("http://slimages.macys.com/is/image/MCY/3910853 ")</f>
        <v xml:space="preserve">http://slimages.macys.com/is/image/MCY/3910853 </v>
      </c>
    </row>
    <row r="83" spans="1:13" ht="15.2" customHeight="1" x14ac:dyDescent="0.2">
      <c r="A83" s="26" t="s">
        <v>5044</v>
      </c>
      <c r="B83" s="27" t="s">
        <v>5045</v>
      </c>
      <c r="C83" s="28">
        <v>1</v>
      </c>
      <c r="D83" s="29">
        <v>10.5</v>
      </c>
      <c r="E83" s="29">
        <v>10.5</v>
      </c>
      <c r="F83" s="30">
        <v>24.99</v>
      </c>
      <c r="G83" s="29">
        <v>24.99</v>
      </c>
      <c r="H83" s="28" t="s">
        <v>259</v>
      </c>
      <c r="I83" s="27" t="s">
        <v>26</v>
      </c>
      <c r="J83" s="31" t="s">
        <v>52</v>
      </c>
      <c r="K83" s="27" t="s">
        <v>224</v>
      </c>
      <c r="L83" s="27" t="s">
        <v>260</v>
      </c>
      <c r="M83" s="32" t="str">
        <f>HYPERLINK("http://slimages.macys.com/is/image/MCY/3832935 ")</f>
        <v xml:space="preserve">http://slimages.macys.com/is/image/MCY/3832935 </v>
      </c>
    </row>
    <row r="84" spans="1:13" ht="15.2" customHeight="1" x14ac:dyDescent="0.2">
      <c r="A84" s="26" t="s">
        <v>4470</v>
      </c>
      <c r="B84" s="27" t="s">
        <v>4471</v>
      </c>
      <c r="C84" s="28">
        <v>1</v>
      </c>
      <c r="D84" s="29">
        <v>10.5</v>
      </c>
      <c r="E84" s="29">
        <v>10.5</v>
      </c>
      <c r="F84" s="30">
        <v>24.99</v>
      </c>
      <c r="G84" s="29">
        <v>24.99</v>
      </c>
      <c r="H84" s="28" t="s">
        <v>259</v>
      </c>
      <c r="I84" s="27" t="s">
        <v>26</v>
      </c>
      <c r="J84" s="31" t="s">
        <v>5</v>
      </c>
      <c r="K84" s="27" t="s">
        <v>224</v>
      </c>
      <c r="L84" s="27" t="s">
        <v>260</v>
      </c>
      <c r="M84" s="32" t="str">
        <f>HYPERLINK("http://slimages.macys.com/is/image/MCY/3832935 ")</f>
        <v xml:space="preserve">http://slimages.macys.com/is/image/MCY/3832935 </v>
      </c>
    </row>
    <row r="85" spans="1:13" ht="15.2" customHeight="1" x14ac:dyDescent="0.2">
      <c r="A85" s="26" t="s">
        <v>5046</v>
      </c>
      <c r="B85" s="27" t="s">
        <v>5047</v>
      </c>
      <c r="C85" s="28">
        <v>1</v>
      </c>
      <c r="D85" s="29">
        <v>10.5</v>
      </c>
      <c r="E85" s="29">
        <v>10.5</v>
      </c>
      <c r="F85" s="30">
        <v>27.99</v>
      </c>
      <c r="G85" s="29">
        <v>27.99</v>
      </c>
      <c r="H85" s="28" t="s">
        <v>253</v>
      </c>
      <c r="I85" s="27" t="s">
        <v>10</v>
      </c>
      <c r="J85" s="31" t="s">
        <v>52</v>
      </c>
      <c r="K85" s="27" t="s">
        <v>224</v>
      </c>
      <c r="L85" s="27" t="s">
        <v>254</v>
      </c>
      <c r="M85" s="32" t="str">
        <f>HYPERLINK("http://slimages.macys.com/is/image/MCY/3798053 ")</f>
        <v xml:space="preserve">http://slimages.macys.com/is/image/MCY/3798053 </v>
      </c>
    </row>
    <row r="86" spans="1:13" ht="15.2" customHeight="1" x14ac:dyDescent="0.2">
      <c r="A86" s="26" t="s">
        <v>5048</v>
      </c>
      <c r="B86" s="27" t="s">
        <v>5049</v>
      </c>
      <c r="C86" s="28">
        <v>1</v>
      </c>
      <c r="D86" s="29">
        <v>10.5</v>
      </c>
      <c r="E86" s="29">
        <v>10.5</v>
      </c>
      <c r="F86" s="30">
        <v>24.99</v>
      </c>
      <c r="G86" s="29">
        <v>24.99</v>
      </c>
      <c r="H86" s="28" t="s">
        <v>259</v>
      </c>
      <c r="I86" s="27" t="s">
        <v>26</v>
      </c>
      <c r="J86" s="31" t="s">
        <v>40</v>
      </c>
      <c r="K86" s="27" t="s">
        <v>224</v>
      </c>
      <c r="L86" s="27" t="s">
        <v>260</v>
      </c>
      <c r="M86" s="32" t="str">
        <f>HYPERLINK("http://slimages.macys.com/is/image/MCY/3832935 ")</f>
        <v xml:space="preserve">http://slimages.macys.com/is/image/MCY/3832935 </v>
      </c>
    </row>
    <row r="87" spans="1:13" ht="15.2" customHeight="1" x14ac:dyDescent="0.2">
      <c r="A87" s="26" t="s">
        <v>4214</v>
      </c>
      <c r="B87" s="27" t="s">
        <v>4215</v>
      </c>
      <c r="C87" s="28">
        <v>1</v>
      </c>
      <c r="D87" s="29">
        <v>10.5</v>
      </c>
      <c r="E87" s="29">
        <v>10.5</v>
      </c>
      <c r="F87" s="30">
        <v>25.99</v>
      </c>
      <c r="G87" s="29">
        <v>25.99</v>
      </c>
      <c r="H87" s="28" t="s">
        <v>1305</v>
      </c>
      <c r="I87" s="27" t="s">
        <v>94</v>
      </c>
      <c r="J87" s="31" t="s">
        <v>214</v>
      </c>
      <c r="K87" s="27" t="s">
        <v>200</v>
      </c>
      <c r="L87" s="27" t="s">
        <v>133</v>
      </c>
      <c r="M87" s="32" t="str">
        <f>HYPERLINK("http://slimages.macys.com/is/image/MCY/3773860 ")</f>
        <v xml:space="preserve">http://slimages.macys.com/is/image/MCY/3773860 </v>
      </c>
    </row>
    <row r="88" spans="1:13" ht="15.2" customHeight="1" x14ac:dyDescent="0.2">
      <c r="A88" s="26" t="s">
        <v>4832</v>
      </c>
      <c r="B88" s="27" t="s">
        <v>4833</v>
      </c>
      <c r="C88" s="28">
        <v>1</v>
      </c>
      <c r="D88" s="29">
        <v>10.5</v>
      </c>
      <c r="E88" s="29">
        <v>10.5</v>
      </c>
      <c r="F88" s="30">
        <v>25.99</v>
      </c>
      <c r="G88" s="29">
        <v>25.99</v>
      </c>
      <c r="H88" s="28" t="s">
        <v>1305</v>
      </c>
      <c r="I88" s="27" t="s">
        <v>207</v>
      </c>
      <c r="J88" s="31" t="s">
        <v>234</v>
      </c>
      <c r="K88" s="27" t="s">
        <v>200</v>
      </c>
      <c r="L88" s="27" t="s">
        <v>133</v>
      </c>
      <c r="M88" s="32" t="str">
        <f>HYPERLINK("http://slimages.macys.com/is/image/MCY/3773860 ")</f>
        <v xml:space="preserve">http://slimages.macys.com/is/image/MCY/3773860 </v>
      </c>
    </row>
    <row r="89" spans="1:13" ht="15.2" customHeight="1" x14ac:dyDescent="0.2">
      <c r="A89" s="26" t="s">
        <v>4830</v>
      </c>
      <c r="B89" s="27" t="s">
        <v>4831</v>
      </c>
      <c r="C89" s="28">
        <v>1</v>
      </c>
      <c r="D89" s="29">
        <v>10.5</v>
      </c>
      <c r="E89" s="29">
        <v>10.5</v>
      </c>
      <c r="F89" s="30">
        <v>27.99</v>
      </c>
      <c r="G89" s="29">
        <v>27.99</v>
      </c>
      <c r="H89" s="28" t="s">
        <v>790</v>
      </c>
      <c r="I89" s="27" t="s">
        <v>29</v>
      </c>
      <c r="J89" s="31" t="s">
        <v>40</v>
      </c>
      <c r="K89" s="27" t="s">
        <v>224</v>
      </c>
      <c r="L89" s="27" t="s">
        <v>239</v>
      </c>
      <c r="M89" s="32" t="str">
        <f>HYPERLINK("http://slimages.macys.com/is/image/MCY/3910853 ")</f>
        <v xml:space="preserve">http://slimages.macys.com/is/image/MCY/3910853 </v>
      </c>
    </row>
    <row r="90" spans="1:13" ht="15.2" customHeight="1" x14ac:dyDescent="0.2">
      <c r="A90" s="26" t="s">
        <v>4834</v>
      </c>
      <c r="B90" s="27" t="s">
        <v>4835</v>
      </c>
      <c r="C90" s="28">
        <v>1</v>
      </c>
      <c r="D90" s="29">
        <v>10.5</v>
      </c>
      <c r="E90" s="29">
        <v>10.5</v>
      </c>
      <c r="F90" s="30">
        <v>26.99</v>
      </c>
      <c r="G90" s="29">
        <v>26.99</v>
      </c>
      <c r="H90" s="28" t="s">
        <v>2620</v>
      </c>
      <c r="I90" s="27" t="s">
        <v>75</v>
      </c>
      <c r="J90" s="31" t="s">
        <v>21</v>
      </c>
      <c r="K90" s="27" t="s">
        <v>70</v>
      </c>
      <c r="L90" s="27" t="s">
        <v>250</v>
      </c>
      <c r="M90" s="32" t="str">
        <f>HYPERLINK("http://slimages.macys.com/is/image/MCY/3666154 ")</f>
        <v xml:space="preserve">http://slimages.macys.com/is/image/MCY/3666154 </v>
      </c>
    </row>
    <row r="91" spans="1:13" ht="15.2" customHeight="1" x14ac:dyDescent="0.2">
      <c r="A91" s="26" t="s">
        <v>5050</v>
      </c>
      <c r="B91" s="27" t="s">
        <v>5051</v>
      </c>
      <c r="C91" s="28">
        <v>1</v>
      </c>
      <c r="D91" s="29">
        <v>10.49</v>
      </c>
      <c r="E91" s="29">
        <v>10.49</v>
      </c>
      <c r="F91" s="30">
        <v>29.5</v>
      </c>
      <c r="G91" s="29">
        <v>29.5</v>
      </c>
      <c r="H91" s="28" t="s">
        <v>261</v>
      </c>
      <c r="I91" s="27" t="s">
        <v>26</v>
      </c>
      <c r="J91" s="31" t="s">
        <v>5</v>
      </c>
      <c r="K91" s="27" t="s">
        <v>53</v>
      </c>
      <c r="L91" s="27" t="s">
        <v>165</v>
      </c>
      <c r="M91" s="32" t="str">
        <f>HYPERLINK("http://slimages.macys.com/is/image/MCY/3789872 ")</f>
        <v xml:space="preserve">http://slimages.macys.com/is/image/MCY/3789872 </v>
      </c>
    </row>
    <row r="92" spans="1:13" ht="15.2" customHeight="1" x14ac:dyDescent="0.2">
      <c r="A92" s="26" t="s">
        <v>5052</v>
      </c>
      <c r="B92" s="27" t="s">
        <v>5053</v>
      </c>
      <c r="C92" s="28">
        <v>1</v>
      </c>
      <c r="D92" s="29">
        <v>10.49</v>
      </c>
      <c r="E92" s="29">
        <v>10.49</v>
      </c>
      <c r="F92" s="30">
        <v>29.5</v>
      </c>
      <c r="G92" s="29">
        <v>29.5</v>
      </c>
      <c r="H92" s="28" t="s">
        <v>261</v>
      </c>
      <c r="I92" s="27" t="s">
        <v>26</v>
      </c>
      <c r="J92" s="31" t="s">
        <v>40</v>
      </c>
      <c r="K92" s="27" t="s">
        <v>53</v>
      </c>
      <c r="L92" s="27" t="s">
        <v>165</v>
      </c>
      <c r="M92" s="32" t="str">
        <f>HYPERLINK("http://slimages.macys.com/is/image/MCY/3789872 ")</f>
        <v xml:space="preserve">http://slimages.macys.com/is/image/MCY/3789872 </v>
      </c>
    </row>
    <row r="93" spans="1:13" ht="15.2" customHeight="1" x14ac:dyDescent="0.2">
      <c r="A93" s="26" t="s">
        <v>4838</v>
      </c>
      <c r="B93" s="27" t="s">
        <v>4839</v>
      </c>
      <c r="C93" s="28">
        <v>3</v>
      </c>
      <c r="D93" s="29">
        <v>10.4</v>
      </c>
      <c r="E93" s="29">
        <v>31.2</v>
      </c>
      <c r="F93" s="30">
        <v>24.99</v>
      </c>
      <c r="G93" s="29">
        <v>74.97</v>
      </c>
      <c r="H93" s="28" t="s">
        <v>793</v>
      </c>
      <c r="I93" s="27" t="s">
        <v>4</v>
      </c>
      <c r="J93" s="31" t="s">
        <v>5</v>
      </c>
      <c r="K93" s="27" t="s">
        <v>208</v>
      </c>
      <c r="L93" s="27" t="s">
        <v>197</v>
      </c>
      <c r="M93" s="32" t="str">
        <f>HYPERLINK("http://slimages.macys.com/is/image/MCY/3774116 ")</f>
        <v xml:space="preserve">http://slimages.macys.com/is/image/MCY/3774116 </v>
      </c>
    </row>
    <row r="94" spans="1:13" ht="15.2" customHeight="1" x14ac:dyDescent="0.2">
      <c r="A94" s="26" t="s">
        <v>4474</v>
      </c>
      <c r="B94" s="27" t="s">
        <v>4475</v>
      </c>
      <c r="C94" s="28">
        <v>2</v>
      </c>
      <c r="D94" s="29">
        <v>10.4</v>
      </c>
      <c r="E94" s="29">
        <v>20.8</v>
      </c>
      <c r="F94" s="30">
        <v>24.99</v>
      </c>
      <c r="G94" s="29">
        <v>49.98</v>
      </c>
      <c r="H94" s="28" t="s">
        <v>793</v>
      </c>
      <c r="I94" s="27" t="s">
        <v>4</v>
      </c>
      <c r="J94" s="31" t="s">
        <v>21</v>
      </c>
      <c r="K94" s="27" t="s">
        <v>208</v>
      </c>
      <c r="L94" s="27" t="s">
        <v>197</v>
      </c>
      <c r="M94" s="32" t="str">
        <f>HYPERLINK("http://slimages.macys.com/is/image/MCY/3774116 ")</f>
        <v xml:space="preserve">http://slimages.macys.com/is/image/MCY/3774116 </v>
      </c>
    </row>
    <row r="95" spans="1:13" ht="15.2" customHeight="1" x14ac:dyDescent="0.2">
      <c r="A95" s="26" t="s">
        <v>2630</v>
      </c>
      <c r="B95" s="27" t="s">
        <v>2631</v>
      </c>
      <c r="C95" s="28">
        <v>1</v>
      </c>
      <c r="D95" s="29">
        <v>10.4</v>
      </c>
      <c r="E95" s="29">
        <v>10.4</v>
      </c>
      <c r="F95" s="30">
        <v>24.99</v>
      </c>
      <c r="G95" s="29">
        <v>24.99</v>
      </c>
      <c r="H95" s="28" t="s">
        <v>264</v>
      </c>
      <c r="I95" s="27" t="s">
        <v>248</v>
      </c>
      <c r="J95" s="31" t="s">
        <v>21</v>
      </c>
      <c r="K95" s="27" t="s">
        <v>208</v>
      </c>
      <c r="L95" s="27" t="s">
        <v>197</v>
      </c>
      <c r="M95" s="32" t="str">
        <f>HYPERLINK("http://slimages.macys.com/is/image/MCY/3883081 ")</f>
        <v xml:space="preserve">http://slimages.macys.com/is/image/MCY/3883081 </v>
      </c>
    </row>
    <row r="96" spans="1:13" ht="15.2" customHeight="1" x14ac:dyDescent="0.2">
      <c r="A96" s="26" t="s">
        <v>5054</v>
      </c>
      <c r="B96" s="27" t="s">
        <v>5055</v>
      </c>
      <c r="C96" s="28">
        <v>1</v>
      </c>
      <c r="D96" s="29">
        <v>10.4</v>
      </c>
      <c r="E96" s="29">
        <v>10.4</v>
      </c>
      <c r="F96" s="30">
        <v>24.99</v>
      </c>
      <c r="G96" s="29">
        <v>24.99</v>
      </c>
      <c r="H96" s="28" t="s">
        <v>793</v>
      </c>
      <c r="I96" s="27" t="s">
        <v>4</v>
      </c>
      <c r="J96" s="31" t="s">
        <v>40</v>
      </c>
      <c r="K96" s="27" t="s">
        <v>208</v>
      </c>
      <c r="L96" s="27" t="s">
        <v>197</v>
      </c>
      <c r="M96" s="32" t="str">
        <f>HYPERLINK("http://slimages.macys.com/is/image/MCY/3774116 ")</f>
        <v xml:space="preserve">http://slimages.macys.com/is/image/MCY/3774116 </v>
      </c>
    </row>
    <row r="97" spans="1:13" ht="15.2" customHeight="1" x14ac:dyDescent="0.2">
      <c r="A97" s="26" t="s">
        <v>5056</v>
      </c>
      <c r="B97" s="27" t="s">
        <v>5057</v>
      </c>
      <c r="C97" s="28">
        <v>1</v>
      </c>
      <c r="D97" s="29">
        <v>10</v>
      </c>
      <c r="E97" s="29">
        <v>10</v>
      </c>
      <c r="F97" s="30">
        <v>39</v>
      </c>
      <c r="G97" s="29">
        <v>39</v>
      </c>
      <c r="H97" s="28" t="s">
        <v>5058</v>
      </c>
      <c r="I97" s="27" t="s">
        <v>4</v>
      </c>
      <c r="J97" s="31" t="s">
        <v>230</v>
      </c>
      <c r="K97" s="27" t="s">
        <v>154</v>
      </c>
      <c r="L97" s="27" t="s">
        <v>155</v>
      </c>
      <c r="M97" s="32" t="str">
        <f>HYPERLINK("http://slimages.macys.com/is/image/MCY/3667611 ")</f>
        <v xml:space="preserve">http://slimages.macys.com/is/image/MCY/3667611 </v>
      </c>
    </row>
    <row r="98" spans="1:13" ht="15.2" customHeight="1" x14ac:dyDescent="0.2">
      <c r="A98" s="26" t="s">
        <v>5059</v>
      </c>
      <c r="B98" s="27" t="s">
        <v>5060</v>
      </c>
      <c r="C98" s="28">
        <v>1</v>
      </c>
      <c r="D98" s="29">
        <v>9.75</v>
      </c>
      <c r="E98" s="29">
        <v>9.75</v>
      </c>
      <c r="F98" s="30">
        <v>19.989999999999998</v>
      </c>
      <c r="G98" s="29">
        <v>19.989999999999998</v>
      </c>
      <c r="H98" s="28" t="s">
        <v>2632</v>
      </c>
      <c r="I98" s="27" t="s">
        <v>75</v>
      </c>
      <c r="J98" s="31" t="s">
        <v>40</v>
      </c>
      <c r="K98" s="27" t="s">
        <v>196</v>
      </c>
      <c r="L98" s="27" t="s">
        <v>256</v>
      </c>
      <c r="M98" s="32" t="str">
        <f>HYPERLINK("http://slimages.macys.com/is/image/MCY/3755166 ")</f>
        <v xml:space="preserve">http://slimages.macys.com/is/image/MCY/3755166 </v>
      </c>
    </row>
    <row r="99" spans="1:13" ht="15.2" customHeight="1" x14ac:dyDescent="0.2">
      <c r="A99" s="26" t="s">
        <v>5061</v>
      </c>
      <c r="B99" s="27" t="s">
        <v>5062</v>
      </c>
      <c r="C99" s="28">
        <v>1</v>
      </c>
      <c r="D99" s="29">
        <v>9.75</v>
      </c>
      <c r="E99" s="29">
        <v>9.75</v>
      </c>
      <c r="F99" s="30">
        <v>19.989999999999998</v>
      </c>
      <c r="G99" s="29">
        <v>19.989999999999998</v>
      </c>
      <c r="H99" s="28" t="s">
        <v>2632</v>
      </c>
      <c r="I99" s="27" t="s">
        <v>59</v>
      </c>
      <c r="J99" s="31" t="s">
        <v>71</v>
      </c>
      <c r="K99" s="27" t="s">
        <v>196</v>
      </c>
      <c r="L99" s="27" t="s">
        <v>256</v>
      </c>
      <c r="M99" s="32" t="str">
        <f>HYPERLINK("http://slimages.macys.com/is/image/MCY/3755166 ")</f>
        <v xml:space="preserve">http://slimages.macys.com/is/image/MCY/3755166 </v>
      </c>
    </row>
    <row r="100" spans="1:13" ht="15.2" customHeight="1" x14ac:dyDescent="0.2">
      <c r="A100" s="26" t="s">
        <v>5063</v>
      </c>
      <c r="B100" s="27" t="s">
        <v>5064</v>
      </c>
      <c r="C100" s="28">
        <v>1</v>
      </c>
      <c r="D100" s="29">
        <v>9.5</v>
      </c>
      <c r="E100" s="29">
        <v>9.5</v>
      </c>
      <c r="F100" s="30">
        <v>22.99</v>
      </c>
      <c r="G100" s="29">
        <v>22.99</v>
      </c>
      <c r="H100" s="28" t="s">
        <v>5065</v>
      </c>
      <c r="I100" s="27" t="s">
        <v>20</v>
      </c>
      <c r="J100" s="31" t="s">
        <v>71</v>
      </c>
      <c r="K100" s="27" t="s">
        <v>208</v>
      </c>
      <c r="L100" s="27" t="s">
        <v>197</v>
      </c>
      <c r="M100" s="32" t="str">
        <f>HYPERLINK("http://slimages.macys.com/is/image/MCY/3738472 ")</f>
        <v xml:space="preserve">http://slimages.macys.com/is/image/MCY/3738472 </v>
      </c>
    </row>
    <row r="101" spans="1:13" ht="15.2" customHeight="1" x14ac:dyDescent="0.2">
      <c r="A101" s="26" t="s">
        <v>5066</v>
      </c>
      <c r="B101" s="27" t="s">
        <v>5067</v>
      </c>
      <c r="C101" s="28">
        <v>1</v>
      </c>
      <c r="D101" s="29">
        <v>9.5</v>
      </c>
      <c r="E101" s="29">
        <v>9.5</v>
      </c>
      <c r="F101" s="30">
        <v>24.99</v>
      </c>
      <c r="G101" s="29">
        <v>24.99</v>
      </c>
      <c r="H101" s="28" t="s">
        <v>288</v>
      </c>
      <c r="I101" s="27" t="s">
        <v>1</v>
      </c>
      <c r="J101" s="31" t="s">
        <v>71</v>
      </c>
      <c r="K101" s="27" t="s">
        <v>224</v>
      </c>
      <c r="L101" s="27" t="s">
        <v>239</v>
      </c>
      <c r="M101" s="32" t="str">
        <f>HYPERLINK("http://slimages.macys.com/is/image/MCY/3719840 ")</f>
        <v xml:space="preserve">http://slimages.macys.com/is/image/MCY/3719840 </v>
      </c>
    </row>
    <row r="102" spans="1:13" ht="15.2" customHeight="1" x14ac:dyDescent="0.2">
      <c r="A102" s="26" t="s">
        <v>5068</v>
      </c>
      <c r="B102" s="27" t="s">
        <v>5069</v>
      </c>
      <c r="C102" s="28">
        <v>1</v>
      </c>
      <c r="D102" s="29">
        <v>9.25</v>
      </c>
      <c r="E102" s="29">
        <v>9.25</v>
      </c>
      <c r="F102" s="30">
        <v>19.989999999999998</v>
      </c>
      <c r="G102" s="29">
        <v>19.989999999999998</v>
      </c>
      <c r="H102" s="28">
        <v>60427717</v>
      </c>
      <c r="I102" s="27" t="s">
        <v>33</v>
      </c>
      <c r="J102" s="31" t="s">
        <v>5</v>
      </c>
      <c r="K102" s="27" t="s">
        <v>208</v>
      </c>
      <c r="L102" s="27" t="s">
        <v>255</v>
      </c>
      <c r="M102" s="32" t="str">
        <f>HYPERLINK("http://slimages.macys.com/is/image/MCY/3503053 ")</f>
        <v xml:space="preserve">http://slimages.macys.com/is/image/MCY/3503053 </v>
      </c>
    </row>
    <row r="103" spans="1:13" ht="15.2" customHeight="1" x14ac:dyDescent="0.2">
      <c r="A103" s="26" t="s">
        <v>5070</v>
      </c>
      <c r="B103" s="27" t="s">
        <v>5071</v>
      </c>
      <c r="C103" s="28">
        <v>1</v>
      </c>
      <c r="D103" s="29">
        <v>9.24</v>
      </c>
      <c r="E103" s="29">
        <v>9.24</v>
      </c>
      <c r="F103" s="30">
        <v>21.99</v>
      </c>
      <c r="G103" s="29">
        <v>21.99</v>
      </c>
      <c r="H103" s="28" t="s">
        <v>5072</v>
      </c>
      <c r="I103" s="27" t="s">
        <v>4</v>
      </c>
      <c r="J103" s="31" t="s">
        <v>52</v>
      </c>
      <c r="K103" s="27" t="s">
        <v>159</v>
      </c>
      <c r="L103" s="27" t="s">
        <v>160</v>
      </c>
      <c r="M103" s="32" t="str">
        <f>HYPERLINK("http://slimages.macys.com/is/image/MCY/3813783 ")</f>
        <v xml:space="preserve">http://slimages.macys.com/is/image/MCY/3813783 </v>
      </c>
    </row>
    <row r="104" spans="1:13" ht="15.2" customHeight="1" x14ac:dyDescent="0.2">
      <c r="A104" s="26" t="s">
        <v>5073</v>
      </c>
      <c r="B104" s="27" t="s">
        <v>5074</v>
      </c>
      <c r="C104" s="28">
        <v>1</v>
      </c>
      <c r="D104" s="29">
        <v>9.24</v>
      </c>
      <c r="E104" s="29">
        <v>9.24</v>
      </c>
      <c r="F104" s="30">
        <v>21.99</v>
      </c>
      <c r="G104" s="29">
        <v>21.99</v>
      </c>
      <c r="H104" s="28" t="s">
        <v>5075</v>
      </c>
      <c r="I104" s="27" t="s">
        <v>4</v>
      </c>
      <c r="J104" s="31" t="s">
        <v>52</v>
      </c>
      <c r="K104" s="27" t="s">
        <v>159</v>
      </c>
      <c r="L104" s="27" t="s">
        <v>160</v>
      </c>
      <c r="M104" s="32" t="str">
        <f>HYPERLINK("http://slimages.macys.com/is/image/MCY/3738488 ")</f>
        <v xml:space="preserve">http://slimages.macys.com/is/image/MCY/3738488 </v>
      </c>
    </row>
    <row r="105" spans="1:13" ht="15.2" customHeight="1" x14ac:dyDescent="0.2">
      <c r="A105" s="26" t="s">
        <v>5076</v>
      </c>
      <c r="B105" s="27" t="s">
        <v>5077</v>
      </c>
      <c r="C105" s="28">
        <v>1</v>
      </c>
      <c r="D105" s="29">
        <v>9.24</v>
      </c>
      <c r="E105" s="29">
        <v>9.24</v>
      </c>
      <c r="F105" s="30">
        <v>21.99</v>
      </c>
      <c r="G105" s="29">
        <v>21.99</v>
      </c>
      <c r="H105" s="28" t="s">
        <v>2232</v>
      </c>
      <c r="I105" s="27" t="s">
        <v>4</v>
      </c>
      <c r="J105" s="31" t="s">
        <v>52</v>
      </c>
      <c r="K105" s="27" t="s">
        <v>159</v>
      </c>
      <c r="L105" s="27" t="s">
        <v>160</v>
      </c>
      <c r="M105" s="32" t="str">
        <f>HYPERLINK("http://slimages.macys.com/is/image/MCY/3813787 ")</f>
        <v xml:space="preserve">http://slimages.macys.com/is/image/MCY/3813787 </v>
      </c>
    </row>
    <row r="106" spans="1:13" ht="15.2" customHeight="1" x14ac:dyDescent="0.2">
      <c r="A106" s="26" t="s">
        <v>5078</v>
      </c>
      <c r="B106" s="27" t="s">
        <v>5079</v>
      </c>
      <c r="C106" s="28">
        <v>1</v>
      </c>
      <c r="D106" s="29">
        <v>9.24</v>
      </c>
      <c r="E106" s="29">
        <v>9.24</v>
      </c>
      <c r="F106" s="30">
        <v>21.99</v>
      </c>
      <c r="G106" s="29">
        <v>21.99</v>
      </c>
      <c r="H106" s="28" t="s">
        <v>5072</v>
      </c>
      <c r="I106" s="27" t="s">
        <v>4</v>
      </c>
      <c r="J106" s="31" t="s">
        <v>71</v>
      </c>
      <c r="K106" s="27" t="s">
        <v>159</v>
      </c>
      <c r="L106" s="27" t="s">
        <v>160</v>
      </c>
      <c r="M106" s="32" t="str">
        <f>HYPERLINK("http://slimages.macys.com/is/image/MCY/3813783 ")</f>
        <v xml:space="preserve">http://slimages.macys.com/is/image/MCY/3813783 </v>
      </c>
    </row>
    <row r="107" spans="1:13" ht="15.2" customHeight="1" x14ac:dyDescent="0.2">
      <c r="A107" s="26" t="s">
        <v>810</v>
      </c>
      <c r="B107" s="27" t="s">
        <v>811</v>
      </c>
      <c r="C107" s="28">
        <v>1</v>
      </c>
      <c r="D107" s="29">
        <v>9.2200000000000006</v>
      </c>
      <c r="E107" s="29">
        <v>9.2200000000000006</v>
      </c>
      <c r="F107" s="30">
        <v>21.99</v>
      </c>
      <c r="G107" s="29">
        <v>21.99</v>
      </c>
      <c r="H107" s="28" t="s">
        <v>812</v>
      </c>
      <c r="I107" s="27" t="s">
        <v>4</v>
      </c>
      <c r="J107" s="31" t="s">
        <v>21</v>
      </c>
      <c r="K107" s="27" t="s">
        <v>159</v>
      </c>
      <c r="L107" s="27" t="s">
        <v>160</v>
      </c>
      <c r="M107" s="32" t="str">
        <f>HYPERLINK("http://slimages.macys.com/is/image/MCY/3857711 ")</f>
        <v xml:space="preserve">http://slimages.macys.com/is/image/MCY/3857711 </v>
      </c>
    </row>
    <row r="108" spans="1:13" ht="15.2" customHeight="1" x14ac:dyDescent="0.2">
      <c r="A108" s="26" t="s">
        <v>2645</v>
      </c>
      <c r="B108" s="27" t="s">
        <v>2646</v>
      </c>
      <c r="C108" s="28">
        <v>1</v>
      </c>
      <c r="D108" s="29">
        <v>9.2200000000000006</v>
      </c>
      <c r="E108" s="29">
        <v>9.2200000000000006</v>
      </c>
      <c r="F108" s="30">
        <v>21.99</v>
      </c>
      <c r="G108" s="29">
        <v>21.99</v>
      </c>
      <c r="H108" s="28" t="s">
        <v>294</v>
      </c>
      <c r="I108" s="27" t="s">
        <v>4</v>
      </c>
      <c r="J108" s="31" t="s">
        <v>71</v>
      </c>
      <c r="K108" s="27" t="s">
        <v>159</v>
      </c>
      <c r="L108" s="27" t="s">
        <v>160</v>
      </c>
      <c r="M108" s="32" t="str">
        <f>HYPERLINK("http://slimages.macys.com/is/image/MCY/3857709 ")</f>
        <v xml:space="preserve">http://slimages.macys.com/is/image/MCY/3857709 </v>
      </c>
    </row>
    <row r="109" spans="1:13" ht="15.2" customHeight="1" x14ac:dyDescent="0.2">
      <c r="A109" s="26" t="s">
        <v>2649</v>
      </c>
      <c r="B109" s="27" t="s">
        <v>2650</v>
      </c>
      <c r="C109" s="28">
        <v>1</v>
      </c>
      <c r="D109" s="29">
        <v>9.1999999999999993</v>
      </c>
      <c r="E109" s="29">
        <v>9.1999999999999993</v>
      </c>
      <c r="F109" s="30">
        <v>21.99</v>
      </c>
      <c r="G109" s="29">
        <v>21.99</v>
      </c>
      <c r="H109" s="28" t="s">
        <v>1837</v>
      </c>
      <c r="I109" s="27" t="s">
        <v>103</v>
      </c>
      <c r="J109" s="31" t="s">
        <v>40</v>
      </c>
      <c r="K109" s="27" t="s">
        <v>159</v>
      </c>
      <c r="L109" s="27" t="s">
        <v>160</v>
      </c>
      <c r="M109" s="32" t="str">
        <f>HYPERLINK("http://slimages.macys.com/is/image/MCY/3857655 ")</f>
        <v xml:space="preserve">http://slimages.macys.com/is/image/MCY/3857655 </v>
      </c>
    </row>
    <row r="110" spans="1:13" ht="15.2" customHeight="1" x14ac:dyDescent="0.2">
      <c r="A110" s="26" t="s">
        <v>5080</v>
      </c>
      <c r="B110" s="27" t="s">
        <v>5081</v>
      </c>
      <c r="C110" s="28">
        <v>1</v>
      </c>
      <c r="D110" s="29">
        <v>9.1999999999999993</v>
      </c>
      <c r="E110" s="29">
        <v>9.1999999999999993</v>
      </c>
      <c r="F110" s="30">
        <v>21.99</v>
      </c>
      <c r="G110" s="29">
        <v>21.99</v>
      </c>
      <c r="H110" s="28" t="s">
        <v>5082</v>
      </c>
      <c r="I110" s="27" t="s">
        <v>333</v>
      </c>
      <c r="J110" s="31" t="s">
        <v>21</v>
      </c>
      <c r="K110" s="27" t="s">
        <v>159</v>
      </c>
      <c r="L110" s="27" t="s">
        <v>160</v>
      </c>
      <c r="M110" s="32" t="str">
        <f>HYPERLINK("http://slimages.macys.com/is/image/MCY/3664653 ")</f>
        <v xml:space="preserve">http://slimages.macys.com/is/image/MCY/3664653 </v>
      </c>
    </row>
    <row r="111" spans="1:13" ht="15.2" customHeight="1" x14ac:dyDescent="0.2">
      <c r="A111" s="26" t="s">
        <v>5083</v>
      </c>
      <c r="B111" s="27" t="s">
        <v>5084</v>
      </c>
      <c r="C111" s="28">
        <v>1</v>
      </c>
      <c r="D111" s="29">
        <v>9.15</v>
      </c>
      <c r="E111" s="29">
        <v>9.15</v>
      </c>
      <c r="F111" s="30">
        <v>21.99</v>
      </c>
      <c r="G111" s="29">
        <v>21.99</v>
      </c>
      <c r="H111" s="28" t="s">
        <v>2955</v>
      </c>
      <c r="I111" s="27" t="s">
        <v>2956</v>
      </c>
      <c r="J111" s="31" t="s">
        <v>65</v>
      </c>
      <c r="K111" s="27" t="s">
        <v>159</v>
      </c>
      <c r="L111" s="27" t="s">
        <v>160</v>
      </c>
      <c r="M111" s="32" t="str">
        <f>HYPERLINK("http://slimages.macys.com/is/image/MCY/3664655 ")</f>
        <v xml:space="preserve">http://slimages.macys.com/is/image/MCY/3664655 </v>
      </c>
    </row>
    <row r="112" spans="1:13" ht="15.2" customHeight="1" x14ac:dyDescent="0.2">
      <c r="A112" s="26" t="s">
        <v>1847</v>
      </c>
      <c r="B112" s="27" t="s">
        <v>1848</v>
      </c>
      <c r="C112" s="28">
        <v>1</v>
      </c>
      <c r="D112" s="29">
        <v>9.1</v>
      </c>
      <c r="E112" s="29">
        <v>9.1</v>
      </c>
      <c r="F112" s="30">
        <v>19.989999999999998</v>
      </c>
      <c r="G112" s="29">
        <v>19.989999999999998</v>
      </c>
      <c r="H112" s="28" t="s">
        <v>305</v>
      </c>
      <c r="I112" s="27" t="s">
        <v>189</v>
      </c>
      <c r="J112" s="31" t="s">
        <v>5</v>
      </c>
      <c r="K112" s="27" t="s">
        <v>224</v>
      </c>
      <c r="L112" s="27" t="s">
        <v>276</v>
      </c>
      <c r="M112" s="32" t="str">
        <f>HYPERLINK("http://slimages.macys.com/is/image/MCY/3821780 ")</f>
        <v xml:space="preserve">http://slimages.macys.com/is/image/MCY/3821780 </v>
      </c>
    </row>
    <row r="113" spans="1:13" ht="15.2" customHeight="1" x14ac:dyDescent="0.2">
      <c r="A113" s="26" t="s">
        <v>1358</v>
      </c>
      <c r="B113" s="27" t="s">
        <v>1359</v>
      </c>
      <c r="C113" s="28">
        <v>1</v>
      </c>
      <c r="D113" s="29">
        <v>9</v>
      </c>
      <c r="E113" s="29">
        <v>9</v>
      </c>
      <c r="F113" s="30">
        <v>19.989999999999998</v>
      </c>
      <c r="G113" s="29">
        <v>19.989999999999998</v>
      </c>
      <c r="H113" s="28">
        <v>60433877</v>
      </c>
      <c r="I113" s="27" t="s">
        <v>4</v>
      </c>
      <c r="J113" s="31" t="s">
        <v>40</v>
      </c>
      <c r="K113" s="27" t="s">
        <v>224</v>
      </c>
      <c r="L113" s="27" t="s">
        <v>255</v>
      </c>
      <c r="M113" s="32" t="str">
        <f>HYPERLINK("http://slimages.macys.com/is/image/MCY/3910888 ")</f>
        <v xml:space="preserve">http://slimages.macys.com/is/image/MCY/3910888 </v>
      </c>
    </row>
    <row r="114" spans="1:13" ht="15.2" customHeight="1" x14ac:dyDescent="0.2">
      <c r="A114" s="26" t="s">
        <v>5085</v>
      </c>
      <c r="B114" s="27" t="s">
        <v>5086</v>
      </c>
      <c r="C114" s="28">
        <v>1</v>
      </c>
      <c r="D114" s="29">
        <v>8.75</v>
      </c>
      <c r="E114" s="29">
        <v>8.75</v>
      </c>
      <c r="F114" s="30">
        <v>19.989999999999998</v>
      </c>
      <c r="G114" s="29">
        <v>19.989999999999998</v>
      </c>
      <c r="H114" s="28" t="s">
        <v>2252</v>
      </c>
      <c r="I114" s="27" t="s">
        <v>10</v>
      </c>
      <c r="J114" s="31" t="s">
        <v>5</v>
      </c>
      <c r="K114" s="27" t="s">
        <v>196</v>
      </c>
      <c r="L114" s="27" t="s">
        <v>260</v>
      </c>
      <c r="M114" s="32" t="str">
        <f>HYPERLINK("http://slimages.macys.com/is/image/MCY/3623304 ")</f>
        <v xml:space="preserve">http://slimages.macys.com/is/image/MCY/3623304 </v>
      </c>
    </row>
    <row r="115" spans="1:13" ht="15.2" customHeight="1" x14ac:dyDescent="0.2">
      <c r="A115" s="26" t="s">
        <v>5087</v>
      </c>
      <c r="B115" s="27" t="s">
        <v>5088</v>
      </c>
      <c r="C115" s="28">
        <v>1</v>
      </c>
      <c r="D115" s="29">
        <v>8.69</v>
      </c>
      <c r="E115" s="29">
        <v>8.69</v>
      </c>
      <c r="F115" s="30">
        <v>16.989999999999998</v>
      </c>
      <c r="G115" s="29">
        <v>16.989999999999998</v>
      </c>
      <c r="H115" s="28">
        <v>60433928</v>
      </c>
      <c r="I115" s="27" t="s">
        <v>4</v>
      </c>
      <c r="J115" s="31" t="s">
        <v>5</v>
      </c>
      <c r="K115" s="27" t="s">
        <v>208</v>
      </c>
      <c r="L115" s="27" t="s">
        <v>255</v>
      </c>
      <c r="M115" s="32" t="str">
        <f>HYPERLINK("http://slimages.macys.com/is/image/MCY/3623246 ")</f>
        <v xml:space="preserve">http://slimages.macys.com/is/image/MCY/3623246 </v>
      </c>
    </row>
    <row r="116" spans="1:13" ht="15.2" customHeight="1" x14ac:dyDescent="0.2">
      <c r="A116" s="26" t="s">
        <v>4225</v>
      </c>
      <c r="B116" s="27" t="s">
        <v>4226</v>
      </c>
      <c r="C116" s="28">
        <v>1</v>
      </c>
      <c r="D116" s="29">
        <v>8.69</v>
      </c>
      <c r="E116" s="29">
        <v>8.69</v>
      </c>
      <c r="F116" s="30">
        <v>16.989999999999998</v>
      </c>
      <c r="G116" s="29">
        <v>16.989999999999998</v>
      </c>
      <c r="H116" s="28">
        <v>60433928</v>
      </c>
      <c r="I116" s="27" t="s">
        <v>4</v>
      </c>
      <c r="J116" s="31" t="s">
        <v>52</v>
      </c>
      <c r="K116" s="27" t="s">
        <v>208</v>
      </c>
      <c r="L116" s="27" t="s">
        <v>255</v>
      </c>
      <c r="M116" s="32" t="str">
        <f>HYPERLINK("http://slimages.macys.com/is/image/MCY/3623246 ")</f>
        <v xml:space="preserve">http://slimages.macys.com/is/image/MCY/3623246 </v>
      </c>
    </row>
    <row r="117" spans="1:13" ht="15.2" customHeight="1" x14ac:dyDescent="0.2">
      <c r="A117" s="26" t="s">
        <v>3402</v>
      </c>
      <c r="B117" s="27" t="s">
        <v>3403</v>
      </c>
      <c r="C117" s="28">
        <v>1</v>
      </c>
      <c r="D117" s="29">
        <v>8.5500000000000007</v>
      </c>
      <c r="E117" s="29">
        <v>8.5500000000000007</v>
      </c>
      <c r="F117" s="30">
        <v>19.989999999999998</v>
      </c>
      <c r="G117" s="29">
        <v>19.989999999999998</v>
      </c>
      <c r="H117" s="28" t="s">
        <v>3398</v>
      </c>
      <c r="I117" s="27" t="s">
        <v>1</v>
      </c>
      <c r="J117" s="31" t="s">
        <v>21</v>
      </c>
      <c r="K117" s="27" t="s">
        <v>224</v>
      </c>
      <c r="L117" s="27" t="s">
        <v>254</v>
      </c>
      <c r="M117" s="32" t="str">
        <f>HYPERLINK("http://slimages.macys.com/is/image/MCY/3931020 ")</f>
        <v xml:space="preserve">http://slimages.macys.com/is/image/MCY/3931020 </v>
      </c>
    </row>
    <row r="118" spans="1:13" ht="15.2" customHeight="1" x14ac:dyDescent="0.2">
      <c r="A118" s="26" t="s">
        <v>3399</v>
      </c>
      <c r="B118" s="27" t="s">
        <v>3400</v>
      </c>
      <c r="C118" s="28">
        <v>1</v>
      </c>
      <c r="D118" s="29">
        <v>8.5500000000000007</v>
      </c>
      <c r="E118" s="29">
        <v>8.5500000000000007</v>
      </c>
      <c r="F118" s="30">
        <v>19.989999999999998</v>
      </c>
      <c r="G118" s="29">
        <v>19.989999999999998</v>
      </c>
      <c r="H118" s="28" t="s">
        <v>3401</v>
      </c>
      <c r="I118" s="27" t="s">
        <v>94</v>
      </c>
      <c r="J118" s="31" t="s">
        <v>21</v>
      </c>
      <c r="K118" s="27" t="s">
        <v>224</v>
      </c>
      <c r="L118" s="27" t="s">
        <v>254</v>
      </c>
      <c r="M118" s="32" t="str">
        <f>HYPERLINK("http://slimages.macys.com/is/image/MCY/3853618 ")</f>
        <v xml:space="preserve">http://slimages.macys.com/is/image/MCY/3853618 </v>
      </c>
    </row>
    <row r="119" spans="1:13" ht="15.2" customHeight="1" x14ac:dyDescent="0.2">
      <c r="A119" s="26" t="s">
        <v>4842</v>
      </c>
      <c r="B119" s="27" t="s">
        <v>4843</v>
      </c>
      <c r="C119" s="28">
        <v>2</v>
      </c>
      <c r="D119" s="29">
        <v>8.5</v>
      </c>
      <c r="E119" s="29">
        <v>17</v>
      </c>
      <c r="F119" s="30">
        <v>22.99</v>
      </c>
      <c r="G119" s="29">
        <v>45.98</v>
      </c>
      <c r="H119" s="28" t="s">
        <v>1380</v>
      </c>
      <c r="I119" s="27" t="s">
        <v>4</v>
      </c>
      <c r="J119" s="31" t="s">
        <v>5</v>
      </c>
      <c r="K119" s="27" t="s">
        <v>200</v>
      </c>
      <c r="L119" s="27" t="s">
        <v>325</v>
      </c>
      <c r="M119" s="32" t="str">
        <f>HYPERLINK("http://slimages.macys.com/is/image/MCY/3937156 ")</f>
        <v xml:space="preserve">http://slimages.macys.com/is/image/MCY/3937156 </v>
      </c>
    </row>
    <row r="120" spans="1:13" ht="15.2" customHeight="1" x14ac:dyDescent="0.2">
      <c r="A120" s="26" t="s">
        <v>831</v>
      </c>
      <c r="B120" s="27" t="s">
        <v>832</v>
      </c>
      <c r="C120" s="28">
        <v>1</v>
      </c>
      <c r="D120" s="29">
        <v>8.5</v>
      </c>
      <c r="E120" s="29">
        <v>8.5</v>
      </c>
      <c r="F120" s="30">
        <v>19.989999999999998</v>
      </c>
      <c r="G120" s="29">
        <v>19.989999999999998</v>
      </c>
      <c r="H120" s="28" t="s">
        <v>323</v>
      </c>
      <c r="I120" s="27" t="s">
        <v>1</v>
      </c>
      <c r="J120" s="31" t="s">
        <v>52</v>
      </c>
      <c r="K120" s="27" t="s">
        <v>196</v>
      </c>
      <c r="L120" s="27" t="s">
        <v>239</v>
      </c>
      <c r="M120" s="32" t="str">
        <f>HYPERLINK("http://slimages.macys.com/is/image/MCY/3890900 ")</f>
        <v xml:space="preserve">http://slimages.macys.com/is/image/MCY/3890900 </v>
      </c>
    </row>
    <row r="121" spans="1:13" ht="15.2" customHeight="1" x14ac:dyDescent="0.2">
      <c r="A121" s="26" t="s">
        <v>2973</v>
      </c>
      <c r="B121" s="27" t="s">
        <v>2974</v>
      </c>
      <c r="C121" s="28">
        <v>1</v>
      </c>
      <c r="D121" s="29">
        <v>8.5</v>
      </c>
      <c r="E121" s="29">
        <v>8.5</v>
      </c>
      <c r="F121" s="30">
        <v>19.989999999999998</v>
      </c>
      <c r="G121" s="29">
        <v>19.989999999999998</v>
      </c>
      <c r="H121" s="28" t="s">
        <v>830</v>
      </c>
      <c r="I121" s="27" t="s">
        <v>4</v>
      </c>
      <c r="J121" s="31" t="s">
        <v>52</v>
      </c>
      <c r="K121" s="27" t="s">
        <v>282</v>
      </c>
      <c r="L121" s="27" t="s">
        <v>312</v>
      </c>
      <c r="M121" s="32" t="str">
        <f>HYPERLINK("http://slimages.macys.com/is/image/MCY/3853693 ")</f>
        <v xml:space="preserve">http://slimages.macys.com/is/image/MCY/3853693 </v>
      </c>
    </row>
    <row r="122" spans="1:13" ht="15.2" customHeight="1" x14ac:dyDescent="0.2">
      <c r="A122" s="26" t="s">
        <v>5089</v>
      </c>
      <c r="B122" s="27" t="s">
        <v>5090</v>
      </c>
      <c r="C122" s="28">
        <v>1</v>
      </c>
      <c r="D122" s="29">
        <v>8.5</v>
      </c>
      <c r="E122" s="29">
        <v>8.5</v>
      </c>
      <c r="F122" s="30">
        <v>19.989999999999998</v>
      </c>
      <c r="G122" s="29">
        <v>19.989999999999998</v>
      </c>
      <c r="H122" s="28" t="s">
        <v>1880</v>
      </c>
      <c r="I122" s="27" t="s">
        <v>4</v>
      </c>
      <c r="J122" s="31" t="s">
        <v>5</v>
      </c>
      <c r="K122" s="27" t="s">
        <v>196</v>
      </c>
      <c r="L122" s="27" t="s">
        <v>1329</v>
      </c>
      <c r="M122" s="32" t="str">
        <f>HYPERLINK("http://slimages.macys.com/is/image/MCY/3947073 ")</f>
        <v xml:space="preserve">http://slimages.macys.com/is/image/MCY/3947073 </v>
      </c>
    </row>
    <row r="123" spans="1:13" ht="15.2" customHeight="1" x14ac:dyDescent="0.2">
      <c r="A123" s="26" t="s">
        <v>1378</v>
      </c>
      <c r="B123" s="27" t="s">
        <v>1379</v>
      </c>
      <c r="C123" s="28">
        <v>1</v>
      </c>
      <c r="D123" s="29">
        <v>8.5</v>
      </c>
      <c r="E123" s="29">
        <v>8.5</v>
      </c>
      <c r="F123" s="30">
        <v>22.99</v>
      </c>
      <c r="G123" s="29">
        <v>22.99</v>
      </c>
      <c r="H123" s="28" t="s">
        <v>1380</v>
      </c>
      <c r="I123" s="27" t="s">
        <v>4</v>
      </c>
      <c r="J123" s="31" t="s">
        <v>21</v>
      </c>
      <c r="K123" s="27" t="s">
        <v>200</v>
      </c>
      <c r="L123" s="27" t="s">
        <v>325</v>
      </c>
      <c r="M123" s="32" t="str">
        <f>HYPERLINK("http://slimages.macys.com/is/image/MCY/3937156 ")</f>
        <v xml:space="preserve">http://slimages.macys.com/is/image/MCY/3937156 </v>
      </c>
    </row>
    <row r="124" spans="1:13" ht="15.2" customHeight="1" x14ac:dyDescent="0.2">
      <c r="A124" s="26" t="s">
        <v>1375</v>
      </c>
      <c r="B124" s="27" t="s">
        <v>1376</v>
      </c>
      <c r="C124" s="28">
        <v>1</v>
      </c>
      <c r="D124" s="29">
        <v>8.5</v>
      </c>
      <c r="E124" s="29">
        <v>8.5</v>
      </c>
      <c r="F124" s="30">
        <v>22.99</v>
      </c>
      <c r="G124" s="29">
        <v>22.99</v>
      </c>
      <c r="H124" s="28" t="s">
        <v>1377</v>
      </c>
      <c r="I124" s="27" t="s">
        <v>59</v>
      </c>
      <c r="J124" s="31" t="s">
        <v>21</v>
      </c>
      <c r="K124" s="27" t="s">
        <v>200</v>
      </c>
      <c r="L124" s="27" t="s">
        <v>325</v>
      </c>
      <c r="M124" s="32" t="str">
        <f>HYPERLINK("http://slimages.macys.com/is/image/MCY/3937156 ")</f>
        <v xml:space="preserve">http://slimages.macys.com/is/image/MCY/3937156 </v>
      </c>
    </row>
    <row r="125" spans="1:13" ht="15.2" customHeight="1" x14ac:dyDescent="0.2">
      <c r="A125" s="26" t="s">
        <v>5091</v>
      </c>
      <c r="B125" s="27" t="s">
        <v>5092</v>
      </c>
      <c r="C125" s="28">
        <v>1</v>
      </c>
      <c r="D125" s="29">
        <v>8.15</v>
      </c>
      <c r="E125" s="29">
        <v>8.15</v>
      </c>
      <c r="F125" s="30">
        <v>16.989999999999998</v>
      </c>
      <c r="G125" s="29">
        <v>16.989999999999998</v>
      </c>
      <c r="H125" s="28">
        <v>60433928</v>
      </c>
      <c r="I125" s="27" t="s">
        <v>343</v>
      </c>
      <c r="J125" s="31" t="s">
        <v>5</v>
      </c>
      <c r="K125" s="27" t="s">
        <v>208</v>
      </c>
      <c r="L125" s="27" t="s">
        <v>255</v>
      </c>
      <c r="M125" s="32" t="str">
        <f>HYPERLINK("http://slimages.macys.com/is/image/MCY/3623246 ")</f>
        <v xml:space="preserve">http://slimages.macys.com/is/image/MCY/3623246 </v>
      </c>
    </row>
    <row r="126" spans="1:13" ht="15.2" customHeight="1" x14ac:dyDescent="0.2">
      <c r="A126" s="26" t="s">
        <v>5093</v>
      </c>
      <c r="B126" s="27" t="s">
        <v>5094</v>
      </c>
      <c r="C126" s="28">
        <v>1</v>
      </c>
      <c r="D126" s="29">
        <v>8.1</v>
      </c>
      <c r="E126" s="29">
        <v>8.1</v>
      </c>
      <c r="F126" s="30">
        <v>19.989999999999998</v>
      </c>
      <c r="G126" s="29">
        <v>19.989999999999998</v>
      </c>
      <c r="H126" s="28" t="s">
        <v>5095</v>
      </c>
      <c r="I126" s="27" t="s">
        <v>302</v>
      </c>
      <c r="J126" s="31" t="s">
        <v>52</v>
      </c>
      <c r="K126" s="27" t="s">
        <v>196</v>
      </c>
      <c r="L126" s="27" t="s">
        <v>322</v>
      </c>
      <c r="M126" s="32" t="str">
        <f>HYPERLINK("http://slimages.macys.com/is/image/MCY/3947130 ")</f>
        <v xml:space="preserve">http://slimages.macys.com/is/image/MCY/3947130 </v>
      </c>
    </row>
    <row r="127" spans="1:13" ht="15.2" customHeight="1" x14ac:dyDescent="0.2">
      <c r="A127" s="26" t="s">
        <v>5096</v>
      </c>
      <c r="B127" s="27" t="s">
        <v>5097</v>
      </c>
      <c r="C127" s="28">
        <v>1</v>
      </c>
      <c r="D127" s="29">
        <v>8.1</v>
      </c>
      <c r="E127" s="29">
        <v>8.1</v>
      </c>
      <c r="F127" s="30">
        <v>19.989999999999998</v>
      </c>
      <c r="G127" s="29">
        <v>19.989999999999998</v>
      </c>
      <c r="H127" s="28">
        <v>60449400</v>
      </c>
      <c r="I127" s="27" t="s">
        <v>33</v>
      </c>
      <c r="J127" s="31" t="s">
        <v>52</v>
      </c>
      <c r="K127" s="27" t="s">
        <v>208</v>
      </c>
      <c r="L127" s="27" t="s">
        <v>255</v>
      </c>
      <c r="M127" s="32" t="str">
        <f>HYPERLINK("http://slimages.macys.com/is/image/MCY/3940667 ")</f>
        <v xml:space="preserve">http://slimages.macys.com/is/image/MCY/3940667 </v>
      </c>
    </row>
    <row r="128" spans="1:13" ht="15.2" customHeight="1" x14ac:dyDescent="0.2">
      <c r="A128" s="26" t="s">
        <v>4348</v>
      </c>
      <c r="B128" s="27" t="s">
        <v>4349</v>
      </c>
      <c r="C128" s="28">
        <v>1</v>
      </c>
      <c r="D128" s="29">
        <v>8.1</v>
      </c>
      <c r="E128" s="29">
        <v>8.1</v>
      </c>
      <c r="F128" s="30">
        <v>22.5</v>
      </c>
      <c r="G128" s="29">
        <v>22.5</v>
      </c>
      <c r="H128" s="28" t="s">
        <v>2294</v>
      </c>
      <c r="I128" s="27" t="s">
        <v>4</v>
      </c>
      <c r="J128" s="31" t="s">
        <v>71</v>
      </c>
      <c r="K128" s="27" t="s">
        <v>53</v>
      </c>
      <c r="L128" s="27" t="s">
        <v>372</v>
      </c>
      <c r="M128" s="32" t="str">
        <f>HYPERLINK("http://slimages.macys.com/is/image/MCY/3708566 ")</f>
        <v xml:space="preserve">http://slimages.macys.com/is/image/MCY/3708566 </v>
      </c>
    </row>
    <row r="129" spans="1:13" ht="15.2" customHeight="1" x14ac:dyDescent="0.2">
      <c r="A129" s="26" t="s">
        <v>4848</v>
      </c>
      <c r="B129" s="27" t="s">
        <v>4849</v>
      </c>
      <c r="C129" s="28">
        <v>1</v>
      </c>
      <c r="D129" s="29">
        <v>8.1</v>
      </c>
      <c r="E129" s="29">
        <v>8.1</v>
      </c>
      <c r="F129" s="30">
        <v>22.5</v>
      </c>
      <c r="G129" s="29">
        <v>22.5</v>
      </c>
      <c r="H129" s="28" t="s">
        <v>2294</v>
      </c>
      <c r="I129" s="27" t="s">
        <v>4</v>
      </c>
      <c r="J129" s="31" t="s">
        <v>40</v>
      </c>
      <c r="K129" s="27" t="s">
        <v>53</v>
      </c>
      <c r="L129" s="27" t="s">
        <v>372</v>
      </c>
      <c r="M129" s="32" t="str">
        <f>HYPERLINK("http://slimages.macys.com/is/image/MCY/3708566 ")</f>
        <v xml:space="preserve">http://slimages.macys.com/is/image/MCY/3708566 </v>
      </c>
    </row>
    <row r="130" spans="1:13" ht="15.2" customHeight="1" x14ac:dyDescent="0.2">
      <c r="A130" s="26" t="s">
        <v>2292</v>
      </c>
      <c r="B130" s="27" t="s">
        <v>2293</v>
      </c>
      <c r="C130" s="28">
        <v>1</v>
      </c>
      <c r="D130" s="29">
        <v>8.1</v>
      </c>
      <c r="E130" s="29">
        <v>8.1</v>
      </c>
      <c r="F130" s="30">
        <v>22.5</v>
      </c>
      <c r="G130" s="29">
        <v>22.5</v>
      </c>
      <c r="H130" s="28" t="s">
        <v>2294</v>
      </c>
      <c r="I130" s="27" t="s">
        <v>4</v>
      </c>
      <c r="J130" s="31" t="s">
        <v>5</v>
      </c>
      <c r="K130" s="27" t="s">
        <v>53</v>
      </c>
      <c r="L130" s="27" t="s">
        <v>372</v>
      </c>
      <c r="M130" s="32" t="str">
        <f>HYPERLINK("http://slimages.macys.com/is/image/MCY/3708566 ")</f>
        <v xml:space="preserve">http://slimages.macys.com/is/image/MCY/3708566 </v>
      </c>
    </row>
    <row r="131" spans="1:13" ht="15.2" customHeight="1" x14ac:dyDescent="0.2">
      <c r="A131" s="26" t="s">
        <v>5098</v>
      </c>
      <c r="B131" s="27" t="s">
        <v>5099</v>
      </c>
      <c r="C131" s="28">
        <v>1</v>
      </c>
      <c r="D131" s="29">
        <v>8.0299999999999994</v>
      </c>
      <c r="E131" s="29">
        <v>8.0299999999999994</v>
      </c>
      <c r="F131" s="30">
        <v>16.989999999999998</v>
      </c>
      <c r="G131" s="29">
        <v>16.989999999999998</v>
      </c>
      <c r="H131" s="28" t="s">
        <v>5100</v>
      </c>
      <c r="I131" s="27" t="s">
        <v>4</v>
      </c>
      <c r="J131" s="31"/>
      <c r="K131" s="27" t="s">
        <v>53</v>
      </c>
      <c r="L131" s="27" t="s">
        <v>372</v>
      </c>
      <c r="M131" s="32" t="str">
        <f>HYPERLINK("http://slimages.macys.com/is/image/MCY/1942631 ")</f>
        <v xml:space="preserve">http://slimages.macys.com/is/image/MCY/1942631 </v>
      </c>
    </row>
    <row r="132" spans="1:13" ht="15.2" customHeight="1" x14ac:dyDescent="0.2">
      <c r="A132" s="26" t="s">
        <v>5101</v>
      </c>
      <c r="B132" s="27" t="s">
        <v>5102</v>
      </c>
      <c r="C132" s="28">
        <v>1</v>
      </c>
      <c r="D132" s="29">
        <v>8</v>
      </c>
      <c r="E132" s="29">
        <v>8</v>
      </c>
      <c r="F132" s="30">
        <v>21.5</v>
      </c>
      <c r="G132" s="29">
        <v>21.5</v>
      </c>
      <c r="H132" s="28" t="s">
        <v>352</v>
      </c>
      <c r="I132" s="27" t="s">
        <v>4</v>
      </c>
      <c r="J132" s="31" t="s">
        <v>52</v>
      </c>
      <c r="K132" s="27" t="s">
        <v>70</v>
      </c>
      <c r="L132" s="27" t="s">
        <v>353</v>
      </c>
      <c r="M132" s="32" t="str">
        <f>HYPERLINK("http://slimages.macys.com/is/image/MCY/3799214 ")</f>
        <v xml:space="preserve">http://slimages.macys.com/is/image/MCY/3799214 </v>
      </c>
    </row>
    <row r="133" spans="1:13" ht="15.2" customHeight="1" x14ac:dyDescent="0.2">
      <c r="A133" s="26" t="s">
        <v>1410</v>
      </c>
      <c r="B133" s="27" t="s">
        <v>1411</v>
      </c>
      <c r="C133" s="28">
        <v>2</v>
      </c>
      <c r="D133" s="29">
        <v>8</v>
      </c>
      <c r="E133" s="29">
        <v>16</v>
      </c>
      <c r="F133" s="30">
        <v>22.99</v>
      </c>
      <c r="G133" s="29">
        <v>45.98</v>
      </c>
      <c r="H133" s="28" t="s">
        <v>1412</v>
      </c>
      <c r="I133" s="27" t="s">
        <v>4</v>
      </c>
      <c r="J133" s="31" t="s">
        <v>21</v>
      </c>
      <c r="K133" s="27" t="s">
        <v>200</v>
      </c>
      <c r="L133" s="27" t="s">
        <v>325</v>
      </c>
      <c r="M133" s="32" t="str">
        <f>HYPERLINK("http://slimages.macys.com/is/image/MCY/3937194 ")</f>
        <v xml:space="preserve">http://slimages.macys.com/is/image/MCY/3937194 </v>
      </c>
    </row>
    <row r="134" spans="1:13" ht="15.2" customHeight="1" x14ac:dyDescent="0.2">
      <c r="A134" s="26" t="s">
        <v>5103</v>
      </c>
      <c r="B134" s="27" t="s">
        <v>5104</v>
      </c>
      <c r="C134" s="28">
        <v>1</v>
      </c>
      <c r="D134" s="29">
        <v>8</v>
      </c>
      <c r="E134" s="29">
        <v>8</v>
      </c>
      <c r="F134" s="30">
        <v>19.989999999999998</v>
      </c>
      <c r="G134" s="29">
        <v>19.989999999999998</v>
      </c>
      <c r="H134" s="28" t="s">
        <v>5105</v>
      </c>
      <c r="I134" s="27" t="s">
        <v>82</v>
      </c>
      <c r="J134" s="31" t="s">
        <v>21</v>
      </c>
      <c r="K134" s="27" t="s">
        <v>282</v>
      </c>
      <c r="L134" s="27" t="s">
        <v>328</v>
      </c>
      <c r="M134" s="32" t="str">
        <f>HYPERLINK("http://slimages.macys.com/is/image/MCY/3233053 ")</f>
        <v xml:space="preserve">http://slimages.macys.com/is/image/MCY/3233053 </v>
      </c>
    </row>
    <row r="135" spans="1:13" ht="15.2" customHeight="1" x14ac:dyDescent="0.2">
      <c r="A135" s="26" t="s">
        <v>5106</v>
      </c>
      <c r="B135" s="27" t="s">
        <v>5107</v>
      </c>
      <c r="C135" s="28">
        <v>1</v>
      </c>
      <c r="D135" s="29">
        <v>8</v>
      </c>
      <c r="E135" s="29">
        <v>8</v>
      </c>
      <c r="F135" s="30">
        <v>19.989999999999998</v>
      </c>
      <c r="G135" s="29">
        <v>19.989999999999998</v>
      </c>
      <c r="H135" s="28" t="s">
        <v>3427</v>
      </c>
      <c r="I135" s="27" t="s">
        <v>189</v>
      </c>
      <c r="J135" s="31" t="s">
        <v>52</v>
      </c>
      <c r="K135" s="27" t="s">
        <v>282</v>
      </c>
      <c r="L135" s="27" t="s">
        <v>349</v>
      </c>
      <c r="M135" s="32" t="str">
        <f>HYPERLINK("http://slimages.macys.com/is/image/MCY/3799636 ")</f>
        <v xml:space="preserve">http://slimages.macys.com/is/image/MCY/3799636 </v>
      </c>
    </row>
    <row r="136" spans="1:13" ht="15.2" customHeight="1" x14ac:dyDescent="0.2">
      <c r="A136" s="26" t="s">
        <v>5108</v>
      </c>
      <c r="B136" s="27" t="s">
        <v>5109</v>
      </c>
      <c r="C136" s="28">
        <v>1</v>
      </c>
      <c r="D136" s="29">
        <v>8</v>
      </c>
      <c r="E136" s="29">
        <v>8</v>
      </c>
      <c r="F136" s="30">
        <v>19.989999999999998</v>
      </c>
      <c r="G136" s="29">
        <v>19.989999999999998</v>
      </c>
      <c r="H136" s="28" t="s">
        <v>1362</v>
      </c>
      <c r="I136" s="27" t="s">
        <v>22</v>
      </c>
      <c r="J136" s="31" t="s">
        <v>40</v>
      </c>
      <c r="K136" s="27" t="s">
        <v>224</v>
      </c>
      <c r="L136" s="27" t="s">
        <v>276</v>
      </c>
      <c r="M136" s="32" t="str">
        <f>HYPERLINK("http://slimages.macys.com/is/image/MCY/3814584 ")</f>
        <v xml:space="preserve">http://slimages.macys.com/is/image/MCY/3814584 </v>
      </c>
    </row>
    <row r="137" spans="1:13" ht="15.2" customHeight="1" x14ac:dyDescent="0.2">
      <c r="A137" s="26" t="s">
        <v>1417</v>
      </c>
      <c r="B137" s="27" t="s">
        <v>1418</v>
      </c>
      <c r="C137" s="28">
        <v>2</v>
      </c>
      <c r="D137" s="29">
        <v>8</v>
      </c>
      <c r="E137" s="29">
        <v>16</v>
      </c>
      <c r="F137" s="30">
        <v>22.99</v>
      </c>
      <c r="G137" s="29">
        <v>45.98</v>
      </c>
      <c r="H137" s="28" t="s">
        <v>1412</v>
      </c>
      <c r="I137" s="27" t="s">
        <v>4</v>
      </c>
      <c r="J137" s="31" t="s">
        <v>5</v>
      </c>
      <c r="K137" s="27" t="s">
        <v>200</v>
      </c>
      <c r="L137" s="27" t="s">
        <v>325</v>
      </c>
      <c r="M137" s="32" t="str">
        <f>HYPERLINK("http://slimages.macys.com/is/image/MCY/3937194 ")</f>
        <v xml:space="preserve">http://slimages.macys.com/is/image/MCY/3937194 </v>
      </c>
    </row>
    <row r="138" spans="1:13" ht="15.2" customHeight="1" x14ac:dyDescent="0.2">
      <c r="A138" s="26" t="s">
        <v>5110</v>
      </c>
      <c r="B138" s="27" t="s">
        <v>5111</v>
      </c>
      <c r="C138" s="28">
        <v>1</v>
      </c>
      <c r="D138" s="29">
        <v>8</v>
      </c>
      <c r="E138" s="29">
        <v>8</v>
      </c>
      <c r="F138" s="30">
        <v>19.989999999999998</v>
      </c>
      <c r="G138" s="29">
        <v>19.989999999999998</v>
      </c>
      <c r="H138" s="28" t="s">
        <v>827</v>
      </c>
      <c r="I138" s="27" t="s">
        <v>1</v>
      </c>
      <c r="J138" s="31" t="s">
        <v>40</v>
      </c>
      <c r="K138" s="27" t="s">
        <v>196</v>
      </c>
      <c r="L138" s="27" t="s">
        <v>260</v>
      </c>
      <c r="M138" s="32" t="str">
        <f>HYPERLINK("http://slimages.macys.com/is/image/MCY/3910796 ")</f>
        <v xml:space="preserve">http://slimages.macys.com/is/image/MCY/3910796 </v>
      </c>
    </row>
    <row r="139" spans="1:13" ht="15.2" customHeight="1" x14ac:dyDescent="0.2">
      <c r="A139" s="26" t="s">
        <v>2977</v>
      </c>
      <c r="B139" s="27" t="s">
        <v>2978</v>
      </c>
      <c r="C139" s="28">
        <v>1</v>
      </c>
      <c r="D139" s="29">
        <v>7.85</v>
      </c>
      <c r="E139" s="29">
        <v>7.85</v>
      </c>
      <c r="F139" s="30">
        <v>24.99</v>
      </c>
      <c r="G139" s="29">
        <v>24.99</v>
      </c>
      <c r="H139" s="28" t="s">
        <v>367</v>
      </c>
      <c r="I139" s="27" t="s">
        <v>26</v>
      </c>
      <c r="J139" s="31" t="s">
        <v>21</v>
      </c>
      <c r="K139" s="27" t="s">
        <v>224</v>
      </c>
      <c r="L139" s="27" t="s">
        <v>260</v>
      </c>
      <c r="M139" s="32" t="str">
        <f>HYPERLINK("http://slimages.macys.com/is/image/MCY/3853703 ")</f>
        <v xml:space="preserve">http://slimages.macys.com/is/image/MCY/3853703 </v>
      </c>
    </row>
    <row r="140" spans="1:13" ht="15.2" customHeight="1" x14ac:dyDescent="0.2">
      <c r="A140" s="26" t="s">
        <v>5112</v>
      </c>
      <c r="B140" s="27" t="s">
        <v>5113</v>
      </c>
      <c r="C140" s="28">
        <v>1</v>
      </c>
      <c r="D140" s="29">
        <v>7.85</v>
      </c>
      <c r="E140" s="29">
        <v>7.85</v>
      </c>
      <c r="F140" s="30">
        <v>24.99</v>
      </c>
      <c r="G140" s="29">
        <v>24.99</v>
      </c>
      <c r="H140" s="28" t="s">
        <v>367</v>
      </c>
      <c r="I140" s="27" t="s">
        <v>4</v>
      </c>
      <c r="J140" s="31" t="s">
        <v>21</v>
      </c>
      <c r="K140" s="27" t="s">
        <v>224</v>
      </c>
      <c r="L140" s="27" t="s">
        <v>260</v>
      </c>
      <c r="M140" s="32" t="str">
        <f>HYPERLINK("http://slimages.macys.com/is/image/MCY/3853703 ")</f>
        <v xml:space="preserve">http://slimages.macys.com/is/image/MCY/3853703 </v>
      </c>
    </row>
    <row r="141" spans="1:13" ht="15.2" customHeight="1" x14ac:dyDescent="0.2">
      <c r="A141" s="26" t="s">
        <v>2327</v>
      </c>
      <c r="B141" s="27" t="s">
        <v>2328</v>
      </c>
      <c r="C141" s="28">
        <v>1</v>
      </c>
      <c r="D141" s="29">
        <v>7.82</v>
      </c>
      <c r="E141" s="29">
        <v>7.82</v>
      </c>
      <c r="F141" s="30">
        <v>16.989999999999998</v>
      </c>
      <c r="G141" s="29">
        <v>16.989999999999998</v>
      </c>
      <c r="H141" s="28">
        <v>60450149</v>
      </c>
      <c r="I141" s="27" t="s">
        <v>4</v>
      </c>
      <c r="J141" s="31" t="s">
        <v>5</v>
      </c>
      <c r="K141" s="27" t="s">
        <v>208</v>
      </c>
      <c r="L141" s="27" t="s">
        <v>255</v>
      </c>
      <c r="M141" s="32" t="str">
        <f>HYPERLINK("http://slimages.macys.com/is/image/MCY/3955026 ")</f>
        <v xml:space="preserve">http://slimages.macys.com/is/image/MCY/3955026 </v>
      </c>
    </row>
    <row r="142" spans="1:13" ht="15.2" customHeight="1" x14ac:dyDescent="0.2">
      <c r="A142" s="26" t="s">
        <v>2343</v>
      </c>
      <c r="B142" s="27" t="s">
        <v>2344</v>
      </c>
      <c r="C142" s="28">
        <v>1</v>
      </c>
      <c r="D142" s="29">
        <v>7.63</v>
      </c>
      <c r="E142" s="29">
        <v>7.63</v>
      </c>
      <c r="F142" s="30">
        <v>22.5</v>
      </c>
      <c r="G142" s="29">
        <v>22.5</v>
      </c>
      <c r="H142" s="28" t="s">
        <v>2331</v>
      </c>
      <c r="I142" s="27" t="s">
        <v>4</v>
      </c>
      <c r="J142" s="31" t="s">
        <v>52</v>
      </c>
      <c r="K142" s="27" t="s">
        <v>53</v>
      </c>
      <c r="L142" s="27" t="s">
        <v>372</v>
      </c>
      <c r="M142" s="32" t="str">
        <f>HYPERLINK("http://slimages.macys.com/is/image/MCY/2217104 ")</f>
        <v xml:space="preserve">http://slimages.macys.com/is/image/MCY/2217104 </v>
      </c>
    </row>
    <row r="143" spans="1:13" ht="15.2" customHeight="1" x14ac:dyDescent="0.2">
      <c r="A143" s="26" t="s">
        <v>4353</v>
      </c>
      <c r="B143" s="27" t="s">
        <v>4354</v>
      </c>
      <c r="C143" s="28">
        <v>1</v>
      </c>
      <c r="D143" s="29">
        <v>7.5</v>
      </c>
      <c r="E143" s="29">
        <v>7.5</v>
      </c>
      <c r="F143" s="30">
        <v>19.989999999999998</v>
      </c>
      <c r="G143" s="29">
        <v>19.989999999999998</v>
      </c>
      <c r="H143" s="28" t="s">
        <v>3438</v>
      </c>
      <c r="I143" s="27" t="s">
        <v>59</v>
      </c>
      <c r="J143" s="31" t="s">
        <v>5</v>
      </c>
      <c r="K143" s="27" t="s">
        <v>196</v>
      </c>
      <c r="L143" s="27" t="s">
        <v>336</v>
      </c>
      <c r="M143" s="32" t="str">
        <f>HYPERLINK("http://slimages.macys.com/is/image/MCY/3660171 ")</f>
        <v xml:space="preserve">http://slimages.macys.com/is/image/MCY/3660171 </v>
      </c>
    </row>
    <row r="144" spans="1:13" ht="15.2" customHeight="1" x14ac:dyDescent="0.2">
      <c r="A144" s="26" t="s">
        <v>4765</v>
      </c>
      <c r="B144" s="27" t="s">
        <v>4766</v>
      </c>
      <c r="C144" s="28">
        <v>1</v>
      </c>
      <c r="D144" s="29">
        <v>7.5</v>
      </c>
      <c r="E144" s="29">
        <v>7.5</v>
      </c>
      <c r="F144" s="30">
        <v>19.989999999999998</v>
      </c>
      <c r="G144" s="29">
        <v>19.989999999999998</v>
      </c>
      <c r="H144" s="28" t="s">
        <v>3438</v>
      </c>
      <c r="I144" s="27" t="s">
        <v>59</v>
      </c>
      <c r="J144" s="31" t="s">
        <v>52</v>
      </c>
      <c r="K144" s="27" t="s">
        <v>196</v>
      </c>
      <c r="L144" s="27" t="s">
        <v>336</v>
      </c>
      <c r="M144" s="32" t="str">
        <f>HYPERLINK("http://slimages.macys.com/is/image/MCY/3660171 ")</f>
        <v xml:space="preserve">http://slimages.macys.com/is/image/MCY/3660171 </v>
      </c>
    </row>
    <row r="145" spans="1:13" ht="15.2" customHeight="1" x14ac:dyDescent="0.2">
      <c r="A145" s="26" t="s">
        <v>5114</v>
      </c>
      <c r="B145" s="27" t="s">
        <v>5115</v>
      </c>
      <c r="C145" s="28">
        <v>1</v>
      </c>
      <c r="D145" s="29">
        <v>7.5</v>
      </c>
      <c r="E145" s="29">
        <v>7.5</v>
      </c>
      <c r="F145" s="30">
        <v>18.989999999999998</v>
      </c>
      <c r="G145" s="29">
        <v>18.989999999999998</v>
      </c>
      <c r="H145" s="28" t="s">
        <v>5116</v>
      </c>
      <c r="I145" s="27" t="s">
        <v>26</v>
      </c>
      <c r="J145" s="31" t="s">
        <v>71</v>
      </c>
      <c r="K145" s="27" t="s">
        <v>70</v>
      </c>
      <c r="L145" s="27" t="s">
        <v>260</v>
      </c>
      <c r="M145" s="32" t="str">
        <f>HYPERLINK("http://slimages.macys.com/is/image/MCY/3664352 ")</f>
        <v xml:space="preserve">http://slimages.macys.com/is/image/MCY/3664352 </v>
      </c>
    </row>
    <row r="146" spans="1:13" ht="15.2" customHeight="1" x14ac:dyDescent="0.2">
      <c r="A146" s="26" t="s">
        <v>5117</v>
      </c>
      <c r="B146" s="27" t="s">
        <v>5118</v>
      </c>
      <c r="C146" s="28">
        <v>1</v>
      </c>
      <c r="D146" s="29">
        <v>7.5</v>
      </c>
      <c r="E146" s="29">
        <v>7.5</v>
      </c>
      <c r="F146" s="30">
        <v>19.989999999999998</v>
      </c>
      <c r="G146" s="29">
        <v>19.989999999999998</v>
      </c>
      <c r="H146" s="28" t="s">
        <v>1424</v>
      </c>
      <c r="I146" s="27" t="s">
        <v>82</v>
      </c>
      <c r="J146" s="31" t="s">
        <v>71</v>
      </c>
      <c r="K146" s="27" t="s">
        <v>196</v>
      </c>
      <c r="L146" s="27" t="s">
        <v>336</v>
      </c>
      <c r="M146" s="32" t="str">
        <f>HYPERLINK("http://slimages.macys.com/is/image/MCY/3685484 ")</f>
        <v xml:space="preserve">http://slimages.macys.com/is/image/MCY/3685484 </v>
      </c>
    </row>
    <row r="147" spans="1:13" ht="15.2" customHeight="1" x14ac:dyDescent="0.2">
      <c r="A147" s="26" t="s">
        <v>5119</v>
      </c>
      <c r="B147" s="27" t="s">
        <v>5120</v>
      </c>
      <c r="C147" s="28">
        <v>1</v>
      </c>
      <c r="D147" s="29">
        <v>7.5</v>
      </c>
      <c r="E147" s="29">
        <v>7.5</v>
      </c>
      <c r="F147" s="30">
        <v>19.989999999999998</v>
      </c>
      <c r="G147" s="29">
        <v>19.989999999999998</v>
      </c>
      <c r="H147" s="28" t="s">
        <v>5121</v>
      </c>
      <c r="I147" s="27" t="s">
        <v>36</v>
      </c>
      <c r="J147" s="31" t="s">
        <v>52</v>
      </c>
      <c r="K147" s="27" t="s">
        <v>196</v>
      </c>
      <c r="L147" s="27" t="s">
        <v>336</v>
      </c>
      <c r="M147" s="32" t="str">
        <f>HYPERLINK("http://slimages.macys.com/is/image/MCY/3705540 ")</f>
        <v xml:space="preserve">http://slimages.macys.com/is/image/MCY/3705540 </v>
      </c>
    </row>
    <row r="148" spans="1:13" ht="15.2" customHeight="1" x14ac:dyDescent="0.2">
      <c r="A148" s="26" t="s">
        <v>4231</v>
      </c>
      <c r="B148" s="27" t="s">
        <v>4232</v>
      </c>
      <c r="C148" s="28">
        <v>1</v>
      </c>
      <c r="D148" s="29">
        <v>7.5</v>
      </c>
      <c r="E148" s="29">
        <v>7.5</v>
      </c>
      <c r="F148" s="30">
        <v>19.989999999999998</v>
      </c>
      <c r="G148" s="29">
        <v>19.989999999999998</v>
      </c>
      <c r="H148" s="28" t="s">
        <v>3438</v>
      </c>
      <c r="I148" s="27" t="s">
        <v>59</v>
      </c>
      <c r="J148" s="31" t="s">
        <v>71</v>
      </c>
      <c r="K148" s="27" t="s">
        <v>196</v>
      </c>
      <c r="L148" s="27" t="s">
        <v>336</v>
      </c>
      <c r="M148" s="32" t="str">
        <f>HYPERLINK("http://slimages.macys.com/is/image/MCY/3660171 ")</f>
        <v xml:space="preserve">http://slimages.macys.com/is/image/MCY/3660171 </v>
      </c>
    </row>
    <row r="149" spans="1:13" ht="15.2" customHeight="1" x14ac:dyDescent="0.2">
      <c r="A149" s="26" t="s">
        <v>5122</v>
      </c>
      <c r="B149" s="27" t="s">
        <v>5123</v>
      </c>
      <c r="C149" s="28">
        <v>1</v>
      </c>
      <c r="D149" s="29">
        <v>7.25</v>
      </c>
      <c r="E149" s="29">
        <v>7.25</v>
      </c>
      <c r="F149" s="30">
        <v>12.99</v>
      </c>
      <c r="G149" s="29">
        <v>12.99</v>
      </c>
      <c r="H149" s="28" t="s">
        <v>5124</v>
      </c>
      <c r="I149" s="27" t="s">
        <v>82</v>
      </c>
      <c r="J149" s="31" t="s">
        <v>40</v>
      </c>
      <c r="K149" s="27" t="s">
        <v>282</v>
      </c>
      <c r="L149" s="27" t="s">
        <v>283</v>
      </c>
      <c r="M149" s="32" t="str">
        <f>HYPERLINK("http://slimages.macys.com/is/image/MCY/3774190 ")</f>
        <v xml:space="preserve">http://slimages.macys.com/is/image/MCY/3774190 </v>
      </c>
    </row>
    <row r="150" spans="1:13" ht="15.2" customHeight="1" x14ac:dyDescent="0.2">
      <c r="A150" s="26" t="s">
        <v>5125</v>
      </c>
      <c r="B150" s="27" t="s">
        <v>5126</v>
      </c>
      <c r="C150" s="28">
        <v>2</v>
      </c>
      <c r="D150" s="29">
        <v>7.25</v>
      </c>
      <c r="E150" s="29">
        <v>14.5</v>
      </c>
      <c r="F150" s="30">
        <v>12.99</v>
      </c>
      <c r="G150" s="29">
        <v>25.98</v>
      </c>
      <c r="H150" s="28" t="s">
        <v>5124</v>
      </c>
      <c r="I150" s="27" t="s">
        <v>82</v>
      </c>
      <c r="J150" s="31" t="s">
        <v>5</v>
      </c>
      <c r="K150" s="27" t="s">
        <v>282</v>
      </c>
      <c r="L150" s="27" t="s">
        <v>283</v>
      </c>
      <c r="M150" s="32" t="str">
        <f>HYPERLINK("http://slimages.macys.com/is/image/MCY/3774190 ")</f>
        <v xml:space="preserve">http://slimages.macys.com/is/image/MCY/3774190 </v>
      </c>
    </row>
    <row r="151" spans="1:13" ht="15.2" customHeight="1" x14ac:dyDescent="0.2">
      <c r="A151" s="26" t="s">
        <v>5127</v>
      </c>
      <c r="B151" s="27" t="s">
        <v>5128</v>
      </c>
      <c r="C151" s="28">
        <v>2</v>
      </c>
      <c r="D151" s="29">
        <v>7</v>
      </c>
      <c r="E151" s="29">
        <v>14</v>
      </c>
      <c r="F151" s="30">
        <v>19.989999999999998</v>
      </c>
      <c r="G151" s="29">
        <v>39.979999999999997</v>
      </c>
      <c r="H151" s="28" t="s">
        <v>1906</v>
      </c>
      <c r="I151" s="27" t="s">
        <v>280</v>
      </c>
      <c r="J151" s="31" t="s">
        <v>40</v>
      </c>
      <c r="K151" s="27" t="s">
        <v>282</v>
      </c>
      <c r="L151" s="27" t="s">
        <v>358</v>
      </c>
      <c r="M151" s="32" t="str">
        <f>HYPERLINK("http://slimages.macys.com/is/image/MCY/3773685 ")</f>
        <v xml:space="preserve">http://slimages.macys.com/is/image/MCY/3773685 </v>
      </c>
    </row>
    <row r="152" spans="1:13" ht="15.2" customHeight="1" x14ac:dyDescent="0.2">
      <c r="A152" s="26" t="s">
        <v>5129</v>
      </c>
      <c r="B152" s="27" t="s">
        <v>5130</v>
      </c>
      <c r="C152" s="28">
        <v>1</v>
      </c>
      <c r="D152" s="29">
        <v>7</v>
      </c>
      <c r="E152" s="29">
        <v>7</v>
      </c>
      <c r="F152" s="30">
        <v>19.989999999999998</v>
      </c>
      <c r="G152" s="29">
        <v>19.989999999999998</v>
      </c>
      <c r="H152" s="28" t="s">
        <v>5131</v>
      </c>
      <c r="I152" s="27" t="s">
        <v>82</v>
      </c>
      <c r="J152" s="31" t="s">
        <v>21</v>
      </c>
      <c r="K152" s="27" t="s">
        <v>196</v>
      </c>
      <c r="L152" s="27" t="s">
        <v>256</v>
      </c>
      <c r="M152" s="32" t="str">
        <f>HYPERLINK("http://slimages.macys.com/is/image/MCY/3422358 ")</f>
        <v xml:space="preserve">http://slimages.macys.com/is/image/MCY/3422358 </v>
      </c>
    </row>
    <row r="153" spans="1:13" ht="15.2" customHeight="1" x14ac:dyDescent="0.2">
      <c r="A153" s="26" t="s">
        <v>5132</v>
      </c>
      <c r="B153" s="27" t="s">
        <v>5133</v>
      </c>
      <c r="C153" s="28">
        <v>1</v>
      </c>
      <c r="D153" s="29">
        <v>7</v>
      </c>
      <c r="E153" s="29">
        <v>7</v>
      </c>
      <c r="F153" s="30">
        <v>16.989999999999998</v>
      </c>
      <c r="G153" s="29">
        <v>16.989999999999998</v>
      </c>
      <c r="H153" s="28" t="s">
        <v>5134</v>
      </c>
      <c r="I153" s="27" t="s">
        <v>29</v>
      </c>
      <c r="J153" s="31" t="s">
        <v>21</v>
      </c>
      <c r="K153" s="27" t="s">
        <v>196</v>
      </c>
      <c r="L153" s="27" t="s">
        <v>336</v>
      </c>
      <c r="M153" s="32" t="str">
        <f>HYPERLINK("http://slimages.macys.com/is/image/MCY/2664354 ")</f>
        <v xml:space="preserve">http://slimages.macys.com/is/image/MCY/2664354 </v>
      </c>
    </row>
    <row r="154" spans="1:13" ht="15.2" customHeight="1" x14ac:dyDescent="0.2">
      <c r="A154" s="26" t="s">
        <v>5135</v>
      </c>
      <c r="B154" s="27" t="s">
        <v>5136</v>
      </c>
      <c r="C154" s="28">
        <v>1</v>
      </c>
      <c r="D154" s="29">
        <v>7</v>
      </c>
      <c r="E154" s="29">
        <v>7</v>
      </c>
      <c r="F154" s="30">
        <v>19.989999999999998</v>
      </c>
      <c r="G154" s="29">
        <v>19.989999999999998</v>
      </c>
      <c r="H154" s="28" t="s">
        <v>5137</v>
      </c>
      <c r="I154" s="27" t="s">
        <v>39</v>
      </c>
      <c r="J154" s="31" t="s">
        <v>21</v>
      </c>
      <c r="K154" s="27" t="s">
        <v>196</v>
      </c>
      <c r="L154" s="27" t="s">
        <v>260</v>
      </c>
      <c r="M154" s="32" t="str">
        <f>HYPERLINK("http://slimages.macys.com/is/image/MCY/3787593 ")</f>
        <v xml:space="preserve">http://slimages.macys.com/is/image/MCY/3787593 </v>
      </c>
    </row>
    <row r="155" spans="1:13" ht="15.2" customHeight="1" x14ac:dyDescent="0.2">
      <c r="A155" s="26" t="s">
        <v>1437</v>
      </c>
      <c r="B155" s="27" t="s">
        <v>1438</v>
      </c>
      <c r="C155" s="28">
        <v>1</v>
      </c>
      <c r="D155" s="29">
        <v>6.85</v>
      </c>
      <c r="E155" s="29">
        <v>6.85</v>
      </c>
      <c r="F155" s="30">
        <v>15.99</v>
      </c>
      <c r="G155" s="29">
        <v>15.99</v>
      </c>
      <c r="H155" s="28" t="s">
        <v>1439</v>
      </c>
      <c r="I155" s="27" t="s">
        <v>4</v>
      </c>
      <c r="J155" s="31" t="s">
        <v>40</v>
      </c>
      <c r="K155" s="27" t="s">
        <v>159</v>
      </c>
      <c r="L155" s="27" t="s">
        <v>160</v>
      </c>
      <c r="M155" s="32" t="str">
        <f>HYPERLINK("http://slimages.macys.com/is/image/MCY/3677454 ")</f>
        <v xml:space="preserve">http://slimages.macys.com/is/image/MCY/3677454 </v>
      </c>
    </row>
    <row r="156" spans="1:13" ht="15.2" customHeight="1" x14ac:dyDescent="0.2">
      <c r="A156" s="26" t="s">
        <v>5138</v>
      </c>
      <c r="B156" s="27" t="s">
        <v>5139</v>
      </c>
      <c r="C156" s="28">
        <v>1</v>
      </c>
      <c r="D156" s="29">
        <v>6.85</v>
      </c>
      <c r="E156" s="29">
        <v>6.85</v>
      </c>
      <c r="F156" s="30">
        <v>19.989999999999998</v>
      </c>
      <c r="G156" s="29">
        <v>19.989999999999998</v>
      </c>
      <c r="H156" s="28" t="s">
        <v>2989</v>
      </c>
      <c r="I156" s="27" t="s">
        <v>82</v>
      </c>
      <c r="J156" s="31" t="s">
        <v>21</v>
      </c>
      <c r="K156" s="27" t="s">
        <v>196</v>
      </c>
      <c r="L156" s="27" t="s">
        <v>239</v>
      </c>
      <c r="M156" s="32" t="str">
        <f>HYPERLINK("http://slimages.macys.com/is/image/MCY/3602847 ")</f>
        <v xml:space="preserve">http://slimages.macys.com/is/image/MCY/3602847 </v>
      </c>
    </row>
    <row r="157" spans="1:13" ht="15.2" customHeight="1" x14ac:dyDescent="0.2">
      <c r="A157" s="26" t="s">
        <v>5140</v>
      </c>
      <c r="B157" s="27" t="s">
        <v>5141</v>
      </c>
      <c r="C157" s="28">
        <v>1</v>
      </c>
      <c r="D157" s="29">
        <v>6.75</v>
      </c>
      <c r="E157" s="29">
        <v>6.75</v>
      </c>
      <c r="F157" s="30">
        <v>16.989999999999998</v>
      </c>
      <c r="G157" s="29">
        <v>16.989999999999998</v>
      </c>
      <c r="H157" s="28" t="s">
        <v>5142</v>
      </c>
      <c r="I157" s="27" t="s">
        <v>15</v>
      </c>
      <c r="J157" s="31" t="s">
        <v>5</v>
      </c>
      <c r="K157" s="27" t="s">
        <v>196</v>
      </c>
      <c r="L157" s="27" t="s">
        <v>239</v>
      </c>
      <c r="M157" s="32" t="str">
        <f>HYPERLINK("http://slimages.macys.com/is/image/MCY/3593651 ")</f>
        <v xml:space="preserve">http://slimages.macys.com/is/image/MCY/3593651 </v>
      </c>
    </row>
    <row r="158" spans="1:13" ht="15.2" customHeight="1" x14ac:dyDescent="0.2">
      <c r="A158" s="26" t="s">
        <v>5143</v>
      </c>
      <c r="B158" s="27" t="s">
        <v>4165</v>
      </c>
      <c r="C158" s="28">
        <v>1</v>
      </c>
      <c r="D158" s="29">
        <v>6.72</v>
      </c>
      <c r="E158" s="29">
        <v>6.72</v>
      </c>
      <c r="F158" s="30">
        <v>15.99</v>
      </c>
      <c r="G158" s="29">
        <v>15.99</v>
      </c>
      <c r="H158" s="28" t="s">
        <v>5144</v>
      </c>
      <c r="I158" s="27" t="s">
        <v>82</v>
      </c>
      <c r="J158" s="31" t="s">
        <v>71</v>
      </c>
      <c r="K158" s="27" t="s">
        <v>159</v>
      </c>
      <c r="L158" s="27" t="s">
        <v>160</v>
      </c>
      <c r="M158" s="32" t="str">
        <f>HYPERLINK("http://slimages.macys.com/is/image/MCY/3677454 ")</f>
        <v xml:space="preserve">http://slimages.macys.com/is/image/MCY/3677454 </v>
      </c>
    </row>
    <row r="159" spans="1:13" ht="15.2" customHeight="1" x14ac:dyDescent="0.2">
      <c r="A159" s="26" t="s">
        <v>5145</v>
      </c>
      <c r="B159" s="27" t="s">
        <v>5146</v>
      </c>
      <c r="C159" s="28">
        <v>1</v>
      </c>
      <c r="D159" s="29">
        <v>6.65</v>
      </c>
      <c r="E159" s="29">
        <v>6.65</v>
      </c>
      <c r="F159" s="30">
        <v>12.99</v>
      </c>
      <c r="G159" s="29">
        <v>12.99</v>
      </c>
      <c r="H159" s="28" t="s">
        <v>1445</v>
      </c>
      <c r="I159" s="27" t="s">
        <v>82</v>
      </c>
      <c r="J159" s="31" t="s">
        <v>5147</v>
      </c>
      <c r="K159" s="27" t="s">
        <v>282</v>
      </c>
      <c r="L159" s="27" t="s">
        <v>386</v>
      </c>
      <c r="M159" s="32" t="str">
        <f>HYPERLINK("http://slimages.macys.com/is/image/MCY/3738473 ")</f>
        <v xml:space="preserve">http://slimages.macys.com/is/image/MCY/3738473 </v>
      </c>
    </row>
    <row r="160" spans="1:13" ht="15.2" customHeight="1" x14ac:dyDescent="0.2">
      <c r="A160" s="26" t="s">
        <v>5148</v>
      </c>
      <c r="B160" s="27" t="s">
        <v>5149</v>
      </c>
      <c r="C160" s="28">
        <v>1</v>
      </c>
      <c r="D160" s="29">
        <v>6.5</v>
      </c>
      <c r="E160" s="29">
        <v>6.5</v>
      </c>
      <c r="F160" s="30">
        <v>15.99</v>
      </c>
      <c r="G160" s="29">
        <v>15.99</v>
      </c>
      <c r="H160" s="28" t="s">
        <v>5150</v>
      </c>
      <c r="I160" s="27" t="s">
        <v>36</v>
      </c>
      <c r="J160" s="31" t="s">
        <v>40</v>
      </c>
      <c r="K160" s="27" t="s">
        <v>70</v>
      </c>
      <c r="L160" s="27" t="s">
        <v>485</v>
      </c>
      <c r="M160" s="32" t="str">
        <f>HYPERLINK("http://slimages.macys.com/is/image/MCY/3638318 ")</f>
        <v xml:space="preserve">http://slimages.macys.com/is/image/MCY/3638318 </v>
      </c>
    </row>
    <row r="161" spans="1:13" ht="15.2" customHeight="1" x14ac:dyDescent="0.2">
      <c r="A161" s="26" t="s">
        <v>5151</v>
      </c>
      <c r="B161" s="27" t="s">
        <v>5152</v>
      </c>
      <c r="C161" s="28">
        <v>1</v>
      </c>
      <c r="D161" s="29">
        <v>6.5</v>
      </c>
      <c r="E161" s="29">
        <v>6.5</v>
      </c>
      <c r="F161" s="30">
        <v>12.99</v>
      </c>
      <c r="G161" s="29">
        <v>12.99</v>
      </c>
      <c r="H161" s="28" t="s">
        <v>5153</v>
      </c>
      <c r="I161" s="27" t="s">
        <v>238</v>
      </c>
      <c r="J161" s="31" t="s">
        <v>40</v>
      </c>
      <c r="K161" s="27" t="s">
        <v>282</v>
      </c>
      <c r="L161" s="27" t="s">
        <v>322</v>
      </c>
      <c r="M161" s="32" t="str">
        <f>HYPERLINK("http://slimages.macys.com/is/image/MCY/3755623 ")</f>
        <v xml:space="preserve">http://slimages.macys.com/is/image/MCY/3755623 </v>
      </c>
    </row>
    <row r="162" spans="1:13" ht="15.2" customHeight="1" x14ac:dyDescent="0.2">
      <c r="A162" s="26" t="s">
        <v>5154</v>
      </c>
      <c r="B162" s="27" t="s">
        <v>5155</v>
      </c>
      <c r="C162" s="28">
        <v>1</v>
      </c>
      <c r="D162" s="29">
        <v>6.4</v>
      </c>
      <c r="E162" s="29">
        <v>6.4</v>
      </c>
      <c r="F162" s="30">
        <v>13.99</v>
      </c>
      <c r="G162" s="29">
        <v>13.99</v>
      </c>
      <c r="H162" s="28" t="s">
        <v>394</v>
      </c>
      <c r="I162" s="27" t="s">
        <v>4</v>
      </c>
      <c r="J162" s="31" t="s">
        <v>71</v>
      </c>
      <c r="K162" s="27" t="s">
        <v>282</v>
      </c>
      <c r="L162" s="27" t="s">
        <v>312</v>
      </c>
      <c r="M162" s="32" t="str">
        <f>HYPERLINK("http://slimages.macys.com/is/image/MCY/3623277 ")</f>
        <v xml:space="preserve">http://slimages.macys.com/is/image/MCY/3623277 </v>
      </c>
    </row>
    <row r="163" spans="1:13" ht="15.2" customHeight="1" x14ac:dyDescent="0.2">
      <c r="A163" s="26" t="s">
        <v>3001</v>
      </c>
      <c r="B163" s="27" t="s">
        <v>3002</v>
      </c>
      <c r="C163" s="28">
        <v>1</v>
      </c>
      <c r="D163" s="29">
        <v>6.3</v>
      </c>
      <c r="E163" s="29">
        <v>6.3</v>
      </c>
      <c r="F163" s="30">
        <v>14.99</v>
      </c>
      <c r="G163" s="29">
        <v>14.99</v>
      </c>
      <c r="H163" s="28" t="s">
        <v>2679</v>
      </c>
      <c r="I163" s="27" t="s">
        <v>4</v>
      </c>
      <c r="J163" s="31" t="s">
        <v>21</v>
      </c>
      <c r="K163" s="27" t="s">
        <v>159</v>
      </c>
      <c r="L163" s="27" t="s">
        <v>160</v>
      </c>
      <c r="M163" s="32" t="str">
        <f>HYPERLINK("http://slimages.macys.com/is/image/MCY/3876250 ")</f>
        <v xml:space="preserve">http://slimages.macys.com/is/image/MCY/3876250 </v>
      </c>
    </row>
    <row r="164" spans="1:13" ht="15.2" customHeight="1" x14ac:dyDescent="0.2">
      <c r="A164" s="26" t="s">
        <v>2673</v>
      </c>
      <c r="B164" s="27" t="s">
        <v>2674</v>
      </c>
      <c r="C164" s="28">
        <v>1</v>
      </c>
      <c r="D164" s="29">
        <v>6.3</v>
      </c>
      <c r="E164" s="29">
        <v>6.3</v>
      </c>
      <c r="F164" s="30">
        <v>14.99</v>
      </c>
      <c r="G164" s="29">
        <v>14.99</v>
      </c>
      <c r="H164" s="28" t="s">
        <v>1466</v>
      </c>
      <c r="I164" s="27" t="s">
        <v>1467</v>
      </c>
      <c r="J164" s="31" t="s">
        <v>21</v>
      </c>
      <c r="K164" s="27" t="s">
        <v>159</v>
      </c>
      <c r="L164" s="27" t="s">
        <v>160</v>
      </c>
      <c r="M164" s="32" t="str">
        <f>HYPERLINK("http://slimages.macys.com/is/image/MCY/3953479 ")</f>
        <v xml:space="preserve">http://slimages.macys.com/is/image/MCY/3953479 </v>
      </c>
    </row>
    <row r="165" spans="1:13" ht="15.2" customHeight="1" x14ac:dyDescent="0.2">
      <c r="A165" s="26" t="s">
        <v>880</v>
      </c>
      <c r="B165" s="27" t="s">
        <v>881</v>
      </c>
      <c r="C165" s="28">
        <v>1</v>
      </c>
      <c r="D165" s="29">
        <v>6.3</v>
      </c>
      <c r="E165" s="29">
        <v>6.3</v>
      </c>
      <c r="F165" s="30">
        <v>14.99</v>
      </c>
      <c r="G165" s="29">
        <v>14.99</v>
      </c>
      <c r="H165" s="28" t="s">
        <v>397</v>
      </c>
      <c r="I165" s="27" t="s">
        <v>36</v>
      </c>
      <c r="J165" s="31" t="s">
        <v>71</v>
      </c>
      <c r="K165" s="27" t="s">
        <v>159</v>
      </c>
      <c r="L165" s="27" t="s">
        <v>160</v>
      </c>
      <c r="M165" s="32" t="str">
        <f>HYPERLINK("http://slimages.macys.com/is/image/MCY/3876250 ")</f>
        <v xml:space="preserve">http://slimages.macys.com/is/image/MCY/3876250 </v>
      </c>
    </row>
    <row r="166" spans="1:13" ht="15.2" customHeight="1" x14ac:dyDescent="0.2">
      <c r="A166" s="26" t="s">
        <v>2677</v>
      </c>
      <c r="B166" s="27" t="s">
        <v>2678</v>
      </c>
      <c r="C166" s="28">
        <v>1</v>
      </c>
      <c r="D166" s="29">
        <v>6.3</v>
      </c>
      <c r="E166" s="29">
        <v>6.3</v>
      </c>
      <c r="F166" s="30">
        <v>14.99</v>
      </c>
      <c r="G166" s="29">
        <v>14.99</v>
      </c>
      <c r="H166" s="28" t="s">
        <v>2679</v>
      </c>
      <c r="I166" s="27" t="s">
        <v>4</v>
      </c>
      <c r="J166" s="31" t="s">
        <v>40</v>
      </c>
      <c r="K166" s="27" t="s">
        <v>159</v>
      </c>
      <c r="L166" s="27" t="s">
        <v>160</v>
      </c>
      <c r="M166" s="32" t="str">
        <f>HYPERLINK("http://slimages.macys.com/is/image/MCY/3876250 ")</f>
        <v xml:space="preserve">http://slimages.macys.com/is/image/MCY/3876250 </v>
      </c>
    </row>
    <row r="167" spans="1:13" ht="15.2" customHeight="1" x14ac:dyDescent="0.2">
      <c r="A167" s="26" t="s">
        <v>1464</v>
      </c>
      <c r="B167" s="27" t="s">
        <v>1465</v>
      </c>
      <c r="C167" s="28">
        <v>1</v>
      </c>
      <c r="D167" s="29">
        <v>6.3</v>
      </c>
      <c r="E167" s="29">
        <v>6.3</v>
      </c>
      <c r="F167" s="30">
        <v>14.99</v>
      </c>
      <c r="G167" s="29">
        <v>14.99</v>
      </c>
      <c r="H167" s="28" t="s">
        <v>1466</v>
      </c>
      <c r="I167" s="27" t="s">
        <v>1467</v>
      </c>
      <c r="J167" s="31" t="s">
        <v>65</v>
      </c>
      <c r="K167" s="27" t="s">
        <v>159</v>
      </c>
      <c r="L167" s="27" t="s">
        <v>160</v>
      </c>
      <c r="M167" s="32" t="str">
        <f>HYPERLINK("http://slimages.macys.com/is/image/MCY/3953479 ")</f>
        <v xml:space="preserve">http://slimages.macys.com/is/image/MCY/3953479 </v>
      </c>
    </row>
    <row r="168" spans="1:13" ht="15.2" customHeight="1" x14ac:dyDescent="0.2">
      <c r="A168" s="26" t="s">
        <v>2675</v>
      </c>
      <c r="B168" s="27" t="s">
        <v>2676</v>
      </c>
      <c r="C168" s="28">
        <v>1</v>
      </c>
      <c r="D168" s="29">
        <v>6.3</v>
      </c>
      <c r="E168" s="29">
        <v>6.3</v>
      </c>
      <c r="F168" s="30">
        <v>14.99</v>
      </c>
      <c r="G168" s="29">
        <v>14.99</v>
      </c>
      <c r="H168" s="28" t="s">
        <v>1466</v>
      </c>
      <c r="I168" s="27" t="s">
        <v>1467</v>
      </c>
      <c r="J168" s="31" t="s">
        <v>71</v>
      </c>
      <c r="K168" s="27" t="s">
        <v>159</v>
      </c>
      <c r="L168" s="27" t="s">
        <v>160</v>
      </c>
      <c r="M168" s="32" t="str">
        <f>HYPERLINK("http://slimages.macys.com/is/image/MCY/3953479 ")</f>
        <v xml:space="preserve">http://slimages.macys.com/is/image/MCY/3953479 </v>
      </c>
    </row>
    <row r="169" spans="1:13" ht="15.2" customHeight="1" x14ac:dyDescent="0.2">
      <c r="A169" s="26" t="s">
        <v>5156</v>
      </c>
      <c r="B169" s="27" t="s">
        <v>5157</v>
      </c>
      <c r="C169" s="28">
        <v>1</v>
      </c>
      <c r="D169" s="29">
        <v>6.21</v>
      </c>
      <c r="E169" s="29">
        <v>6.21</v>
      </c>
      <c r="F169" s="30">
        <v>16.989999999999998</v>
      </c>
      <c r="G169" s="29">
        <v>16.989999999999998</v>
      </c>
      <c r="H169" s="28">
        <v>60450152</v>
      </c>
      <c r="I169" s="27" t="s">
        <v>103</v>
      </c>
      <c r="J169" s="31" t="s">
        <v>71</v>
      </c>
      <c r="K169" s="27" t="s">
        <v>208</v>
      </c>
      <c r="L169" s="27" t="s">
        <v>255</v>
      </c>
      <c r="M169" s="32" t="str">
        <f>HYPERLINK("http://slimages.macys.com/is/image/MCY/3940690 ")</f>
        <v xml:space="preserve">http://slimages.macys.com/is/image/MCY/3940690 </v>
      </c>
    </row>
    <row r="170" spans="1:13" ht="15.2" customHeight="1" x14ac:dyDescent="0.2">
      <c r="A170" s="26" t="s">
        <v>2688</v>
      </c>
      <c r="B170" s="27" t="s">
        <v>2689</v>
      </c>
      <c r="C170" s="28">
        <v>1</v>
      </c>
      <c r="D170" s="29">
        <v>6.15</v>
      </c>
      <c r="E170" s="29">
        <v>6.15</v>
      </c>
      <c r="F170" s="30">
        <v>14.99</v>
      </c>
      <c r="G170" s="29">
        <v>14.99</v>
      </c>
      <c r="H170" s="28" t="s">
        <v>403</v>
      </c>
      <c r="I170" s="27" t="s">
        <v>207</v>
      </c>
      <c r="J170" s="31" t="s">
        <v>5</v>
      </c>
      <c r="K170" s="27" t="s">
        <v>159</v>
      </c>
      <c r="L170" s="27" t="s">
        <v>160</v>
      </c>
      <c r="M170" s="32" t="str">
        <f>HYPERLINK("http://slimages.macys.com/is/image/MCY/3899765 ")</f>
        <v xml:space="preserve">http://slimages.macys.com/is/image/MCY/3899765 </v>
      </c>
    </row>
    <row r="171" spans="1:13" ht="15.2" customHeight="1" x14ac:dyDescent="0.2">
      <c r="A171" s="26" t="s">
        <v>5158</v>
      </c>
      <c r="B171" s="27" t="s">
        <v>5159</v>
      </c>
      <c r="C171" s="28">
        <v>1</v>
      </c>
      <c r="D171" s="29">
        <v>6</v>
      </c>
      <c r="E171" s="29">
        <v>6</v>
      </c>
      <c r="F171" s="30">
        <v>12.99</v>
      </c>
      <c r="G171" s="29">
        <v>12.99</v>
      </c>
      <c r="H171" s="28" t="s">
        <v>5160</v>
      </c>
      <c r="I171" s="27" t="s">
        <v>82</v>
      </c>
      <c r="J171" s="31" t="s">
        <v>5</v>
      </c>
      <c r="K171" s="27" t="s">
        <v>282</v>
      </c>
      <c r="L171" s="27" t="s">
        <v>358</v>
      </c>
      <c r="M171" s="32" t="str">
        <f>HYPERLINK("http://slimages.macys.com/is/image/MCY/3773682 ")</f>
        <v xml:space="preserve">http://slimages.macys.com/is/image/MCY/3773682 </v>
      </c>
    </row>
    <row r="172" spans="1:13" ht="15.2" customHeight="1" x14ac:dyDescent="0.2">
      <c r="A172" s="26" t="s">
        <v>5161</v>
      </c>
      <c r="B172" s="27" t="s">
        <v>5162</v>
      </c>
      <c r="C172" s="28">
        <v>1</v>
      </c>
      <c r="D172" s="29">
        <v>6</v>
      </c>
      <c r="E172" s="29">
        <v>6</v>
      </c>
      <c r="F172" s="30">
        <v>12.99</v>
      </c>
      <c r="G172" s="29">
        <v>12.99</v>
      </c>
      <c r="H172" s="28" t="s">
        <v>5160</v>
      </c>
      <c r="I172" s="27" t="s">
        <v>82</v>
      </c>
      <c r="J172" s="31" t="s">
        <v>40</v>
      </c>
      <c r="K172" s="27" t="s">
        <v>282</v>
      </c>
      <c r="L172" s="27" t="s">
        <v>358</v>
      </c>
      <c r="M172" s="32" t="str">
        <f>HYPERLINK("http://slimages.macys.com/is/image/MCY/3773682 ")</f>
        <v xml:space="preserve">http://slimages.macys.com/is/image/MCY/3773682 </v>
      </c>
    </row>
    <row r="173" spans="1:13" ht="15.2" customHeight="1" x14ac:dyDescent="0.2">
      <c r="A173" s="26" t="s">
        <v>417</v>
      </c>
      <c r="B173" s="27" t="s">
        <v>418</v>
      </c>
      <c r="C173" s="28">
        <v>1</v>
      </c>
      <c r="D173" s="29">
        <v>5.95</v>
      </c>
      <c r="E173" s="29">
        <v>5.95</v>
      </c>
      <c r="F173" s="30">
        <v>12.99</v>
      </c>
      <c r="G173" s="29">
        <v>12.99</v>
      </c>
      <c r="H173" s="28" t="s">
        <v>419</v>
      </c>
      <c r="I173" s="27" t="s">
        <v>280</v>
      </c>
      <c r="J173" s="31" t="s">
        <v>71</v>
      </c>
      <c r="K173" s="27" t="s">
        <v>282</v>
      </c>
      <c r="L173" s="27" t="s">
        <v>358</v>
      </c>
      <c r="M173" s="32" t="str">
        <f>HYPERLINK("http://slimages.macys.com/is/image/MCY/3671497 ")</f>
        <v xml:space="preserve">http://slimages.macys.com/is/image/MCY/3671497 </v>
      </c>
    </row>
    <row r="174" spans="1:13" ht="15.2" customHeight="1" x14ac:dyDescent="0.2">
      <c r="A174" s="26" t="s">
        <v>5163</v>
      </c>
      <c r="B174" s="27" t="s">
        <v>5164</v>
      </c>
      <c r="C174" s="28">
        <v>1</v>
      </c>
      <c r="D174" s="29">
        <v>5.65</v>
      </c>
      <c r="E174" s="29">
        <v>5.65</v>
      </c>
      <c r="F174" s="30">
        <v>12.99</v>
      </c>
      <c r="G174" s="29">
        <v>12.99</v>
      </c>
      <c r="H174" s="28" t="s">
        <v>4651</v>
      </c>
      <c r="I174" s="27" t="s">
        <v>4</v>
      </c>
      <c r="J174" s="31" t="s">
        <v>52</v>
      </c>
      <c r="K174" s="27" t="s">
        <v>282</v>
      </c>
      <c r="L174" s="27" t="s">
        <v>393</v>
      </c>
      <c r="M174" s="32" t="str">
        <f>HYPERLINK("http://slimages.macys.com/is/image/MCY/3754968 ")</f>
        <v xml:space="preserve">http://slimages.macys.com/is/image/MCY/3754968 </v>
      </c>
    </row>
    <row r="175" spans="1:13" ht="15.2" customHeight="1" x14ac:dyDescent="0.2">
      <c r="A175" s="26" t="s">
        <v>5165</v>
      </c>
      <c r="B175" s="27" t="s">
        <v>5166</v>
      </c>
      <c r="C175" s="28">
        <v>1</v>
      </c>
      <c r="D175" s="29">
        <v>5.65</v>
      </c>
      <c r="E175" s="29">
        <v>5.65</v>
      </c>
      <c r="F175" s="30">
        <v>12.99</v>
      </c>
      <c r="G175" s="29">
        <v>12.99</v>
      </c>
      <c r="H175" s="28" t="s">
        <v>5167</v>
      </c>
      <c r="I175" s="27" t="s">
        <v>33</v>
      </c>
      <c r="J175" s="31" t="s">
        <v>21</v>
      </c>
      <c r="K175" s="27" t="s">
        <v>282</v>
      </c>
      <c r="L175" s="27" t="s">
        <v>393</v>
      </c>
      <c r="M175" s="32" t="str">
        <f>HYPERLINK("http://slimages.macys.com/is/image/MCY/3797939 ")</f>
        <v xml:space="preserve">http://slimages.macys.com/is/image/MCY/3797939 </v>
      </c>
    </row>
    <row r="176" spans="1:13" ht="15.2" customHeight="1" x14ac:dyDescent="0.2">
      <c r="A176" s="26" t="s">
        <v>5168</v>
      </c>
      <c r="B176" s="27" t="s">
        <v>5169</v>
      </c>
      <c r="C176" s="28">
        <v>1</v>
      </c>
      <c r="D176" s="29">
        <v>5.5</v>
      </c>
      <c r="E176" s="29">
        <v>5.5</v>
      </c>
      <c r="F176" s="30">
        <v>12.99</v>
      </c>
      <c r="G176" s="29">
        <v>12.99</v>
      </c>
      <c r="H176" s="28" t="s">
        <v>1939</v>
      </c>
      <c r="I176" s="27" t="s">
        <v>478</v>
      </c>
      <c r="J176" s="31" t="s">
        <v>71</v>
      </c>
      <c r="K176" s="27" t="s">
        <v>282</v>
      </c>
      <c r="L176" s="27" t="s">
        <v>283</v>
      </c>
      <c r="M176" s="32" t="str">
        <f>HYPERLINK("http://slimages.macys.com/is/image/MCY/3700217 ")</f>
        <v xml:space="preserve">http://slimages.macys.com/is/image/MCY/3700217 </v>
      </c>
    </row>
    <row r="177" spans="1:13" ht="15.2" customHeight="1" x14ac:dyDescent="0.2">
      <c r="A177" s="26" t="s">
        <v>926</v>
      </c>
      <c r="B177" s="27" t="s">
        <v>927</v>
      </c>
      <c r="C177" s="28">
        <v>1</v>
      </c>
      <c r="D177" s="29">
        <v>5.5</v>
      </c>
      <c r="E177" s="29">
        <v>5.5</v>
      </c>
      <c r="F177" s="30">
        <v>16.989999999999998</v>
      </c>
      <c r="G177" s="29">
        <v>16.989999999999998</v>
      </c>
      <c r="H177" s="28" t="s">
        <v>431</v>
      </c>
      <c r="I177" s="27" t="s">
        <v>64</v>
      </c>
      <c r="J177" s="31" t="s">
        <v>40</v>
      </c>
      <c r="K177" s="27" t="s">
        <v>282</v>
      </c>
      <c r="L177" s="27" t="s">
        <v>388</v>
      </c>
      <c r="M177" s="32" t="str">
        <f>HYPERLINK("http://slimages.macys.com/is/image/MCY/3953467 ")</f>
        <v xml:space="preserve">http://slimages.macys.com/is/image/MCY/3953467 </v>
      </c>
    </row>
    <row r="178" spans="1:13" ht="15.2" customHeight="1" x14ac:dyDescent="0.2">
      <c r="A178" s="26" t="s">
        <v>1559</v>
      </c>
      <c r="B178" s="27" t="s">
        <v>1560</v>
      </c>
      <c r="C178" s="28">
        <v>2</v>
      </c>
      <c r="D178" s="29">
        <v>5.5</v>
      </c>
      <c r="E178" s="29">
        <v>11</v>
      </c>
      <c r="F178" s="30">
        <v>13.99</v>
      </c>
      <c r="G178" s="29">
        <v>27.98</v>
      </c>
      <c r="H178" s="28" t="s">
        <v>1561</v>
      </c>
      <c r="I178" s="27" t="s">
        <v>36</v>
      </c>
      <c r="J178" s="31" t="s">
        <v>21</v>
      </c>
      <c r="K178" s="27" t="s">
        <v>282</v>
      </c>
      <c r="L178" s="27" t="s">
        <v>260</v>
      </c>
      <c r="M178" s="32" t="str">
        <f>HYPERLINK("http://slimages.macys.com/is/image/MCY/3774754 ")</f>
        <v xml:space="preserve">http://slimages.macys.com/is/image/MCY/3774754 </v>
      </c>
    </row>
    <row r="179" spans="1:13" ht="15.2" customHeight="1" x14ac:dyDescent="0.2">
      <c r="A179" s="26" t="s">
        <v>1947</v>
      </c>
      <c r="B179" s="27" t="s">
        <v>1948</v>
      </c>
      <c r="C179" s="28">
        <v>1</v>
      </c>
      <c r="D179" s="29">
        <v>5.5</v>
      </c>
      <c r="E179" s="29">
        <v>5.5</v>
      </c>
      <c r="F179" s="30">
        <v>12.99</v>
      </c>
      <c r="G179" s="29">
        <v>12.99</v>
      </c>
      <c r="H179" s="28" t="s">
        <v>1949</v>
      </c>
      <c r="I179" s="27" t="s">
        <v>82</v>
      </c>
      <c r="J179" s="31" t="s">
        <v>5</v>
      </c>
      <c r="K179" s="27" t="s">
        <v>282</v>
      </c>
      <c r="L179" s="27" t="s">
        <v>312</v>
      </c>
      <c r="M179" s="32" t="str">
        <f>HYPERLINK("http://slimages.macys.com/is/image/MCY/3875986 ")</f>
        <v xml:space="preserve">http://slimages.macys.com/is/image/MCY/3875986 </v>
      </c>
    </row>
    <row r="180" spans="1:13" ht="15.2" customHeight="1" x14ac:dyDescent="0.2">
      <c r="A180" s="26" t="s">
        <v>931</v>
      </c>
      <c r="B180" s="27" t="s">
        <v>932</v>
      </c>
      <c r="C180" s="28">
        <v>1</v>
      </c>
      <c r="D180" s="29">
        <v>5.5</v>
      </c>
      <c r="E180" s="29">
        <v>5.5</v>
      </c>
      <c r="F180" s="30">
        <v>16.989999999999998</v>
      </c>
      <c r="G180" s="29">
        <v>16.989999999999998</v>
      </c>
      <c r="H180" s="28" t="s">
        <v>431</v>
      </c>
      <c r="I180" s="27" t="s">
        <v>82</v>
      </c>
      <c r="J180" s="31" t="s">
        <v>5</v>
      </c>
      <c r="K180" s="27" t="s">
        <v>282</v>
      </c>
      <c r="L180" s="27" t="s">
        <v>388</v>
      </c>
      <c r="M180" s="32" t="str">
        <f>HYPERLINK("http://slimages.macys.com/is/image/MCY/3953466 ")</f>
        <v xml:space="preserve">http://slimages.macys.com/is/image/MCY/3953466 </v>
      </c>
    </row>
    <row r="181" spans="1:13" ht="15.2" customHeight="1" x14ac:dyDescent="0.2">
      <c r="A181" s="26" t="s">
        <v>5170</v>
      </c>
      <c r="B181" s="27" t="s">
        <v>5171</v>
      </c>
      <c r="C181" s="28">
        <v>1</v>
      </c>
      <c r="D181" s="29">
        <v>5.35</v>
      </c>
      <c r="E181" s="29">
        <v>5.35</v>
      </c>
      <c r="F181" s="30">
        <v>12.99</v>
      </c>
      <c r="G181" s="29">
        <v>12.99</v>
      </c>
      <c r="H181" s="28" t="s">
        <v>5172</v>
      </c>
      <c r="I181" s="27" t="s">
        <v>291</v>
      </c>
      <c r="J181" s="31" t="s">
        <v>5</v>
      </c>
      <c r="K181" s="27" t="s">
        <v>159</v>
      </c>
      <c r="L181" s="27" t="s">
        <v>160</v>
      </c>
      <c r="M181" s="32" t="str">
        <f>HYPERLINK("http://slimages.macys.com/is/image/MCY/3451733 ")</f>
        <v xml:space="preserve">http://slimages.macys.com/is/image/MCY/3451733 </v>
      </c>
    </row>
    <row r="182" spans="1:13" ht="15.2" customHeight="1" x14ac:dyDescent="0.2">
      <c r="A182" s="26" t="s">
        <v>5173</v>
      </c>
      <c r="B182" s="27" t="s">
        <v>5174</v>
      </c>
      <c r="C182" s="28">
        <v>1</v>
      </c>
      <c r="D182" s="29">
        <v>5.35</v>
      </c>
      <c r="E182" s="29">
        <v>5.35</v>
      </c>
      <c r="F182" s="30">
        <v>12.99</v>
      </c>
      <c r="G182" s="29">
        <v>12.99</v>
      </c>
      <c r="H182" s="28" t="s">
        <v>5175</v>
      </c>
      <c r="I182" s="27" t="s">
        <v>4</v>
      </c>
      <c r="J182" s="31" t="s">
        <v>52</v>
      </c>
      <c r="K182" s="27" t="s">
        <v>159</v>
      </c>
      <c r="L182" s="27" t="s">
        <v>160</v>
      </c>
      <c r="M182" s="32" t="str">
        <f>HYPERLINK("http://slimages.macys.com/is/image/MCY/3451733 ")</f>
        <v xml:space="preserve">http://slimages.macys.com/is/image/MCY/3451733 </v>
      </c>
    </row>
    <row r="183" spans="1:13" ht="15.2" customHeight="1" x14ac:dyDescent="0.2">
      <c r="A183" s="26" t="s">
        <v>934</v>
      </c>
      <c r="B183" s="27" t="s">
        <v>935</v>
      </c>
      <c r="C183" s="28">
        <v>1</v>
      </c>
      <c r="D183" s="29">
        <v>5.25</v>
      </c>
      <c r="E183" s="29">
        <v>5.25</v>
      </c>
      <c r="F183" s="30">
        <v>12.99</v>
      </c>
      <c r="G183" s="29">
        <v>12.99</v>
      </c>
      <c r="H183" s="28" t="s">
        <v>448</v>
      </c>
      <c r="I183" s="27" t="s">
        <v>82</v>
      </c>
      <c r="J183" s="31" t="s">
        <v>71</v>
      </c>
      <c r="K183" s="27" t="s">
        <v>282</v>
      </c>
      <c r="L183" s="27" t="s">
        <v>358</v>
      </c>
      <c r="M183" s="32" t="str">
        <f>HYPERLINK("http://slimages.macys.com/is/image/MCY/3875975 ")</f>
        <v xml:space="preserve">http://slimages.macys.com/is/image/MCY/3875975 </v>
      </c>
    </row>
    <row r="184" spans="1:13" ht="15.2" customHeight="1" x14ac:dyDescent="0.2">
      <c r="A184" s="26" t="s">
        <v>5176</v>
      </c>
      <c r="B184" s="27" t="s">
        <v>5177</v>
      </c>
      <c r="C184" s="28">
        <v>1</v>
      </c>
      <c r="D184" s="29">
        <v>5.25</v>
      </c>
      <c r="E184" s="29">
        <v>5.25</v>
      </c>
      <c r="F184" s="30">
        <v>12.99</v>
      </c>
      <c r="G184" s="29">
        <v>12.99</v>
      </c>
      <c r="H184" s="28" t="s">
        <v>1581</v>
      </c>
      <c r="I184" s="27" t="s">
        <v>82</v>
      </c>
      <c r="J184" s="31" t="s">
        <v>40</v>
      </c>
      <c r="K184" s="27" t="s">
        <v>282</v>
      </c>
      <c r="L184" s="27" t="s">
        <v>358</v>
      </c>
      <c r="M184" s="32" t="str">
        <f>HYPERLINK("http://slimages.macys.com/is/image/MCY/3875976 ")</f>
        <v xml:space="preserve">http://slimages.macys.com/is/image/MCY/3875976 </v>
      </c>
    </row>
    <row r="185" spans="1:13" ht="15.2" customHeight="1" x14ac:dyDescent="0.2">
      <c r="A185" s="26" t="s">
        <v>5178</v>
      </c>
      <c r="B185" s="27" t="s">
        <v>5179</v>
      </c>
      <c r="C185" s="28">
        <v>1</v>
      </c>
      <c r="D185" s="29">
        <v>5.25</v>
      </c>
      <c r="E185" s="29">
        <v>5.25</v>
      </c>
      <c r="F185" s="30">
        <v>13.99</v>
      </c>
      <c r="G185" s="29">
        <v>13.99</v>
      </c>
      <c r="H185" s="28" t="s">
        <v>2408</v>
      </c>
      <c r="I185" s="27" t="s">
        <v>4</v>
      </c>
      <c r="J185" s="31" t="s">
        <v>21</v>
      </c>
      <c r="K185" s="27" t="s">
        <v>282</v>
      </c>
      <c r="L185" s="27" t="s">
        <v>325</v>
      </c>
      <c r="M185" s="32" t="str">
        <f>HYPERLINK("http://slimages.macys.com/is/image/MCY/3734901 ")</f>
        <v xml:space="preserve">http://slimages.macys.com/is/image/MCY/3734901 </v>
      </c>
    </row>
    <row r="186" spans="1:13" ht="15.2" customHeight="1" x14ac:dyDescent="0.2">
      <c r="A186" s="26" t="s">
        <v>4371</v>
      </c>
      <c r="B186" s="27" t="s">
        <v>4372</v>
      </c>
      <c r="C186" s="28">
        <v>1</v>
      </c>
      <c r="D186" s="29">
        <v>4.3499999999999996</v>
      </c>
      <c r="E186" s="29">
        <v>4.3499999999999996</v>
      </c>
      <c r="F186" s="30">
        <v>13.99</v>
      </c>
      <c r="G186" s="29">
        <v>13.99</v>
      </c>
      <c r="H186" s="28" t="s">
        <v>948</v>
      </c>
      <c r="I186" s="27" t="s">
        <v>82</v>
      </c>
      <c r="J186" s="31" t="s">
        <v>40</v>
      </c>
      <c r="K186" s="27" t="s">
        <v>282</v>
      </c>
      <c r="L186" s="27" t="s">
        <v>325</v>
      </c>
      <c r="M186" s="32" t="str">
        <f>HYPERLINK("http://slimages.macys.com/is/image/MCY/3931147 ")</f>
        <v xml:space="preserve">http://slimages.macys.com/is/image/MCY/3931147 </v>
      </c>
    </row>
    <row r="187" spans="1:13" ht="15.2" customHeight="1" x14ac:dyDescent="0.2">
      <c r="A187" s="26" t="s">
        <v>4377</v>
      </c>
      <c r="B187" s="27" t="s">
        <v>4378</v>
      </c>
      <c r="C187" s="28">
        <v>1</v>
      </c>
      <c r="D187" s="29">
        <v>4</v>
      </c>
      <c r="E187" s="29">
        <v>4</v>
      </c>
      <c r="F187" s="30">
        <v>12.99</v>
      </c>
      <c r="G187" s="29">
        <v>12.99</v>
      </c>
      <c r="H187" s="28" t="s">
        <v>1598</v>
      </c>
      <c r="I187" s="27" t="s">
        <v>189</v>
      </c>
      <c r="J187" s="31" t="s">
        <v>5</v>
      </c>
      <c r="K187" s="27" t="s">
        <v>200</v>
      </c>
      <c r="L187" s="27" t="s">
        <v>260</v>
      </c>
      <c r="M187" s="32" t="str">
        <f>HYPERLINK("http://slimages.macys.com/is/image/MCY/3625071 ")</f>
        <v xml:space="preserve">http://slimages.macys.com/is/image/MCY/3625071 </v>
      </c>
    </row>
    <row r="188" spans="1:13" ht="15.2" customHeight="1" x14ac:dyDescent="0.2">
      <c r="A188" s="26" t="s">
        <v>4375</v>
      </c>
      <c r="B188" s="27" t="s">
        <v>4376</v>
      </c>
      <c r="C188" s="28">
        <v>1</v>
      </c>
      <c r="D188" s="29">
        <v>4</v>
      </c>
      <c r="E188" s="29">
        <v>4</v>
      </c>
      <c r="F188" s="30">
        <v>12.99</v>
      </c>
      <c r="G188" s="29">
        <v>12.99</v>
      </c>
      <c r="H188" s="28" t="s">
        <v>1598</v>
      </c>
      <c r="I188" s="27" t="s">
        <v>10</v>
      </c>
      <c r="J188" s="31" t="s">
        <v>21</v>
      </c>
      <c r="K188" s="27" t="s">
        <v>200</v>
      </c>
      <c r="L188" s="27" t="s">
        <v>260</v>
      </c>
      <c r="M188" s="32" t="str">
        <f>HYPERLINK("http://slimages.macys.com/is/image/MCY/3625071 ")</f>
        <v xml:space="preserve">http://slimages.macys.com/is/image/MCY/3625071 </v>
      </c>
    </row>
    <row r="189" spans="1:13" ht="15.2" customHeight="1" x14ac:dyDescent="0.2">
      <c r="A189" s="26" t="s">
        <v>5180</v>
      </c>
      <c r="B189" s="27" t="s">
        <v>5181</v>
      </c>
      <c r="C189" s="28">
        <v>1</v>
      </c>
      <c r="D189" s="29">
        <v>3.72</v>
      </c>
      <c r="E189" s="29">
        <v>3.72</v>
      </c>
      <c r="F189" s="30">
        <v>7.99</v>
      </c>
      <c r="G189" s="29">
        <v>7.99</v>
      </c>
      <c r="H189" s="28" t="s">
        <v>459</v>
      </c>
      <c r="I189" s="27" t="s">
        <v>22</v>
      </c>
      <c r="J189" s="31" t="s">
        <v>21</v>
      </c>
      <c r="K189" s="27" t="s">
        <v>282</v>
      </c>
      <c r="L189" s="27" t="s">
        <v>325</v>
      </c>
      <c r="M189" s="32" t="str">
        <f>HYPERLINK("http://slimages.macys.com/is/image/MCY/3609979 ")</f>
        <v xml:space="preserve">http://slimages.macys.com/is/image/MCY/3609979 </v>
      </c>
    </row>
    <row r="190" spans="1:13" ht="15.2" customHeight="1" x14ac:dyDescent="0.2">
      <c r="A190" s="26" t="s">
        <v>3026</v>
      </c>
      <c r="B190" s="27" t="s">
        <v>3027</v>
      </c>
      <c r="C190" s="28">
        <v>1</v>
      </c>
      <c r="D190" s="29">
        <v>3.72</v>
      </c>
      <c r="E190" s="29">
        <v>3.72</v>
      </c>
      <c r="F190" s="30">
        <v>7.99</v>
      </c>
      <c r="G190" s="29">
        <v>7.99</v>
      </c>
      <c r="H190" s="28" t="s">
        <v>459</v>
      </c>
      <c r="I190" s="27" t="s">
        <v>1</v>
      </c>
      <c r="J190" s="31" t="s">
        <v>65</v>
      </c>
      <c r="K190" s="27" t="s">
        <v>282</v>
      </c>
      <c r="L190" s="27" t="s">
        <v>325</v>
      </c>
      <c r="M190" s="32" t="str">
        <f>HYPERLINK("http://slimages.macys.com/is/image/MCY/3609979 ")</f>
        <v xml:space="preserve">http://slimages.macys.com/is/image/MCY/3609979 </v>
      </c>
    </row>
    <row r="191" spans="1:13" ht="15.2" customHeight="1" x14ac:dyDescent="0.2">
      <c r="A191" s="26" t="s">
        <v>5182</v>
      </c>
      <c r="B191" s="27" t="s">
        <v>5183</v>
      </c>
      <c r="C191" s="28">
        <v>1</v>
      </c>
      <c r="D191" s="29">
        <v>33.369999999999997</v>
      </c>
      <c r="E191" s="29">
        <v>33.369999999999997</v>
      </c>
      <c r="F191" s="30">
        <v>89</v>
      </c>
      <c r="G191" s="29">
        <v>89</v>
      </c>
      <c r="H191" s="28">
        <v>7066407</v>
      </c>
      <c r="I191" s="27" t="s">
        <v>189</v>
      </c>
      <c r="J191" s="31" t="s">
        <v>5184</v>
      </c>
      <c r="K191" s="27" t="s">
        <v>462</v>
      </c>
      <c r="L191" s="27" t="s">
        <v>463</v>
      </c>
      <c r="M191" s="32"/>
    </row>
    <row r="192" spans="1:13" ht="15.2" customHeight="1" x14ac:dyDescent="0.2">
      <c r="A192" s="26" t="s">
        <v>5185</v>
      </c>
      <c r="B192" s="27" t="s">
        <v>5186</v>
      </c>
      <c r="C192" s="28">
        <v>1</v>
      </c>
      <c r="D192" s="29">
        <v>30</v>
      </c>
      <c r="E192" s="29">
        <v>30</v>
      </c>
      <c r="F192" s="30">
        <v>79.5</v>
      </c>
      <c r="G192" s="29">
        <v>79.5</v>
      </c>
      <c r="H192" s="28" t="s">
        <v>5187</v>
      </c>
      <c r="I192" s="27" t="s">
        <v>661</v>
      </c>
      <c r="J192" s="31"/>
      <c r="K192" s="27" t="s">
        <v>17</v>
      </c>
      <c r="L192" s="27" t="s">
        <v>18</v>
      </c>
      <c r="M192" s="32"/>
    </row>
    <row r="193" spans="1:13" ht="15.2" customHeight="1" x14ac:dyDescent="0.2">
      <c r="A193" s="26" t="s">
        <v>5188</v>
      </c>
      <c r="B193" s="27" t="s">
        <v>5189</v>
      </c>
      <c r="C193" s="28">
        <v>1</v>
      </c>
      <c r="D193" s="29">
        <v>26.25</v>
      </c>
      <c r="E193" s="29">
        <v>26.25</v>
      </c>
      <c r="F193" s="30">
        <v>79</v>
      </c>
      <c r="G193" s="29">
        <v>79</v>
      </c>
      <c r="H193" s="28" t="s">
        <v>3485</v>
      </c>
      <c r="I193" s="27" t="s">
        <v>4</v>
      </c>
      <c r="J193" s="31" t="s">
        <v>21</v>
      </c>
      <c r="K193" s="27" t="s">
        <v>24</v>
      </c>
      <c r="L193" s="27" t="s">
        <v>485</v>
      </c>
      <c r="M193" s="32"/>
    </row>
    <row r="194" spans="1:13" ht="15.2" customHeight="1" x14ac:dyDescent="0.2">
      <c r="A194" s="26" t="s">
        <v>5190</v>
      </c>
      <c r="B194" s="27" t="s">
        <v>5191</v>
      </c>
      <c r="C194" s="28">
        <v>1</v>
      </c>
      <c r="D194" s="29">
        <v>25.25</v>
      </c>
      <c r="E194" s="29">
        <v>25.25</v>
      </c>
      <c r="F194" s="30">
        <v>79</v>
      </c>
      <c r="G194" s="29">
        <v>79</v>
      </c>
      <c r="H194" s="28" t="s">
        <v>5192</v>
      </c>
      <c r="I194" s="27"/>
      <c r="J194" s="31" t="s">
        <v>21</v>
      </c>
      <c r="K194" s="27" t="s">
        <v>37</v>
      </c>
      <c r="L194" s="27" t="s">
        <v>38</v>
      </c>
      <c r="M194" s="32"/>
    </row>
    <row r="195" spans="1:13" ht="15.2" customHeight="1" x14ac:dyDescent="0.2">
      <c r="A195" s="26" t="s">
        <v>5193</v>
      </c>
      <c r="B195" s="27" t="s">
        <v>5194</v>
      </c>
      <c r="C195" s="28">
        <v>1</v>
      </c>
      <c r="D195" s="29">
        <v>24.68</v>
      </c>
      <c r="E195" s="29">
        <v>24.68</v>
      </c>
      <c r="F195" s="30">
        <v>69.5</v>
      </c>
      <c r="G195" s="29">
        <v>69.5</v>
      </c>
      <c r="H195" s="28" t="s">
        <v>5195</v>
      </c>
      <c r="I195" s="27" t="s">
        <v>1</v>
      </c>
      <c r="J195" s="31" t="s">
        <v>50</v>
      </c>
      <c r="K195" s="27" t="s">
        <v>12</v>
      </c>
      <c r="L195" s="27" t="s">
        <v>13</v>
      </c>
      <c r="M195" s="32"/>
    </row>
    <row r="196" spans="1:13" ht="15.2" customHeight="1" x14ac:dyDescent="0.2">
      <c r="A196" s="26" t="s">
        <v>5196</v>
      </c>
      <c r="B196" s="27" t="s">
        <v>5197</v>
      </c>
      <c r="C196" s="28">
        <v>1</v>
      </c>
      <c r="D196" s="29">
        <v>24.68</v>
      </c>
      <c r="E196" s="29">
        <v>24.68</v>
      </c>
      <c r="F196" s="30">
        <v>69.5</v>
      </c>
      <c r="G196" s="29">
        <v>69.5</v>
      </c>
      <c r="H196" s="28" t="s">
        <v>5195</v>
      </c>
      <c r="I196" s="27" t="s">
        <v>1</v>
      </c>
      <c r="J196" s="31" t="s">
        <v>30</v>
      </c>
      <c r="K196" s="27" t="s">
        <v>12</v>
      </c>
      <c r="L196" s="27" t="s">
        <v>13</v>
      </c>
      <c r="M196" s="32"/>
    </row>
    <row r="197" spans="1:13" ht="15.2" customHeight="1" x14ac:dyDescent="0.2">
      <c r="A197" s="26" t="s">
        <v>5198</v>
      </c>
      <c r="B197" s="27" t="s">
        <v>5199</v>
      </c>
      <c r="C197" s="28">
        <v>2</v>
      </c>
      <c r="D197" s="29">
        <v>24.67</v>
      </c>
      <c r="E197" s="29">
        <v>49.34</v>
      </c>
      <c r="F197" s="30">
        <v>69.5</v>
      </c>
      <c r="G197" s="29">
        <v>139</v>
      </c>
      <c r="H197" s="28" t="s">
        <v>4508</v>
      </c>
      <c r="I197" s="27" t="s">
        <v>59</v>
      </c>
      <c r="J197" s="31" t="s">
        <v>50</v>
      </c>
      <c r="K197" s="27" t="s">
        <v>12</v>
      </c>
      <c r="L197" s="27" t="s">
        <v>13</v>
      </c>
      <c r="M197" s="32"/>
    </row>
    <row r="198" spans="1:13" ht="15.2" customHeight="1" x14ac:dyDescent="0.2">
      <c r="A198" s="26" t="s">
        <v>4506</v>
      </c>
      <c r="B198" s="27" t="s">
        <v>4507</v>
      </c>
      <c r="C198" s="28">
        <v>1</v>
      </c>
      <c r="D198" s="29">
        <v>24.67</v>
      </c>
      <c r="E198" s="29">
        <v>24.67</v>
      </c>
      <c r="F198" s="30">
        <v>69.5</v>
      </c>
      <c r="G198" s="29">
        <v>69.5</v>
      </c>
      <c r="H198" s="28" t="s">
        <v>4508</v>
      </c>
      <c r="I198" s="27" t="s">
        <v>59</v>
      </c>
      <c r="J198" s="31" t="s">
        <v>30</v>
      </c>
      <c r="K198" s="27" t="s">
        <v>12</v>
      </c>
      <c r="L198" s="27" t="s">
        <v>13</v>
      </c>
      <c r="M198" s="32"/>
    </row>
    <row r="199" spans="1:13" ht="15.2" customHeight="1" x14ac:dyDescent="0.2">
      <c r="A199" s="26" t="s">
        <v>5200</v>
      </c>
      <c r="B199" s="27" t="s">
        <v>5201</v>
      </c>
      <c r="C199" s="28">
        <v>1</v>
      </c>
      <c r="D199" s="29">
        <v>23.85</v>
      </c>
      <c r="E199" s="29">
        <v>23.85</v>
      </c>
      <c r="F199" s="30">
        <v>79.5</v>
      </c>
      <c r="G199" s="29">
        <v>79.5</v>
      </c>
      <c r="H199" s="28">
        <v>49022936</v>
      </c>
      <c r="I199" s="27" t="s">
        <v>4</v>
      </c>
      <c r="J199" s="31" t="s">
        <v>52</v>
      </c>
      <c r="K199" s="27" t="s">
        <v>6</v>
      </c>
      <c r="L199" s="27" t="s">
        <v>7</v>
      </c>
      <c r="M199" s="32"/>
    </row>
    <row r="200" spans="1:13" ht="15.2" customHeight="1" x14ac:dyDescent="0.2">
      <c r="A200" s="26" t="s">
        <v>5202</v>
      </c>
      <c r="B200" s="27" t="s">
        <v>5203</v>
      </c>
      <c r="C200" s="28">
        <v>1</v>
      </c>
      <c r="D200" s="29">
        <v>23.5</v>
      </c>
      <c r="E200" s="29">
        <v>23.5</v>
      </c>
      <c r="F200" s="30">
        <v>69</v>
      </c>
      <c r="G200" s="29">
        <v>69</v>
      </c>
      <c r="H200" s="28" t="s">
        <v>3491</v>
      </c>
      <c r="I200" s="27"/>
      <c r="J200" s="31" t="s">
        <v>23</v>
      </c>
      <c r="K200" s="27" t="s">
        <v>24</v>
      </c>
      <c r="L200" s="27" t="s">
        <v>25</v>
      </c>
      <c r="M200" s="32"/>
    </row>
    <row r="201" spans="1:13" ht="15.2" customHeight="1" x14ac:dyDescent="0.2">
      <c r="A201" s="26" t="s">
        <v>5204</v>
      </c>
      <c r="B201" s="27" t="s">
        <v>5205</v>
      </c>
      <c r="C201" s="28">
        <v>1</v>
      </c>
      <c r="D201" s="29">
        <v>23</v>
      </c>
      <c r="E201" s="29">
        <v>23</v>
      </c>
      <c r="F201" s="30">
        <v>69</v>
      </c>
      <c r="G201" s="29">
        <v>69</v>
      </c>
      <c r="H201" s="28" t="s">
        <v>5206</v>
      </c>
      <c r="I201" s="27" t="s">
        <v>20</v>
      </c>
      <c r="J201" s="31" t="s">
        <v>205</v>
      </c>
      <c r="K201" s="27" t="s">
        <v>24</v>
      </c>
      <c r="L201" s="27" t="s">
        <v>25</v>
      </c>
      <c r="M201" s="32"/>
    </row>
    <row r="202" spans="1:13" ht="15.2" customHeight="1" x14ac:dyDescent="0.2">
      <c r="A202" s="26" t="s">
        <v>5207</v>
      </c>
      <c r="B202" s="27" t="s">
        <v>3056</v>
      </c>
      <c r="C202" s="28">
        <v>1</v>
      </c>
      <c r="D202" s="29">
        <v>23</v>
      </c>
      <c r="E202" s="29">
        <v>23</v>
      </c>
      <c r="F202" s="30">
        <v>59.5</v>
      </c>
      <c r="G202" s="29">
        <v>59.5</v>
      </c>
      <c r="H202" s="28" t="s">
        <v>477</v>
      </c>
      <c r="I202" s="27" t="s">
        <v>478</v>
      </c>
      <c r="J202" s="31"/>
      <c r="K202" s="27" t="s">
        <v>17</v>
      </c>
      <c r="L202" s="27" t="s">
        <v>18</v>
      </c>
      <c r="M202" s="32"/>
    </row>
    <row r="203" spans="1:13" ht="15.2" customHeight="1" x14ac:dyDescent="0.2">
      <c r="A203" s="26" t="s">
        <v>5208</v>
      </c>
      <c r="B203" s="27" t="s">
        <v>5209</v>
      </c>
      <c r="C203" s="28">
        <v>1</v>
      </c>
      <c r="D203" s="29">
        <v>22.5</v>
      </c>
      <c r="E203" s="29">
        <v>22.5</v>
      </c>
      <c r="F203" s="30">
        <v>69</v>
      </c>
      <c r="G203" s="29">
        <v>69</v>
      </c>
      <c r="H203" s="28" t="s">
        <v>3997</v>
      </c>
      <c r="I203" s="27" t="s">
        <v>1</v>
      </c>
      <c r="J203" s="31"/>
      <c r="K203" s="27" t="s">
        <v>24</v>
      </c>
      <c r="L203" s="27" t="s">
        <v>35</v>
      </c>
      <c r="M203" s="32"/>
    </row>
    <row r="204" spans="1:13" ht="15.2" customHeight="1" x14ac:dyDescent="0.2">
      <c r="A204" s="26" t="s">
        <v>5210</v>
      </c>
      <c r="B204" s="27" t="s">
        <v>5211</v>
      </c>
      <c r="C204" s="28">
        <v>1</v>
      </c>
      <c r="D204" s="29">
        <v>22.12</v>
      </c>
      <c r="E204" s="29">
        <v>22.12</v>
      </c>
      <c r="F204" s="30">
        <v>59</v>
      </c>
      <c r="G204" s="29">
        <v>59</v>
      </c>
      <c r="H204" s="28">
        <v>7056626</v>
      </c>
      <c r="I204" s="27" t="s">
        <v>189</v>
      </c>
      <c r="J204" s="31" t="s">
        <v>461</v>
      </c>
      <c r="K204" s="27" t="s">
        <v>462</v>
      </c>
      <c r="L204" s="27" t="s">
        <v>463</v>
      </c>
      <c r="M204" s="32"/>
    </row>
    <row r="205" spans="1:13" ht="15.2" customHeight="1" x14ac:dyDescent="0.2">
      <c r="A205" s="26" t="s">
        <v>5212</v>
      </c>
      <c r="B205" s="27" t="s">
        <v>5213</v>
      </c>
      <c r="C205" s="28">
        <v>1</v>
      </c>
      <c r="D205" s="29">
        <v>22.12</v>
      </c>
      <c r="E205" s="29">
        <v>22.12</v>
      </c>
      <c r="F205" s="30">
        <v>59</v>
      </c>
      <c r="G205" s="29">
        <v>59</v>
      </c>
      <c r="H205" s="28">
        <v>7066641</v>
      </c>
      <c r="I205" s="27" t="s">
        <v>271</v>
      </c>
      <c r="J205" s="31" t="s">
        <v>40</v>
      </c>
      <c r="K205" s="27" t="s">
        <v>462</v>
      </c>
      <c r="L205" s="27" t="s">
        <v>463</v>
      </c>
      <c r="M205" s="32"/>
    </row>
    <row r="206" spans="1:13" ht="15.2" customHeight="1" x14ac:dyDescent="0.2">
      <c r="A206" s="26" t="s">
        <v>2721</v>
      </c>
      <c r="B206" s="27" t="s">
        <v>2722</v>
      </c>
      <c r="C206" s="28">
        <v>1</v>
      </c>
      <c r="D206" s="29">
        <v>22</v>
      </c>
      <c r="E206" s="29">
        <v>22</v>
      </c>
      <c r="F206" s="30">
        <v>69</v>
      </c>
      <c r="G206" s="29">
        <v>69</v>
      </c>
      <c r="H206" s="28" t="s">
        <v>1607</v>
      </c>
      <c r="I206" s="27" t="s">
        <v>468</v>
      </c>
      <c r="J206" s="31" t="s">
        <v>216</v>
      </c>
      <c r="K206" s="27" t="s">
        <v>24</v>
      </c>
      <c r="L206" s="27" t="s">
        <v>25</v>
      </c>
      <c r="M206" s="32"/>
    </row>
    <row r="207" spans="1:13" ht="15.2" customHeight="1" x14ac:dyDescent="0.2">
      <c r="A207" s="26" t="s">
        <v>5214</v>
      </c>
      <c r="B207" s="27" t="s">
        <v>5215</v>
      </c>
      <c r="C207" s="28">
        <v>1</v>
      </c>
      <c r="D207" s="29">
        <v>21.88</v>
      </c>
      <c r="E207" s="29">
        <v>21.88</v>
      </c>
      <c r="F207" s="30">
        <v>59.99</v>
      </c>
      <c r="G207" s="29">
        <v>59.99</v>
      </c>
      <c r="H207" s="28" t="s">
        <v>4380</v>
      </c>
      <c r="I207" s="27" t="s">
        <v>82</v>
      </c>
      <c r="J207" s="31" t="s">
        <v>5</v>
      </c>
      <c r="K207" s="27" t="s">
        <v>41</v>
      </c>
      <c r="L207" s="27" t="s">
        <v>45</v>
      </c>
      <c r="M207" s="32"/>
    </row>
    <row r="208" spans="1:13" ht="15.2" customHeight="1" x14ac:dyDescent="0.2">
      <c r="A208" s="26" t="s">
        <v>3492</v>
      </c>
      <c r="B208" s="27" t="s">
        <v>3493</v>
      </c>
      <c r="C208" s="28">
        <v>1</v>
      </c>
      <c r="D208" s="29">
        <v>21.86</v>
      </c>
      <c r="E208" s="29">
        <v>21.86</v>
      </c>
      <c r="F208" s="30">
        <v>59.99</v>
      </c>
      <c r="G208" s="29">
        <v>59.99</v>
      </c>
      <c r="H208" s="28" t="s">
        <v>3494</v>
      </c>
      <c r="I208" s="27" t="s">
        <v>22</v>
      </c>
      <c r="J208" s="31" t="s">
        <v>65</v>
      </c>
      <c r="K208" s="27" t="s">
        <v>41</v>
      </c>
      <c r="L208" s="27" t="s">
        <v>45</v>
      </c>
      <c r="M208" s="32"/>
    </row>
    <row r="209" spans="1:13" ht="15.2" customHeight="1" x14ac:dyDescent="0.2">
      <c r="A209" s="26" t="s">
        <v>5216</v>
      </c>
      <c r="B209" s="27" t="s">
        <v>5217</v>
      </c>
      <c r="C209" s="28">
        <v>1</v>
      </c>
      <c r="D209" s="29">
        <v>21.12</v>
      </c>
      <c r="E209" s="29">
        <v>21.12</v>
      </c>
      <c r="F209" s="30">
        <v>59.5</v>
      </c>
      <c r="G209" s="29">
        <v>59.5</v>
      </c>
      <c r="H209" s="28" t="s">
        <v>4241</v>
      </c>
      <c r="I209" s="27" t="s">
        <v>10</v>
      </c>
      <c r="J209" s="31"/>
      <c r="K209" s="27" t="s">
        <v>12</v>
      </c>
      <c r="L209" s="27" t="s">
        <v>90</v>
      </c>
      <c r="M209" s="32"/>
    </row>
    <row r="210" spans="1:13" ht="15.2" customHeight="1" x14ac:dyDescent="0.2">
      <c r="A210" s="26" t="s">
        <v>4772</v>
      </c>
      <c r="B210" s="27" t="s">
        <v>4773</v>
      </c>
      <c r="C210" s="28">
        <v>1</v>
      </c>
      <c r="D210" s="29">
        <v>21.12</v>
      </c>
      <c r="E210" s="29">
        <v>21.12</v>
      </c>
      <c r="F210" s="30">
        <v>59.5</v>
      </c>
      <c r="G210" s="29">
        <v>59.5</v>
      </c>
      <c r="H210" s="28" t="s">
        <v>4241</v>
      </c>
      <c r="I210" s="27" t="s">
        <v>59</v>
      </c>
      <c r="J210" s="31" t="s">
        <v>50</v>
      </c>
      <c r="K210" s="27" t="s">
        <v>12</v>
      </c>
      <c r="L210" s="27" t="s">
        <v>90</v>
      </c>
      <c r="M210" s="32"/>
    </row>
    <row r="211" spans="1:13" ht="15.2" customHeight="1" x14ac:dyDescent="0.2">
      <c r="A211" s="26" t="s">
        <v>4776</v>
      </c>
      <c r="B211" s="27" t="s">
        <v>4777</v>
      </c>
      <c r="C211" s="28">
        <v>1</v>
      </c>
      <c r="D211" s="29">
        <v>20</v>
      </c>
      <c r="E211" s="29">
        <v>20</v>
      </c>
      <c r="F211" s="30">
        <v>49.99</v>
      </c>
      <c r="G211" s="29">
        <v>49.99</v>
      </c>
      <c r="H211" s="28" t="s">
        <v>1610</v>
      </c>
      <c r="I211" s="27" t="s">
        <v>59</v>
      </c>
      <c r="J211" s="31" t="s">
        <v>23</v>
      </c>
      <c r="K211" s="27" t="s">
        <v>70</v>
      </c>
      <c r="L211" s="27" t="s">
        <v>25</v>
      </c>
      <c r="M211" s="32"/>
    </row>
    <row r="212" spans="1:13" ht="15.2" customHeight="1" x14ac:dyDescent="0.2">
      <c r="A212" s="26" t="s">
        <v>5218</v>
      </c>
      <c r="B212" s="27" t="s">
        <v>5219</v>
      </c>
      <c r="C212" s="28">
        <v>1</v>
      </c>
      <c r="D212" s="29">
        <v>20</v>
      </c>
      <c r="E212" s="29">
        <v>20</v>
      </c>
      <c r="F212" s="30">
        <v>41.99</v>
      </c>
      <c r="G212" s="29">
        <v>41.99</v>
      </c>
      <c r="H212" s="28" t="s">
        <v>1611</v>
      </c>
      <c r="I212" s="27" t="s">
        <v>4</v>
      </c>
      <c r="J212" s="31" t="s">
        <v>21</v>
      </c>
      <c r="K212" s="27" t="s">
        <v>70</v>
      </c>
      <c r="L212" s="27" t="s">
        <v>999</v>
      </c>
      <c r="M212" s="32"/>
    </row>
    <row r="213" spans="1:13" ht="15.2" customHeight="1" x14ac:dyDescent="0.2">
      <c r="A213" s="26" t="s">
        <v>5220</v>
      </c>
      <c r="B213" s="27" t="s">
        <v>5221</v>
      </c>
      <c r="C213" s="28">
        <v>1</v>
      </c>
      <c r="D213" s="29">
        <v>20</v>
      </c>
      <c r="E213" s="29">
        <v>20</v>
      </c>
      <c r="F213" s="30">
        <v>49.99</v>
      </c>
      <c r="G213" s="29">
        <v>49.99</v>
      </c>
      <c r="H213" s="28" t="s">
        <v>1610</v>
      </c>
      <c r="I213" s="27" t="s">
        <v>59</v>
      </c>
      <c r="J213" s="31" t="s">
        <v>216</v>
      </c>
      <c r="K213" s="27" t="s">
        <v>70</v>
      </c>
      <c r="L213" s="27" t="s">
        <v>25</v>
      </c>
      <c r="M213" s="32"/>
    </row>
    <row r="214" spans="1:13" ht="15.2" customHeight="1" x14ac:dyDescent="0.2">
      <c r="A214" s="26" t="s">
        <v>5222</v>
      </c>
      <c r="B214" s="27" t="s">
        <v>5223</v>
      </c>
      <c r="C214" s="28">
        <v>1</v>
      </c>
      <c r="D214" s="29">
        <v>20</v>
      </c>
      <c r="E214" s="29">
        <v>20</v>
      </c>
      <c r="F214" s="30">
        <v>41.99</v>
      </c>
      <c r="G214" s="29">
        <v>41.99</v>
      </c>
      <c r="H214" s="28" t="s">
        <v>1611</v>
      </c>
      <c r="I214" s="27" t="s">
        <v>4</v>
      </c>
      <c r="J214" s="31" t="s">
        <v>65</v>
      </c>
      <c r="K214" s="27" t="s">
        <v>70</v>
      </c>
      <c r="L214" s="27" t="s">
        <v>999</v>
      </c>
      <c r="M214" s="32"/>
    </row>
    <row r="215" spans="1:13" ht="15.2" customHeight="1" x14ac:dyDescent="0.2">
      <c r="A215" s="26" t="s">
        <v>4774</v>
      </c>
      <c r="B215" s="27" t="s">
        <v>4775</v>
      </c>
      <c r="C215" s="28">
        <v>1</v>
      </c>
      <c r="D215" s="29">
        <v>20</v>
      </c>
      <c r="E215" s="29">
        <v>20</v>
      </c>
      <c r="F215" s="30">
        <v>49.99</v>
      </c>
      <c r="G215" s="29">
        <v>49.99</v>
      </c>
      <c r="H215" s="28" t="s">
        <v>972</v>
      </c>
      <c r="I215" s="27" t="s">
        <v>291</v>
      </c>
      <c r="J215" s="31" t="s">
        <v>69</v>
      </c>
      <c r="K215" s="27" t="s">
        <v>70</v>
      </c>
      <c r="L215" s="27" t="s">
        <v>25</v>
      </c>
      <c r="M215" s="32"/>
    </row>
    <row r="216" spans="1:13" ht="15.2" customHeight="1" x14ac:dyDescent="0.2">
      <c r="A216" s="26" t="s">
        <v>5224</v>
      </c>
      <c r="B216" s="27" t="s">
        <v>5225</v>
      </c>
      <c r="C216" s="28">
        <v>1</v>
      </c>
      <c r="D216" s="29">
        <v>20</v>
      </c>
      <c r="E216" s="29">
        <v>20</v>
      </c>
      <c r="F216" s="30">
        <v>69</v>
      </c>
      <c r="G216" s="29">
        <v>69</v>
      </c>
      <c r="H216" s="28" t="s">
        <v>5226</v>
      </c>
      <c r="I216" s="27" t="s">
        <v>271</v>
      </c>
      <c r="J216" s="31" t="s">
        <v>216</v>
      </c>
      <c r="K216" s="27" t="s">
        <v>24</v>
      </c>
      <c r="L216" s="27" t="s">
        <v>650</v>
      </c>
      <c r="M216" s="32"/>
    </row>
    <row r="217" spans="1:13" ht="15.2" customHeight="1" x14ac:dyDescent="0.2">
      <c r="A217" s="26" t="s">
        <v>5227</v>
      </c>
      <c r="B217" s="27" t="s">
        <v>5228</v>
      </c>
      <c r="C217" s="28">
        <v>1</v>
      </c>
      <c r="D217" s="29">
        <v>19.04</v>
      </c>
      <c r="E217" s="29">
        <v>19.04</v>
      </c>
      <c r="F217" s="30">
        <v>59.5</v>
      </c>
      <c r="G217" s="29">
        <v>59.5</v>
      </c>
      <c r="H217" s="28">
        <v>49022844</v>
      </c>
      <c r="I217" s="27" t="s">
        <v>333</v>
      </c>
      <c r="J217" s="31" t="s">
        <v>161</v>
      </c>
      <c r="K217" s="27" t="s">
        <v>6</v>
      </c>
      <c r="L217" s="27" t="s">
        <v>7</v>
      </c>
      <c r="M217" s="32"/>
    </row>
    <row r="218" spans="1:13" ht="15.2" customHeight="1" x14ac:dyDescent="0.2">
      <c r="A218" s="26" t="s">
        <v>5229</v>
      </c>
      <c r="B218" s="27" t="s">
        <v>5230</v>
      </c>
      <c r="C218" s="28">
        <v>1</v>
      </c>
      <c r="D218" s="29">
        <v>18.75</v>
      </c>
      <c r="E218" s="29">
        <v>18.75</v>
      </c>
      <c r="F218" s="30">
        <v>59</v>
      </c>
      <c r="G218" s="29">
        <v>59</v>
      </c>
      <c r="H218" s="28" t="s">
        <v>4779</v>
      </c>
      <c r="I218" s="27" t="s">
        <v>4</v>
      </c>
      <c r="J218" s="31" t="s">
        <v>5</v>
      </c>
      <c r="K218" s="27" t="s">
        <v>24</v>
      </c>
      <c r="L218" s="27" t="s">
        <v>2806</v>
      </c>
      <c r="M218" s="32"/>
    </row>
    <row r="219" spans="1:13" ht="15.2" customHeight="1" x14ac:dyDescent="0.2">
      <c r="A219" s="26" t="s">
        <v>5231</v>
      </c>
      <c r="B219" s="27" t="s">
        <v>5232</v>
      </c>
      <c r="C219" s="28">
        <v>1</v>
      </c>
      <c r="D219" s="29">
        <v>17.5</v>
      </c>
      <c r="E219" s="29">
        <v>17.5</v>
      </c>
      <c r="F219" s="30">
        <v>44.99</v>
      </c>
      <c r="G219" s="29">
        <v>44.99</v>
      </c>
      <c r="H219" s="28" t="s">
        <v>5233</v>
      </c>
      <c r="I219" s="27" t="s">
        <v>2853</v>
      </c>
      <c r="J219" s="31" t="s">
        <v>21</v>
      </c>
      <c r="K219" s="27" t="s">
        <v>70</v>
      </c>
      <c r="L219" s="27" t="s">
        <v>101</v>
      </c>
      <c r="M219" s="32"/>
    </row>
    <row r="220" spans="1:13" ht="15.2" customHeight="1" x14ac:dyDescent="0.2">
      <c r="A220" s="26" t="s">
        <v>5234</v>
      </c>
      <c r="B220" s="27" t="s">
        <v>5235</v>
      </c>
      <c r="C220" s="28">
        <v>1</v>
      </c>
      <c r="D220" s="29">
        <v>17.25</v>
      </c>
      <c r="E220" s="29">
        <v>17.25</v>
      </c>
      <c r="F220" s="30">
        <v>49</v>
      </c>
      <c r="G220" s="29">
        <v>49</v>
      </c>
      <c r="H220" s="28" t="s">
        <v>4860</v>
      </c>
      <c r="I220" s="27" t="s">
        <v>36</v>
      </c>
      <c r="J220" s="31" t="s">
        <v>172</v>
      </c>
      <c r="K220" s="27" t="s">
        <v>37</v>
      </c>
      <c r="L220" s="27" t="s">
        <v>38</v>
      </c>
      <c r="M220" s="32"/>
    </row>
    <row r="221" spans="1:13" ht="15.2" customHeight="1" x14ac:dyDescent="0.2">
      <c r="A221" s="26" t="s">
        <v>5236</v>
      </c>
      <c r="B221" s="27" t="s">
        <v>991</v>
      </c>
      <c r="C221" s="28">
        <v>1</v>
      </c>
      <c r="D221" s="29">
        <v>17</v>
      </c>
      <c r="E221" s="29">
        <v>17</v>
      </c>
      <c r="F221" s="30">
        <v>41.99</v>
      </c>
      <c r="G221" s="29">
        <v>41.99</v>
      </c>
      <c r="H221" s="28" t="s">
        <v>992</v>
      </c>
      <c r="I221" s="27" t="s">
        <v>4</v>
      </c>
      <c r="J221" s="31" t="s">
        <v>5</v>
      </c>
      <c r="K221" s="27" t="s">
        <v>70</v>
      </c>
      <c r="L221" s="27" t="s">
        <v>155</v>
      </c>
      <c r="M221" s="32"/>
    </row>
    <row r="222" spans="1:13" ht="15.2" customHeight="1" x14ac:dyDescent="0.2">
      <c r="A222" s="26" t="s">
        <v>507</v>
      </c>
      <c r="B222" s="27" t="s">
        <v>508</v>
      </c>
      <c r="C222" s="28">
        <v>1</v>
      </c>
      <c r="D222" s="29">
        <v>16.739999999999998</v>
      </c>
      <c r="E222" s="29">
        <v>16.739999999999998</v>
      </c>
      <c r="F222" s="30">
        <v>49</v>
      </c>
      <c r="G222" s="29">
        <v>49</v>
      </c>
      <c r="H222" s="28" t="s">
        <v>509</v>
      </c>
      <c r="I222" s="27" t="s">
        <v>4</v>
      </c>
      <c r="J222" s="31" t="s">
        <v>21</v>
      </c>
      <c r="K222" s="27" t="s">
        <v>510</v>
      </c>
      <c r="L222" s="27" t="s">
        <v>511</v>
      </c>
      <c r="M222" s="32"/>
    </row>
    <row r="223" spans="1:13" ht="15.2" customHeight="1" x14ac:dyDescent="0.2">
      <c r="A223" s="26" t="s">
        <v>4046</v>
      </c>
      <c r="B223" s="27" t="s">
        <v>4047</v>
      </c>
      <c r="C223" s="28">
        <v>1</v>
      </c>
      <c r="D223" s="29">
        <v>16.5</v>
      </c>
      <c r="E223" s="29">
        <v>16.5</v>
      </c>
      <c r="F223" s="30">
        <v>39.99</v>
      </c>
      <c r="G223" s="29">
        <v>39.99</v>
      </c>
      <c r="H223" s="28" t="s">
        <v>2448</v>
      </c>
      <c r="I223" s="27" t="s">
        <v>746</v>
      </c>
      <c r="J223" s="31" t="s">
        <v>5</v>
      </c>
      <c r="K223" s="27" t="s">
        <v>70</v>
      </c>
      <c r="L223" s="27" t="s">
        <v>101</v>
      </c>
      <c r="M223" s="32"/>
    </row>
    <row r="224" spans="1:13" ht="15.2" customHeight="1" x14ac:dyDescent="0.2">
      <c r="A224" s="26" t="s">
        <v>5237</v>
      </c>
      <c r="B224" s="27" t="s">
        <v>5238</v>
      </c>
      <c r="C224" s="28">
        <v>1</v>
      </c>
      <c r="D224" s="29">
        <v>16.5</v>
      </c>
      <c r="E224" s="29">
        <v>16.5</v>
      </c>
      <c r="F224" s="30">
        <v>59</v>
      </c>
      <c r="G224" s="29">
        <v>59</v>
      </c>
      <c r="H224" s="28" t="s">
        <v>5239</v>
      </c>
      <c r="I224" s="27" t="s">
        <v>189</v>
      </c>
      <c r="J224" s="31" t="s">
        <v>5</v>
      </c>
      <c r="K224" s="27" t="s">
        <v>24</v>
      </c>
      <c r="L224" s="27" t="s">
        <v>101</v>
      </c>
      <c r="M224" s="32"/>
    </row>
    <row r="225" spans="1:13" ht="15.2" customHeight="1" x14ac:dyDescent="0.2">
      <c r="A225" s="26" t="s">
        <v>2007</v>
      </c>
      <c r="B225" s="27" t="s">
        <v>2008</v>
      </c>
      <c r="C225" s="28">
        <v>1</v>
      </c>
      <c r="D225" s="29">
        <v>16.329999999999998</v>
      </c>
      <c r="E225" s="29">
        <v>16.329999999999998</v>
      </c>
      <c r="F225" s="30">
        <v>44.5</v>
      </c>
      <c r="G225" s="29">
        <v>44.5</v>
      </c>
      <c r="H225" s="28" t="s">
        <v>1005</v>
      </c>
      <c r="I225" s="27" t="s">
        <v>4</v>
      </c>
      <c r="J225" s="31" t="s">
        <v>5</v>
      </c>
      <c r="K225" s="27" t="s">
        <v>53</v>
      </c>
      <c r="L225" s="27" t="s">
        <v>54</v>
      </c>
      <c r="M225" s="32"/>
    </row>
    <row r="226" spans="1:13" ht="15.2" customHeight="1" x14ac:dyDescent="0.2">
      <c r="A226" s="26" t="s">
        <v>5240</v>
      </c>
      <c r="B226" s="27" t="s">
        <v>5241</v>
      </c>
      <c r="C226" s="28">
        <v>1</v>
      </c>
      <c r="D226" s="29">
        <v>16</v>
      </c>
      <c r="E226" s="29">
        <v>16</v>
      </c>
      <c r="F226" s="30">
        <v>34.99</v>
      </c>
      <c r="G226" s="29">
        <v>34.99</v>
      </c>
      <c r="H226" s="28" t="s">
        <v>4780</v>
      </c>
      <c r="I226" s="27" t="s">
        <v>265</v>
      </c>
      <c r="J226" s="31" t="s">
        <v>40</v>
      </c>
      <c r="K226" s="27" t="s">
        <v>208</v>
      </c>
      <c r="L226" s="27" t="s">
        <v>197</v>
      </c>
      <c r="M226" s="32"/>
    </row>
    <row r="227" spans="1:13" ht="15.2" customHeight="1" x14ac:dyDescent="0.2">
      <c r="A227" s="26" t="s">
        <v>5242</v>
      </c>
      <c r="B227" s="27" t="s">
        <v>5243</v>
      </c>
      <c r="C227" s="28">
        <v>1</v>
      </c>
      <c r="D227" s="29">
        <v>16</v>
      </c>
      <c r="E227" s="29">
        <v>16</v>
      </c>
      <c r="F227" s="30">
        <v>34.99</v>
      </c>
      <c r="G227" s="29">
        <v>34.99</v>
      </c>
      <c r="H227" s="28" t="s">
        <v>4780</v>
      </c>
      <c r="I227" s="27" t="s">
        <v>265</v>
      </c>
      <c r="J227" s="31" t="s">
        <v>5</v>
      </c>
      <c r="K227" s="27" t="s">
        <v>208</v>
      </c>
      <c r="L227" s="27" t="s">
        <v>197</v>
      </c>
      <c r="M227" s="32"/>
    </row>
    <row r="228" spans="1:13" ht="15.2" customHeight="1" x14ac:dyDescent="0.2">
      <c r="A228" s="26" t="s">
        <v>4516</v>
      </c>
      <c r="B228" s="27" t="s">
        <v>4517</v>
      </c>
      <c r="C228" s="28">
        <v>1</v>
      </c>
      <c r="D228" s="29">
        <v>16</v>
      </c>
      <c r="E228" s="29">
        <v>16</v>
      </c>
      <c r="F228" s="30">
        <v>59</v>
      </c>
      <c r="G228" s="29">
        <v>59</v>
      </c>
      <c r="H228" s="28" t="s">
        <v>515</v>
      </c>
      <c r="I228" s="27" t="s">
        <v>22</v>
      </c>
      <c r="J228" s="31" t="s">
        <v>50</v>
      </c>
      <c r="K228" s="27" t="s">
        <v>132</v>
      </c>
      <c r="L228" s="27" t="s">
        <v>514</v>
      </c>
      <c r="M228" s="32"/>
    </row>
    <row r="229" spans="1:13" ht="15.2" customHeight="1" x14ac:dyDescent="0.2">
      <c r="A229" s="26" t="s">
        <v>5244</v>
      </c>
      <c r="B229" s="27" t="s">
        <v>5245</v>
      </c>
      <c r="C229" s="28">
        <v>1</v>
      </c>
      <c r="D229" s="29">
        <v>14.5</v>
      </c>
      <c r="E229" s="29">
        <v>14.5</v>
      </c>
      <c r="F229" s="30">
        <v>29.99</v>
      </c>
      <c r="G229" s="29">
        <v>29.99</v>
      </c>
      <c r="H229" s="28" t="s">
        <v>4781</v>
      </c>
      <c r="I229" s="27" t="s">
        <v>29</v>
      </c>
      <c r="J229" s="31" t="s">
        <v>214</v>
      </c>
      <c r="K229" s="27" t="s">
        <v>200</v>
      </c>
      <c r="L229" s="27" t="s">
        <v>552</v>
      </c>
      <c r="M229" s="32"/>
    </row>
    <row r="230" spans="1:13" ht="15.2" customHeight="1" x14ac:dyDescent="0.2">
      <c r="A230" s="26" t="s">
        <v>536</v>
      </c>
      <c r="B230" s="27" t="s">
        <v>537</v>
      </c>
      <c r="C230" s="28">
        <v>1</v>
      </c>
      <c r="D230" s="29">
        <v>14.42</v>
      </c>
      <c r="E230" s="29">
        <v>14.42</v>
      </c>
      <c r="F230" s="30">
        <v>39.5</v>
      </c>
      <c r="G230" s="29">
        <v>39.5</v>
      </c>
      <c r="H230" s="28" t="s">
        <v>532</v>
      </c>
      <c r="I230" s="27" t="s">
        <v>49</v>
      </c>
      <c r="J230" s="31" t="s">
        <v>52</v>
      </c>
      <c r="K230" s="27" t="s">
        <v>41</v>
      </c>
      <c r="L230" s="27" t="s">
        <v>45</v>
      </c>
      <c r="M230" s="32"/>
    </row>
    <row r="231" spans="1:13" ht="15.2" customHeight="1" x14ac:dyDescent="0.2">
      <c r="A231" s="26" t="s">
        <v>5246</v>
      </c>
      <c r="B231" s="27" t="s">
        <v>528</v>
      </c>
      <c r="C231" s="28">
        <v>1</v>
      </c>
      <c r="D231" s="29">
        <v>14.42</v>
      </c>
      <c r="E231" s="29">
        <v>14.42</v>
      </c>
      <c r="F231" s="30">
        <v>39.5</v>
      </c>
      <c r="G231" s="29">
        <v>39.5</v>
      </c>
      <c r="H231" s="28" t="s">
        <v>529</v>
      </c>
      <c r="I231" s="27" t="s">
        <v>22</v>
      </c>
      <c r="J231" s="31" t="s">
        <v>40</v>
      </c>
      <c r="K231" s="27" t="s">
        <v>41</v>
      </c>
      <c r="L231" s="27" t="s">
        <v>45</v>
      </c>
      <c r="M231" s="32"/>
    </row>
    <row r="232" spans="1:13" ht="15.2" customHeight="1" x14ac:dyDescent="0.2">
      <c r="A232" s="26" t="s">
        <v>2462</v>
      </c>
      <c r="B232" s="27" t="s">
        <v>528</v>
      </c>
      <c r="C232" s="28">
        <v>1</v>
      </c>
      <c r="D232" s="29">
        <v>14.42</v>
      </c>
      <c r="E232" s="29">
        <v>14.42</v>
      </c>
      <c r="F232" s="30">
        <v>39.5</v>
      </c>
      <c r="G232" s="29">
        <v>39.5</v>
      </c>
      <c r="H232" s="28" t="s">
        <v>529</v>
      </c>
      <c r="I232" s="27" t="s">
        <v>280</v>
      </c>
      <c r="J232" s="31" t="s">
        <v>21</v>
      </c>
      <c r="K232" s="27" t="s">
        <v>41</v>
      </c>
      <c r="L232" s="27" t="s">
        <v>45</v>
      </c>
      <c r="M232" s="32"/>
    </row>
    <row r="233" spans="1:13" ht="15.2" customHeight="1" x14ac:dyDescent="0.2">
      <c r="A233" s="26" t="s">
        <v>5247</v>
      </c>
      <c r="B233" s="27" t="s">
        <v>5248</v>
      </c>
      <c r="C233" s="28">
        <v>1</v>
      </c>
      <c r="D233" s="29">
        <v>14.42</v>
      </c>
      <c r="E233" s="29">
        <v>14.42</v>
      </c>
      <c r="F233" s="30">
        <v>39.5</v>
      </c>
      <c r="G233" s="29">
        <v>39.5</v>
      </c>
      <c r="H233" s="28" t="s">
        <v>4863</v>
      </c>
      <c r="I233" s="27" t="s">
        <v>4</v>
      </c>
      <c r="J233" s="31" t="s">
        <v>52</v>
      </c>
      <c r="K233" s="27" t="s">
        <v>41</v>
      </c>
      <c r="L233" s="27" t="s">
        <v>83</v>
      </c>
      <c r="M233" s="32"/>
    </row>
    <row r="234" spans="1:13" ht="15.2" customHeight="1" x14ac:dyDescent="0.2">
      <c r="A234" s="26" t="s">
        <v>2014</v>
      </c>
      <c r="B234" s="27" t="s">
        <v>539</v>
      </c>
      <c r="C234" s="28">
        <v>1</v>
      </c>
      <c r="D234" s="29">
        <v>14.42</v>
      </c>
      <c r="E234" s="29">
        <v>14.42</v>
      </c>
      <c r="F234" s="30">
        <v>39.5</v>
      </c>
      <c r="G234" s="29">
        <v>39.5</v>
      </c>
      <c r="H234" s="28" t="s">
        <v>540</v>
      </c>
      <c r="I234" s="27" t="s">
        <v>1</v>
      </c>
      <c r="J234" s="31" t="s">
        <v>5</v>
      </c>
      <c r="K234" s="27" t="s">
        <v>41</v>
      </c>
      <c r="L234" s="27" t="s">
        <v>80</v>
      </c>
      <c r="M234" s="32"/>
    </row>
    <row r="235" spans="1:13" ht="15.2" customHeight="1" x14ac:dyDescent="0.2">
      <c r="A235" s="26" t="s">
        <v>5249</v>
      </c>
      <c r="B235" s="27" t="s">
        <v>4673</v>
      </c>
      <c r="C235" s="28">
        <v>1</v>
      </c>
      <c r="D235" s="29">
        <v>14.4</v>
      </c>
      <c r="E235" s="29">
        <v>14.4</v>
      </c>
      <c r="F235" s="30">
        <v>39.5</v>
      </c>
      <c r="G235" s="29">
        <v>39.5</v>
      </c>
      <c r="H235" s="28" t="s">
        <v>4674</v>
      </c>
      <c r="I235" s="27" t="s">
        <v>82</v>
      </c>
      <c r="J235" s="31" t="s">
        <v>65</v>
      </c>
      <c r="K235" s="27" t="s">
        <v>41</v>
      </c>
      <c r="L235" s="27" t="s">
        <v>45</v>
      </c>
      <c r="M235" s="32"/>
    </row>
    <row r="236" spans="1:13" ht="15.2" customHeight="1" x14ac:dyDescent="0.2">
      <c r="A236" s="26" t="s">
        <v>5250</v>
      </c>
      <c r="B236" s="27" t="s">
        <v>5251</v>
      </c>
      <c r="C236" s="28">
        <v>1</v>
      </c>
      <c r="D236" s="29">
        <v>14.25</v>
      </c>
      <c r="E236" s="29">
        <v>14.25</v>
      </c>
      <c r="F236" s="30">
        <v>29.99</v>
      </c>
      <c r="G236" s="29">
        <v>29.99</v>
      </c>
      <c r="H236" s="28" t="s">
        <v>551</v>
      </c>
      <c r="I236" s="27" t="s">
        <v>59</v>
      </c>
      <c r="J236" s="31" t="s">
        <v>23</v>
      </c>
      <c r="K236" s="27" t="s">
        <v>200</v>
      </c>
      <c r="L236" s="27" t="s">
        <v>552</v>
      </c>
      <c r="M236" s="32"/>
    </row>
    <row r="237" spans="1:13" ht="15.2" customHeight="1" x14ac:dyDescent="0.2">
      <c r="A237" s="26" t="s">
        <v>2464</v>
      </c>
      <c r="B237" s="27" t="s">
        <v>2465</v>
      </c>
      <c r="C237" s="28">
        <v>1</v>
      </c>
      <c r="D237" s="29">
        <v>14.25</v>
      </c>
      <c r="E237" s="29">
        <v>14.25</v>
      </c>
      <c r="F237" s="30">
        <v>29.99</v>
      </c>
      <c r="G237" s="29">
        <v>29.99</v>
      </c>
      <c r="H237" s="28" t="s">
        <v>2466</v>
      </c>
      <c r="I237" s="27" t="s">
        <v>10</v>
      </c>
      <c r="J237" s="31" t="s">
        <v>69</v>
      </c>
      <c r="K237" s="27" t="s">
        <v>200</v>
      </c>
      <c r="L237" s="27" t="s">
        <v>552</v>
      </c>
      <c r="M237" s="32"/>
    </row>
    <row r="238" spans="1:13" ht="15.2" customHeight="1" x14ac:dyDescent="0.2">
      <c r="A238" s="26" t="s">
        <v>4520</v>
      </c>
      <c r="B238" s="27" t="s">
        <v>4521</v>
      </c>
      <c r="C238" s="28">
        <v>1</v>
      </c>
      <c r="D238" s="29">
        <v>14.25</v>
      </c>
      <c r="E238" s="29">
        <v>14.25</v>
      </c>
      <c r="F238" s="30">
        <v>29.99</v>
      </c>
      <c r="G238" s="29">
        <v>29.99</v>
      </c>
      <c r="H238" s="28" t="s">
        <v>2467</v>
      </c>
      <c r="I238" s="27" t="s">
        <v>746</v>
      </c>
      <c r="J238" s="31" t="s">
        <v>205</v>
      </c>
      <c r="K238" s="27" t="s">
        <v>200</v>
      </c>
      <c r="L238" s="27" t="s">
        <v>552</v>
      </c>
      <c r="M238" s="32"/>
    </row>
    <row r="239" spans="1:13" ht="15.2" customHeight="1" x14ac:dyDescent="0.2">
      <c r="A239" s="26" t="s">
        <v>5252</v>
      </c>
      <c r="B239" s="27" t="s">
        <v>5253</v>
      </c>
      <c r="C239" s="28">
        <v>1</v>
      </c>
      <c r="D239" s="29">
        <v>14.25</v>
      </c>
      <c r="E239" s="29">
        <v>14.25</v>
      </c>
      <c r="F239" s="30">
        <v>29.99</v>
      </c>
      <c r="G239" s="29">
        <v>29.99</v>
      </c>
      <c r="H239" s="28" t="s">
        <v>551</v>
      </c>
      <c r="I239" s="27" t="s">
        <v>59</v>
      </c>
      <c r="J239" s="31" t="s">
        <v>216</v>
      </c>
      <c r="K239" s="27" t="s">
        <v>200</v>
      </c>
      <c r="L239" s="27" t="s">
        <v>552</v>
      </c>
      <c r="M239" s="32"/>
    </row>
    <row r="240" spans="1:13" ht="15.2" customHeight="1" x14ac:dyDescent="0.2">
      <c r="A240" s="26" t="s">
        <v>5254</v>
      </c>
      <c r="B240" s="27" t="s">
        <v>5255</v>
      </c>
      <c r="C240" s="28">
        <v>1</v>
      </c>
      <c r="D240" s="29">
        <v>14.25</v>
      </c>
      <c r="E240" s="29">
        <v>14.25</v>
      </c>
      <c r="F240" s="30">
        <v>29.99</v>
      </c>
      <c r="G240" s="29">
        <v>29.99</v>
      </c>
      <c r="H240" s="28" t="s">
        <v>2467</v>
      </c>
      <c r="I240" s="27" t="s">
        <v>746</v>
      </c>
      <c r="J240" s="31" t="s">
        <v>69</v>
      </c>
      <c r="K240" s="27" t="s">
        <v>200</v>
      </c>
      <c r="L240" s="27" t="s">
        <v>552</v>
      </c>
      <c r="M240" s="32"/>
    </row>
    <row r="241" spans="1:13" ht="15.2" customHeight="1" x14ac:dyDescent="0.2">
      <c r="A241" s="26" t="s">
        <v>5256</v>
      </c>
      <c r="B241" s="27" t="s">
        <v>5257</v>
      </c>
      <c r="C241" s="28">
        <v>1</v>
      </c>
      <c r="D241" s="29">
        <v>13.25</v>
      </c>
      <c r="E241" s="29">
        <v>13.25</v>
      </c>
      <c r="F241" s="30">
        <v>29.99</v>
      </c>
      <c r="G241" s="29">
        <v>29.99</v>
      </c>
      <c r="H241" s="28" t="s">
        <v>5258</v>
      </c>
      <c r="I241" s="27" t="s">
        <v>59</v>
      </c>
      <c r="J241" s="31" t="s">
        <v>216</v>
      </c>
      <c r="K241" s="27" t="s">
        <v>200</v>
      </c>
      <c r="L241" s="27" t="s">
        <v>1196</v>
      </c>
      <c r="M241" s="32"/>
    </row>
    <row r="242" spans="1:13" ht="15.2" customHeight="1" x14ac:dyDescent="0.2">
      <c r="A242" s="26" t="s">
        <v>5259</v>
      </c>
      <c r="B242" s="27" t="s">
        <v>5260</v>
      </c>
      <c r="C242" s="28">
        <v>1</v>
      </c>
      <c r="D242" s="29">
        <v>13.05</v>
      </c>
      <c r="E242" s="29">
        <v>13.05</v>
      </c>
      <c r="F242" s="30">
        <v>34.99</v>
      </c>
      <c r="G242" s="29">
        <v>34.99</v>
      </c>
      <c r="H242" s="28" t="s">
        <v>4522</v>
      </c>
      <c r="I242" s="27" t="s">
        <v>59</v>
      </c>
      <c r="J242" s="31" t="s">
        <v>234</v>
      </c>
      <c r="K242" s="27" t="s">
        <v>200</v>
      </c>
      <c r="L242" s="27" t="s">
        <v>287</v>
      </c>
      <c r="M242" s="32"/>
    </row>
    <row r="243" spans="1:13" ht="15.2" customHeight="1" x14ac:dyDescent="0.2">
      <c r="A243" s="26" t="s">
        <v>5261</v>
      </c>
      <c r="B243" s="27" t="s">
        <v>5262</v>
      </c>
      <c r="C243" s="28">
        <v>1</v>
      </c>
      <c r="D243" s="29">
        <v>13.05</v>
      </c>
      <c r="E243" s="29">
        <v>13.05</v>
      </c>
      <c r="F243" s="30">
        <v>34.99</v>
      </c>
      <c r="G243" s="29">
        <v>34.99</v>
      </c>
      <c r="H243" s="28" t="s">
        <v>5263</v>
      </c>
      <c r="I243" s="27" t="s">
        <v>1</v>
      </c>
      <c r="J243" s="31" t="s">
        <v>214</v>
      </c>
      <c r="K243" s="27" t="s">
        <v>200</v>
      </c>
      <c r="L243" s="27" t="s">
        <v>287</v>
      </c>
      <c r="M243" s="32"/>
    </row>
    <row r="244" spans="1:13" ht="15.2" customHeight="1" x14ac:dyDescent="0.2">
      <c r="A244" s="26" t="s">
        <v>5264</v>
      </c>
      <c r="B244" s="27" t="s">
        <v>5265</v>
      </c>
      <c r="C244" s="28">
        <v>1</v>
      </c>
      <c r="D244" s="29">
        <v>12.65</v>
      </c>
      <c r="E244" s="29">
        <v>12.65</v>
      </c>
      <c r="F244" s="30">
        <v>29</v>
      </c>
      <c r="G244" s="29">
        <v>29</v>
      </c>
      <c r="H244" s="28" t="s">
        <v>4525</v>
      </c>
      <c r="I244" s="27" t="s">
        <v>1</v>
      </c>
      <c r="J244" s="31" t="s">
        <v>214</v>
      </c>
      <c r="K244" s="27" t="s">
        <v>200</v>
      </c>
      <c r="L244" s="27" t="s">
        <v>765</v>
      </c>
      <c r="M244" s="32"/>
    </row>
    <row r="245" spans="1:13" ht="15.2" customHeight="1" x14ac:dyDescent="0.2">
      <c r="A245" s="26" t="s">
        <v>5266</v>
      </c>
      <c r="B245" s="27" t="s">
        <v>5267</v>
      </c>
      <c r="C245" s="28">
        <v>1</v>
      </c>
      <c r="D245" s="29">
        <v>12.5</v>
      </c>
      <c r="E245" s="29">
        <v>12.5</v>
      </c>
      <c r="F245" s="30">
        <v>27.99</v>
      </c>
      <c r="G245" s="29">
        <v>27.99</v>
      </c>
      <c r="H245" s="28" t="s">
        <v>4528</v>
      </c>
      <c r="I245" s="27" t="s">
        <v>33</v>
      </c>
      <c r="J245" s="31" t="s">
        <v>21</v>
      </c>
      <c r="K245" s="27" t="s">
        <v>208</v>
      </c>
      <c r="L245" s="27" t="s">
        <v>197</v>
      </c>
      <c r="M245" s="32"/>
    </row>
    <row r="246" spans="1:13" ht="15.2" customHeight="1" x14ac:dyDescent="0.2">
      <c r="A246" s="26" t="s">
        <v>5268</v>
      </c>
      <c r="B246" s="27" t="s">
        <v>5269</v>
      </c>
      <c r="C246" s="28">
        <v>1</v>
      </c>
      <c r="D246" s="29">
        <v>12.5</v>
      </c>
      <c r="E246" s="29">
        <v>12.5</v>
      </c>
      <c r="F246" s="30">
        <v>27.99</v>
      </c>
      <c r="G246" s="29">
        <v>27.99</v>
      </c>
      <c r="H246" s="28" t="s">
        <v>4528</v>
      </c>
      <c r="I246" s="27" t="s">
        <v>33</v>
      </c>
      <c r="J246" s="31" t="s">
        <v>71</v>
      </c>
      <c r="K246" s="27" t="s">
        <v>208</v>
      </c>
      <c r="L246" s="27" t="s">
        <v>197</v>
      </c>
      <c r="M246" s="32"/>
    </row>
    <row r="247" spans="1:13" ht="15.2" customHeight="1" x14ac:dyDescent="0.2">
      <c r="A247" s="26" t="s">
        <v>4683</v>
      </c>
      <c r="B247" s="27" t="s">
        <v>4684</v>
      </c>
      <c r="C247" s="28">
        <v>1</v>
      </c>
      <c r="D247" s="29">
        <v>12.5</v>
      </c>
      <c r="E247" s="29">
        <v>12.5</v>
      </c>
      <c r="F247" s="30">
        <v>29.99</v>
      </c>
      <c r="G247" s="29">
        <v>29.99</v>
      </c>
      <c r="H247" s="28" t="s">
        <v>4682</v>
      </c>
      <c r="I247" s="27" t="s">
        <v>10</v>
      </c>
      <c r="J247" s="31" t="s">
        <v>214</v>
      </c>
      <c r="K247" s="27" t="s">
        <v>200</v>
      </c>
      <c r="L247" s="27" t="s">
        <v>133</v>
      </c>
      <c r="M247" s="32"/>
    </row>
    <row r="248" spans="1:13" ht="15.2" customHeight="1" x14ac:dyDescent="0.2">
      <c r="A248" s="26" t="s">
        <v>5270</v>
      </c>
      <c r="B248" s="27" t="s">
        <v>5271</v>
      </c>
      <c r="C248" s="28">
        <v>1</v>
      </c>
      <c r="D248" s="29">
        <v>12.5</v>
      </c>
      <c r="E248" s="29">
        <v>12.5</v>
      </c>
      <c r="F248" s="30">
        <v>29.99</v>
      </c>
      <c r="G248" s="29">
        <v>29.99</v>
      </c>
      <c r="H248" s="28" t="s">
        <v>4682</v>
      </c>
      <c r="I248" s="27" t="s">
        <v>10</v>
      </c>
      <c r="J248" s="31" t="s">
        <v>113</v>
      </c>
      <c r="K248" s="27" t="s">
        <v>200</v>
      </c>
      <c r="L248" s="27" t="s">
        <v>133</v>
      </c>
      <c r="M248" s="32"/>
    </row>
    <row r="249" spans="1:13" ht="15.2" customHeight="1" x14ac:dyDescent="0.2">
      <c r="A249" s="26" t="s">
        <v>5272</v>
      </c>
      <c r="B249" s="27" t="s">
        <v>5273</v>
      </c>
      <c r="C249" s="28">
        <v>1</v>
      </c>
      <c r="D249" s="29">
        <v>12.5</v>
      </c>
      <c r="E249" s="29">
        <v>12.5</v>
      </c>
      <c r="F249" s="30">
        <v>27.99</v>
      </c>
      <c r="G249" s="29">
        <v>27.99</v>
      </c>
      <c r="H249" s="28" t="s">
        <v>4528</v>
      </c>
      <c r="I249" s="27" t="s">
        <v>1</v>
      </c>
      <c r="J249" s="31" t="s">
        <v>52</v>
      </c>
      <c r="K249" s="27" t="s">
        <v>208</v>
      </c>
      <c r="L249" s="27" t="s">
        <v>197</v>
      </c>
      <c r="M249" s="32"/>
    </row>
    <row r="250" spans="1:13" ht="15.2" customHeight="1" x14ac:dyDescent="0.2">
      <c r="A250" s="26" t="s">
        <v>5274</v>
      </c>
      <c r="B250" s="27" t="s">
        <v>5275</v>
      </c>
      <c r="C250" s="28">
        <v>1</v>
      </c>
      <c r="D250" s="29">
        <v>12.5</v>
      </c>
      <c r="E250" s="29">
        <v>12.5</v>
      </c>
      <c r="F250" s="30">
        <v>27.99</v>
      </c>
      <c r="G250" s="29">
        <v>27.99</v>
      </c>
      <c r="H250" s="28" t="s">
        <v>4528</v>
      </c>
      <c r="I250" s="27" t="s">
        <v>33</v>
      </c>
      <c r="J250" s="31" t="s">
        <v>5</v>
      </c>
      <c r="K250" s="27" t="s">
        <v>208</v>
      </c>
      <c r="L250" s="27" t="s">
        <v>197</v>
      </c>
      <c r="M250" s="32"/>
    </row>
    <row r="251" spans="1:13" ht="15.2" customHeight="1" x14ac:dyDescent="0.2">
      <c r="A251" s="26" t="s">
        <v>5276</v>
      </c>
      <c r="B251" s="27" t="s">
        <v>5277</v>
      </c>
      <c r="C251" s="28">
        <v>1</v>
      </c>
      <c r="D251" s="29">
        <v>12.5</v>
      </c>
      <c r="E251" s="29">
        <v>12.5</v>
      </c>
      <c r="F251" s="30">
        <v>27.99</v>
      </c>
      <c r="G251" s="29">
        <v>27.99</v>
      </c>
      <c r="H251" s="28" t="s">
        <v>4528</v>
      </c>
      <c r="I251" s="27" t="s">
        <v>1</v>
      </c>
      <c r="J251" s="31" t="s">
        <v>40</v>
      </c>
      <c r="K251" s="27" t="s">
        <v>208</v>
      </c>
      <c r="L251" s="27" t="s">
        <v>197</v>
      </c>
      <c r="M251" s="32"/>
    </row>
    <row r="252" spans="1:13" ht="15.2" customHeight="1" x14ac:dyDescent="0.2">
      <c r="A252" s="26" t="s">
        <v>5278</v>
      </c>
      <c r="B252" s="27" t="s">
        <v>5279</v>
      </c>
      <c r="C252" s="28">
        <v>2</v>
      </c>
      <c r="D252" s="29">
        <v>12.5</v>
      </c>
      <c r="E252" s="29">
        <v>25</v>
      </c>
      <c r="F252" s="30">
        <v>27.99</v>
      </c>
      <c r="G252" s="29">
        <v>55.98</v>
      </c>
      <c r="H252" s="28" t="s">
        <v>4528</v>
      </c>
      <c r="I252" s="27" t="s">
        <v>33</v>
      </c>
      <c r="J252" s="31" t="s">
        <v>40</v>
      </c>
      <c r="K252" s="27" t="s">
        <v>208</v>
      </c>
      <c r="L252" s="27" t="s">
        <v>197</v>
      </c>
      <c r="M252" s="32"/>
    </row>
    <row r="253" spans="1:13" ht="15.2" customHeight="1" x14ac:dyDescent="0.2">
      <c r="A253" s="26" t="s">
        <v>5280</v>
      </c>
      <c r="B253" s="27" t="s">
        <v>5281</v>
      </c>
      <c r="C253" s="28">
        <v>1</v>
      </c>
      <c r="D253" s="29">
        <v>12.5</v>
      </c>
      <c r="E253" s="29">
        <v>12.5</v>
      </c>
      <c r="F253" s="30">
        <v>27.99</v>
      </c>
      <c r="G253" s="29">
        <v>27.99</v>
      </c>
      <c r="H253" s="28" t="s">
        <v>4528</v>
      </c>
      <c r="I253" s="27" t="s">
        <v>33</v>
      </c>
      <c r="J253" s="31" t="s">
        <v>52</v>
      </c>
      <c r="K253" s="27" t="s">
        <v>208</v>
      </c>
      <c r="L253" s="27" t="s">
        <v>197</v>
      </c>
      <c r="M253" s="32"/>
    </row>
    <row r="254" spans="1:13" ht="15.2" customHeight="1" x14ac:dyDescent="0.2">
      <c r="A254" s="26" t="s">
        <v>4526</v>
      </c>
      <c r="B254" s="27" t="s">
        <v>4527</v>
      </c>
      <c r="C254" s="28">
        <v>2</v>
      </c>
      <c r="D254" s="29">
        <v>12.5</v>
      </c>
      <c r="E254" s="29">
        <v>25</v>
      </c>
      <c r="F254" s="30">
        <v>27.99</v>
      </c>
      <c r="G254" s="29">
        <v>55.98</v>
      </c>
      <c r="H254" s="28" t="s">
        <v>4528</v>
      </c>
      <c r="I254" s="27" t="s">
        <v>1</v>
      </c>
      <c r="J254" s="31" t="s">
        <v>5</v>
      </c>
      <c r="K254" s="27" t="s">
        <v>208</v>
      </c>
      <c r="L254" s="27" t="s">
        <v>197</v>
      </c>
      <c r="M254" s="32"/>
    </row>
    <row r="255" spans="1:13" ht="15.2" customHeight="1" x14ac:dyDescent="0.2">
      <c r="A255" s="26" t="s">
        <v>5282</v>
      </c>
      <c r="B255" s="27" t="s">
        <v>5283</v>
      </c>
      <c r="C255" s="28">
        <v>1</v>
      </c>
      <c r="D255" s="29">
        <v>12.5</v>
      </c>
      <c r="E255" s="29">
        <v>12.5</v>
      </c>
      <c r="F255" s="30">
        <v>27.99</v>
      </c>
      <c r="G255" s="29">
        <v>27.99</v>
      </c>
      <c r="H255" s="28" t="s">
        <v>4528</v>
      </c>
      <c r="I255" s="27" t="s">
        <v>1</v>
      </c>
      <c r="J255" s="31" t="s">
        <v>71</v>
      </c>
      <c r="K255" s="27" t="s">
        <v>208</v>
      </c>
      <c r="L255" s="27" t="s">
        <v>197</v>
      </c>
      <c r="M255" s="32"/>
    </row>
    <row r="256" spans="1:13" ht="15.2" customHeight="1" x14ac:dyDescent="0.2">
      <c r="A256" s="26" t="s">
        <v>553</v>
      </c>
      <c r="B256" s="27" t="s">
        <v>554</v>
      </c>
      <c r="C256" s="28">
        <v>1</v>
      </c>
      <c r="D256" s="29">
        <v>12.5</v>
      </c>
      <c r="E256" s="29">
        <v>12.5</v>
      </c>
      <c r="F256" s="30">
        <v>39</v>
      </c>
      <c r="G256" s="29">
        <v>39</v>
      </c>
      <c r="H256" s="28" t="s">
        <v>555</v>
      </c>
      <c r="I256" s="27"/>
      <c r="J256" s="31" t="s">
        <v>5</v>
      </c>
      <c r="K256" s="27" t="s">
        <v>154</v>
      </c>
      <c r="L256" s="27" t="s">
        <v>155</v>
      </c>
      <c r="M256" s="32"/>
    </row>
    <row r="257" spans="1:13" ht="15.2" customHeight="1" x14ac:dyDescent="0.2">
      <c r="A257" s="26" t="s">
        <v>4784</v>
      </c>
      <c r="B257" s="27" t="s">
        <v>4785</v>
      </c>
      <c r="C257" s="28">
        <v>1</v>
      </c>
      <c r="D257" s="29">
        <v>12</v>
      </c>
      <c r="E257" s="29">
        <v>12</v>
      </c>
      <c r="F257" s="30">
        <v>49</v>
      </c>
      <c r="G257" s="29">
        <v>49</v>
      </c>
      <c r="H257" s="28" t="s">
        <v>2021</v>
      </c>
      <c r="I257" s="27" t="s">
        <v>22</v>
      </c>
      <c r="J257" s="31" t="s">
        <v>32</v>
      </c>
      <c r="K257" s="27" t="s">
        <v>132</v>
      </c>
      <c r="L257" s="27" t="s">
        <v>226</v>
      </c>
      <c r="M257" s="32"/>
    </row>
    <row r="258" spans="1:13" ht="15.2" customHeight="1" x14ac:dyDescent="0.2">
      <c r="A258" s="26" t="s">
        <v>5284</v>
      </c>
      <c r="B258" s="27" t="s">
        <v>5285</v>
      </c>
      <c r="C258" s="28">
        <v>1</v>
      </c>
      <c r="D258" s="29">
        <v>12</v>
      </c>
      <c r="E258" s="29">
        <v>12</v>
      </c>
      <c r="F258" s="30">
        <v>49</v>
      </c>
      <c r="G258" s="29">
        <v>49</v>
      </c>
      <c r="H258" s="28" t="s">
        <v>2021</v>
      </c>
      <c r="I258" s="27" t="s">
        <v>22</v>
      </c>
      <c r="J258" s="31" t="s">
        <v>30</v>
      </c>
      <c r="K258" s="27" t="s">
        <v>132</v>
      </c>
      <c r="L258" s="27" t="s">
        <v>226</v>
      </c>
      <c r="M258" s="32"/>
    </row>
    <row r="259" spans="1:13" ht="15.2" customHeight="1" x14ac:dyDescent="0.2">
      <c r="A259" s="26" t="s">
        <v>5286</v>
      </c>
      <c r="B259" s="27" t="s">
        <v>5287</v>
      </c>
      <c r="C259" s="28">
        <v>1</v>
      </c>
      <c r="D259" s="29">
        <v>11.5</v>
      </c>
      <c r="E259" s="29">
        <v>11.5</v>
      </c>
      <c r="F259" s="30">
        <v>22.99</v>
      </c>
      <c r="G259" s="29">
        <v>22.99</v>
      </c>
      <c r="H259" s="28" t="s">
        <v>4531</v>
      </c>
      <c r="I259" s="27" t="s">
        <v>10</v>
      </c>
      <c r="J259" s="31" t="s">
        <v>52</v>
      </c>
      <c r="K259" s="27" t="s">
        <v>200</v>
      </c>
      <c r="L259" s="27" t="s">
        <v>552</v>
      </c>
      <c r="M259" s="32"/>
    </row>
    <row r="260" spans="1:13" ht="15.2" customHeight="1" x14ac:dyDescent="0.2">
      <c r="A260" s="26" t="s">
        <v>5288</v>
      </c>
      <c r="B260" s="27" t="s">
        <v>5289</v>
      </c>
      <c r="C260" s="28">
        <v>1</v>
      </c>
      <c r="D260" s="29">
        <v>11.5</v>
      </c>
      <c r="E260" s="29">
        <v>11.5</v>
      </c>
      <c r="F260" s="30">
        <v>25.99</v>
      </c>
      <c r="G260" s="29">
        <v>25.99</v>
      </c>
      <c r="H260" s="28" t="s">
        <v>4529</v>
      </c>
      <c r="I260" s="27" t="s">
        <v>343</v>
      </c>
      <c r="J260" s="31" t="s">
        <v>23</v>
      </c>
      <c r="K260" s="27" t="s">
        <v>200</v>
      </c>
      <c r="L260" s="27" t="s">
        <v>741</v>
      </c>
      <c r="M260" s="32"/>
    </row>
    <row r="261" spans="1:13" ht="15.2" customHeight="1" x14ac:dyDescent="0.2">
      <c r="A261" s="26" t="s">
        <v>4870</v>
      </c>
      <c r="B261" s="27" t="s">
        <v>4868</v>
      </c>
      <c r="C261" s="28">
        <v>1</v>
      </c>
      <c r="D261" s="29">
        <v>11.5</v>
      </c>
      <c r="E261" s="29">
        <v>11.5</v>
      </c>
      <c r="F261" s="30">
        <v>25.99</v>
      </c>
      <c r="G261" s="29">
        <v>25.99</v>
      </c>
      <c r="H261" s="28" t="s">
        <v>4869</v>
      </c>
      <c r="I261" s="27" t="s">
        <v>29</v>
      </c>
      <c r="J261" s="31" t="s">
        <v>69</v>
      </c>
      <c r="K261" s="27" t="s">
        <v>200</v>
      </c>
      <c r="L261" s="27" t="s">
        <v>133</v>
      </c>
      <c r="M261" s="32"/>
    </row>
    <row r="262" spans="1:13" ht="15.2" customHeight="1" x14ac:dyDescent="0.2">
      <c r="A262" s="26" t="s">
        <v>1029</v>
      </c>
      <c r="B262" s="27" t="s">
        <v>1030</v>
      </c>
      <c r="C262" s="28">
        <v>1</v>
      </c>
      <c r="D262" s="29">
        <v>11.25</v>
      </c>
      <c r="E262" s="29">
        <v>11.25</v>
      </c>
      <c r="F262" s="30">
        <v>49</v>
      </c>
      <c r="G262" s="29">
        <v>49</v>
      </c>
      <c r="H262" s="28" t="s">
        <v>559</v>
      </c>
      <c r="I262" s="27" t="s">
        <v>189</v>
      </c>
      <c r="J262" s="31" t="s">
        <v>50</v>
      </c>
      <c r="K262" s="27" t="s">
        <v>132</v>
      </c>
      <c r="L262" s="27" t="s">
        <v>226</v>
      </c>
      <c r="M262" s="32"/>
    </row>
    <row r="263" spans="1:13" ht="15.2" customHeight="1" x14ac:dyDescent="0.2">
      <c r="A263" s="26" t="s">
        <v>5290</v>
      </c>
      <c r="B263" s="27" t="s">
        <v>5291</v>
      </c>
      <c r="C263" s="28">
        <v>1</v>
      </c>
      <c r="D263" s="29">
        <v>11</v>
      </c>
      <c r="E263" s="29">
        <v>11</v>
      </c>
      <c r="F263" s="30">
        <v>27.99</v>
      </c>
      <c r="G263" s="29">
        <v>27.99</v>
      </c>
      <c r="H263" s="28" t="s">
        <v>4254</v>
      </c>
      <c r="I263" s="27" t="s">
        <v>4</v>
      </c>
      <c r="J263" s="31" t="s">
        <v>52</v>
      </c>
      <c r="K263" s="27" t="s">
        <v>224</v>
      </c>
      <c r="L263" s="27" t="s">
        <v>239</v>
      </c>
      <c r="M263" s="32"/>
    </row>
    <row r="264" spans="1:13" ht="15.2" customHeight="1" x14ac:dyDescent="0.2">
      <c r="A264" s="26" t="s">
        <v>4788</v>
      </c>
      <c r="B264" s="27" t="s">
        <v>4789</v>
      </c>
      <c r="C264" s="28">
        <v>1</v>
      </c>
      <c r="D264" s="29">
        <v>11</v>
      </c>
      <c r="E264" s="29">
        <v>11</v>
      </c>
      <c r="F264" s="30">
        <v>27.99</v>
      </c>
      <c r="G264" s="29">
        <v>27.99</v>
      </c>
      <c r="H264" s="28" t="s">
        <v>4254</v>
      </c>
      <c r="I264" s="27" t="s">
        <v>4</v>
      </c>
      <c r="J264" s="31" t="s">
        <v>5</v>
      </c>
      <c r="K264" s="27" t="s">
        <v>224</v>
      </c>
      <c r="L264" s="27" t="s">
        <v>239</v>
      </c>
      <c r="M264" s="32"/>
    </row>
    <row r="265" spans="1:13" ht="15.2" customHeight="1" x14ac:dyDescent="0.2">
      <c r="A265" s="26" t="s">
        <v>5292</v>
      </c>
      <c r="B265" s="27" t="s">
        <v>5293</v>
      </c>
      <c r="C265" s="28">
        <v>1</v>
      </c>
      <c r="D265" s="29">
        <v>11</v>
      </c>
      <c r="E265" s="29">
        <v>11</v>
      </c>
      <c r="F265" s="30">
        <v>27.99</v>
      </c>
      <c r="G265" s="29">
        <v>27.99</v>
      </c>
      <c r="H265" s="28" t="s">
        <v>4875</v>
      </c>
      <c r="I265" s="27" t="s">
        <v>661</v>
      </c>
      <c r="J265" s="31" t="s">
        <v>40</v>
      </c>
      <c r="K265" s="27" t="s">
        <v>224</v>
      </c>
      <c r="L265" s="27" t="s">
        <v>239</v>
      </c>
      <c r="M265" s="32"/>
    </row>
    <row r="266" spans="1:13" ht="15.2" customHeight="1" x14ac:dyDescent="0.2">
      <c r="A266" s="26" t="s">
        <v>4873</v>
      </c>
      <c r="B266" s="27" t="s">
        <v>4874</v>
      </c>
      <c r="C266" s="28">
        <v>1</v>
      </c>
      <c r="D266" s="29">
        <v>11</v>
      </c>
      <c r="E266" s="29">
        <v>11</v>
      </c>
      <c r="F266" s="30">
        <v>27.99</v>
      </c>
      <c r="G266" s="29">
        <v>27.99</v>
      </c>
      <c r="H266" s="28" t="s">
        <v>4875</v>
      </c>
      <c r="I266" s="27" t="s">
        <v>10</v>
      </c>
      <c r="J266" s="31" t="s">
        <v>21</v>
      </c>
      <c r="K266" s="27" t="s">
        <v>224</v>
      </c>
      <c r="L266" s="27" t="s">
        <v>239</v>
      </c>
      <c r="M266" s="32"/>
    </row>
    <row r="267" spans="1:13" ht="15.2" customHeight="1" x14ac:dyDescent="0.2">
      <c r="A267" s="26" t="s">
        <v>5294</v>
      </c>
      <c r="B267" s="27" t="s">
        <v>5295</v>
      </c>
      <c r="C267" s="28">
        <v>1</v>
      </c>
      <c r="D267" s="29">
        <v>11</v>
      </c>
      <c r="E267" s="29">
        <v>11</v>
      </c>
      <c r="F267" s="30">
        <v>27.99</v>
      </c>
      <c r="G267" s="29">
        <v>27.99</v>
      </c>
      <c r="H267" s="28" t="s">
        <v>4875</v>
      </c>
      <c r="I267" s="27" t="s">
        <v>10</v>
      </c>
      <c r="J267" s="31" t="s">
        <v>21</v>
      </c>
      <c r="K267" s="27" t="s">
        <v>224</v>
      </c>
      <c r="L267" s="27" t="s">
        <v>239</v>
      </c>
      <c r="M267" s="32"/>
    </row>
    <row r="268" spans="1:13" ht="15.2" customHeight="1" x14ac:dyDescent="0.2">
      <c r="A268" s="26" t="s">
        <v>5296</v>
      </c>
      <c r="B268" s="27" t="s">
        <v>5297</v>
      </c>
      <c r="C268" s="28">
        <v>1</v>
      </c>
      <c r="D268" s="29">
        <v>11</v>
      </c>
      <c r="E268" s="29">
        <v>11</v>
      </c>
      <c r="F268" s="30">
        <v>27.99</v>
      </c>
      <c r="G268" s="29">
        <v>27.99</v>
      </c>
      <c r="H268" s="28" t="s">
        <v>4254</v>
      </c>
      <c r="I268" s="27" t="s">
        <v>94</v>
      </c>
      <c r="J268" s="31" t="s">
        <v>71</v>
      </c>
      <c r="K268" s="27" t="s">
        <v>224</v>
      </c>
      <c r="L268" s="27" t="s">
        <v>239</v>
      </c>
      <c r="M268" s="32"/>
    </row>
    <row r="269" spans="1:13" ht="15.2" customHeight="1" x14ac:dyDescent="0.2">
      <c r="A269" s="26" t="s">
        <v>5298</v>
      </c>
      <c r="B269" s="27" t="s">
        <v>5299</v>
      </c>
      <c r="C269" s="28">
        <v>1</v>
      </c>
      <c r="D269" s="29">
        <v>11</v>
      </c>
      <c r="E269" s="29">
        <v>11</v>
      </c>
      <c r="F269" s="30">
        <v>25.99</v>
      </c>
      <c r="G269" s="29">
        <v>25.99</v>
      </c>
      <c r="H269" s="28" t="s">
        <v>5300</v>
      </c>
      <c r="I269" s="27" t="s">
        <v>144</v>
      </c>
      <c r="J269" s="31" t="s">
        <v>21</v>
      </c>
      <c r="K269" s="27" t="s">
        <v>200</v>
      </c>
      <c r="L269" s="27" t="s">
        <v>804</v>
      </c>
      <c r="M269" s="32"/>
    </row>
    <row r="270" spans="1:13" ht="15.2" customHeight="1" x14ac:dyDescent="0.2">
      <c r="A270" s="26" t="s">
        <v>5301</v>
      </c>
      <c r="B270" s="27" t="s">
        <v>5302</v>
      </c>
      <c r="C270" s="28">
        <v>1</v>
      </c>
      <c r="D270" s="29">
        <v>11</v>
      </c>
      <c r="E270" s="29">
        <v>11</v>
      </c>
      <c r="F270" s="30">
        <v>39</v>
      </c>
      <c r="G270" s="29">
        <v>39</v>
      </c>
      <c r="H270" s="28" t="s">
        <v>5303</v>
      </c>
      <c r="I270" s="27" t="s">
        <v>82</v>
      </c>
      <c r="J270" s="31" t="s">
        <v>5</v>
      </c>
      <c r="K270" s="27" t="s">
        <v>154</v>
      </c>
      <c r="L270" s="27" t="s">
        <v>155</v>
      </c>
      <c r="M270" s="32"/>
    </row>
    <row r="271" spans="1:13" ht="15.2" customHeight="1" x14ac:dyDescent="0.2">
      <c r="A271" s="26" t="s">
        <v>4691</v>
      </c>
      <c r="B271" s="27" t="s">
        <v>4692</v>
      </c>
      <c r="C271" s="28">
        <v>2</v>
      </c>
      <c r="D271" s="29">
        <v>11</v>
      </c>
      <c r="E271" s="29">
        <v>22</v>
      </c>
      <c r="F271" s="30">
        <v>27.99</v>
      </c>
      <c r="G271" s="29">
        <v>55.98</v>
      </c>
      <c r="H271" s="28" t="s">
        <v>4254</v>
      </c>
      <c r="I271" s="27" t="s">
        <v>94</v>
      </c>
      <c r="J271" s="31" t="s">
        <v>21</v>
      </c>
      <c r="K271" s="27" t="s">
        <v>224</v>
      </c>
      <c r="L271" s="27" t="s">
        <v>239</v>
      </c>
      <c r="M271" s="32"/>
    </row>
    <row r="272" spans="1:13" ht="15.2" customHeight="1" x14ac:dyDescent="0.2">
      <c r="A272" s="26" t="s">
        <v>4687</v>
      </c>
      <c r="B272" s="27" t="s">
        <v>4688</v>
      </c>
      <c r="C272" s="28">
        <v>1</v>
      </c>
      <c r="D272" s="29">
        <v>11</v>
      </c>
      <c r="E272" s="29">
        <v>11</v>
      </c>
      <c r="F272" s="30">
        <v>27.99</v>
      </c>
      <c r="G272" s="29">
        <v>27.99</v>
      </c>
      <c r="H272" s="28" t="s">
        <v>4254</v>
      </c>
      <c r="I272" s="27" t="s">
        <v>94</v>
      </c>
      <c r="J272" s="31" t="s">
        <v>5</v>
      </c>
      <c r="K272" s="27" t="s">
        <v>224</v>
      </c>
      <c r="L272" s="27" t="s">
        <v>239</v>
      </c>
      <c r="M272" s="32"/>
    </row>
    <row r="273" spans="1:13" ht="15.2" customHeight="1" x14ac:dyDescent="0.2">
      <c r="A273" s="26" t="s">
        <v>4392</v>
      </c>
      <c r="B273" s="27" t="s">
        <v>4393</v>
      </c>
      <c r="C273" s="28">
        <v>2</v>
      </c>
      <c r="D273" s="29">
        <v>11</v>
      </c>
      <c r="E273" s="29">
        <v>22</v>
      </c>
      <c r="F273" s="30">
        <v>27.99</v>
      </c>
      <c r="G273" s="29">
        <v>55.98</v>
      </c>
      <c r="H273" s="28" t="s">
        <v>4254</v>
      </c>
      <c r="I273" s="27" t="s">
        <v>4</v>
      </c>
      <c r="J273" s="31" t="s">
        <v>40</v>
      </c>
      <c r="K273" s="27" t="s">
        <v>224</v>
      </c>
      <c r="L273" s="27" t="s">
        <v>239</v>
      </c>
      <c r="M273" s="32"/>
    </row>
    <row r="274" spans="1:13" ht="15.2" customHeight="1" x14ac:dyDescent="0.2">
      <c r="A274" s="26" t="s">
        <v>5304</v>
      </c>
      <c r="B274" s="27" t="s">
        <v>5305</v>
      </c>
      <c r="C274" s="28">
        <v>1</v>
      </c>
      <c r="D274" s="29">
        <v>11</v>
      </c>
      <c r="E274" s="29">
        <v>11</v>
      </c>
      <c r="F274" s="30">
        <v>27.99</v>
      </c>
      <c r="G274" s="29">
        <v>27.99</v>
      </c>
      <c r="H274" s="28" t="s">
        <v>4254</v>
      </c>
      <c r="I274" s="27" t="s">
        <v>94</v>
      </c>
      <c r="J274" s="31" t="s">
        <v>52</v>
      </c>
      <c r="K274" s="27" t="s">
        <v>224</v>
      </c>
      <c r="L274" s="27" t="s">
        <v>239</v>
      </c>
      <c r="M274" s="32"/>
    </row>
    <row r="275" spans="1:13" ht="15.2" customHeight="1" x14ac:dyDescent="0.2">
      <c r="A275" s="26" t="s">
        <v>4871</v>
      </c>
      <c r="B275" s="27" t="s">
        <v>4872</v>
      </c>
      <c r="C275" s="28">
        <v>1</v>
      </c>
      <c r="D275" s="29">
        <v>11</v>
      </c>
      <c r="E275" s="29">
        <v>11</v>
      </c>
      <c r="F275" s="30">
        <v>27.99</v>
      </c>
      <c r="G275" s="29">
        <v>27.99</v>
      </c>
      <c r="H275" s="28" t="s">
        <v>4254</v>
      </c>
      <c r="I275" s="27" t="s">
        <v>4</v>
      </c>
      <c r="J275" s="31" t="s">
        <v>21</v>
      </c>
      <c r="K275" s="27" t="s">
        <v>224</v>
      </c>
      <c r="L275" s="27" t="s">
        <v>239</v>
      </c>
      <c r="M275" s="32"/>
    </row>
    <row r="276" spans="1:13" ht="15.2" customHeight="1" x14ac:dyDescent="0.2">
      <c r="A276" s="26" t="s">
        <v>4252</v>
      </c>
      <c r="B276" s="27" t="s">
        <v>4253</v>
      </c>
      <c r="C276" s="28">
        <v>2</v>
      </c>
      <c r="D276" s="29">
        <v>11</v>
      </c>
      <c r="E276" s="29">
        <v>22</v>
      </c>
      <c r="F276" s="30">
        <v>27.99</v>
      </c>
      <c r="G276" s="29">
        <v>55.98</v>
      </c>
      <c r="H276" s="28" t="s">
        <v>4254</v>
      </c>
      <c r="I276" s="27" t="s">
        <v>94</v>
      </c>
      <c r="J276" s="31" t="s">
        <v>40</v>
      </c>
      <c r="K276" s="27" t="s">
        <v>224</v>
      </c>
      <c r="L276" s="27" t="s">
        <v>239</v>
      </c>
      <c r="M276" s="32"/>
    </row>
    <row r="277" spans="1:13" ht="15.2" customHeight="1" x14ac:dyDescent="0.2">
      <c r="A277" s="26" t="s">
        <v>5306</v>
      </c>
      <c r="B277" s="27" t="s">
        <v>5307</v>
      </c>
      <c r="C277" s="28">
        <v>1</v>
      </c>
      <c r="D277" s="29">
        <v>10.9</v>
      </c>
      <c r="E277" s="29">
        <v>10.9</v>
      </c>
      <c r="F277" s="30">
        <v>22.99</v>
      </c>
      <c r="G277" s="29">
        <v>22.99</v>
      </c>
      <c r="H277" s="28" t="s">
        <v>4876</v>
      </c>
      <c r="I277" s="27" t="s">
        <v>59</v>
      </c>
      <c r="J277" s="31" t="s">
        <v>5</v>
      </c>
      <c r="K277" s="27" t="s">
        <v>200</v>
      </c>
      <c r="L277" s="27" t="s">
        <v>552</v>
      </c>
      <c r="M277" s="32"/>
    </row>
    <row r="278" spans="1:13" ht="15.2" customHeight="1" x14ac:dyDescent="0.2">
      <c r="A278" s="26" t="s">
        <v>5308</v>
      </c>
      <c r="B278" s="27" t="s">
        <v>5309</v>
      </c>
      <c r="C278" s="28">
        <v>1</v>
      </c>
      <c r="D278" s="29">
        <v>10.6</v>
      </c>
      <c r="E278" s="29">
        <v>10.6</v>
      </c>
      <c r="F278" s="30">
        <v>24.99</v>
      </c>
      <c r="G278" s="29">
        <v>24.99</v>
      </c>
      <c r="H278" s="28" t="s">
        <v>567</v>
      </c>
      <c r="I278" s="27" t="s">
        <v>4</v>
      </c>
      <c r="J278" s="31" t="s">
        <v>5</v>
      </c>
      <c r="K278" s="27" t="s">
        <v>208</v>
      </c>
      <c r="L278" s="27" t="s">
        <v>197</v>
      </c>
      <c r="M278" s="32"/>
    </row>
    <row r="279" spans="1:13" ht="15.2" customHeight="1" x14ac:dyDescent="0.2">
      <c r="A279" s="26" t="s">
        <v>5310</v>
      </c>
      <c r="B279" s="27" t="s">
        <v>5311</v>
      </c>
      <c r="C279" s="28">
        <v>1</v>
      </c>
      <c r="D279" s="29">
        <v>10.6</v>
      </c>
      <c r="E279" s="29">
        <v>10.6</v>
      </c>
      <c r="F279" s="30">
        <v>24.99</v>
      </c>
      <c r="G279" s="29">
        <v>24.99</v>
      </c>
      <c r="H279" s="28" t="s">
        <v>568</v>
      </c>
      <c r="I279" s="27" t="s">
        <v>33</v>
      </c>
      <c r="J279" s="31" t="s">
        <v>40</v>
      </c>
      <c r="K279" s="27" t="s">
        <v>208</v>
      </c>
      <c r="L279" s="27" t="s">
        <v>197</v>
      </c>
      <c r="M279" s="32"/>
    </row>
    <row r="280" spans="1:13" ht="15.2" customHeight="1" x14ac:dyDescent="0.2">
      <c r="A280" s="26" t="s">
        <v>4877</v>
      </c>
      <c r="B280" s="27" t="s">
        <v>4878</v>
      </c>
      <c r="C280" s="28">
        <v>1</v>
      </c>
      <c r="D280" s="29">
        <v>10.199999999999999</v>
      </c>
      <c r="E280" s="29">
        <v>10.199999999999999</v>
      </c>
      <c r="F280" s="30">
        <v>22.99</v>
      </c>
      <c r="G280" s="29">
        <v>22.99</v>
      </c>
      <c r="H280" s="28" t="s">
        <v>4879</v>
      </c>
      <c r="I280" s="27" t="s">
        <v>265</v>
      </c>
      <c r="J280" s="31" t="s">
        <v>52</v>
      </c>
      <c r="K280" s="27" t="s">
        <v>208</v>
      </c>
      <c r="L280" s="27" t="s">
        <v>197</v>
      </c>
      <c r="M280" s="32"/>
    </row>
    <row r="281" spans="1:13" ht="15.2" customHeight="1" x14ac:dyDescent="0.2">
      <c r="A281" s="26" t="s">
        <v>4881</v>
      </c>
      <c r="B281" s="27" t="s">
        <v>4882</v>
      </c>
      <c r="C281" s="28">
        <v>1</v>
      </c>
      <c r="D281" s="29">
        <v>10</v>
      </c>
      <c r="E281" s="29">
        <v>10</v>
      </c>
      <c r="F281" s="30">
        <v>24.99</v>
      </c>
      <c r="G281" s="29">
        <v>24.99</v>
      </c>
      <c r="H281" s="28" t="s">
        <v>4262</v>
      </c>
      <c r="I281" s="27" t="s">
        <v>29</v>
      </c>
      <c r="J281" s="31" t="s">
        <v>71</v>
      </c>
      <c r="K281" s="27" t="s">
        <v>224</v>
      </c>
      <c r="L281" s="27" t="s">
        <v>239</v>
      </c>
      <c r="M281" s="32"/>
    </row>
    <row r="282" spans="1:13" ht="15.2" customHeight="1" x14ac:dyDescent="0.2">
      <c r="A282" s="26" t="s">
        <v>4536</v>
      </c>
      <c r="B282" s="27" t="s">
        <v>4537</v>
      </c>
      <c r="C282" s="28">
        <v>1</v>
      </c>
      <c r="D282" s="29">
        <v>10</v>
      </c>
      <c r="E282" s="29">
        <v>10</v>
      </c>
      <c r="F282" s="30">
        <v>24.99</v>
      </c>
      <c r="G282" s="29">
        <v>24.99</v>
      </c>
      <c r="H282" s="28" t="s">
        <v>4262</v>
      </c>
      <c r="I282" s="27" t="s">
        <v>215</v>
      </c>
      <c r="J282" s="31" t="s">
        <v>5</v>
      </c>
      <c r="K282" s="27" t="s">
        <v>224</v>
      </c>
      <c r="L282" s="27" t="s">
        <v>239</v>
      </c>
      <c r="M282" s="32"/>
    </row>
    <row r="283" spans="1:13" ht="15.2" customHeight="1" x14ac:dyDescent="0.2">
      <c r="A283" s="26" t="s">
        <v>4695</v>
      </c>
      <c r="B283" s="27" t="s">
        <v>4696</v>
      </c>
      <c r="C283" s="28">
        <v>1</v>
      </c>
      <c r="D283" s="29">
        <v>10</v>
      </c>
      <c r="E283" s="29">
        <v>10</v>
      </c>
      <c r="F283" s="30">
        <v>24.99</v>
      </c>
      <c r="G283" s="29">
        <v>24.99</v>
      </c>
      <c r="H283" s="28" t="s">
        <v>4262</v>
      </c>
      <c r="I283" s="27" t="s">
        <v>29</v>
      </c>
      <c r="J283" s="31" t="s">
        <v>40</v>
      </c>
      <c r="K283" s="27" t="s">
        <v>224</v>
      </c>
      <c r="L283" s="27" t="s">
        <v>239</v>
      </c>
      <c r="M283" s="32"/>
    </row>
    <row r="284" spans="1:13" ht="15.2" customHeight="1" x14ac:dyDescent="0.2">
      <c r="A284" s="26" t="s">
        <v>4534</v>
      </c>
      <c r="B284" s="27" t="s">
        <v>4535</v>
      </c>
      <c r="C284" s="28">
        <v>1</v>
      </c>
      <c r="D284" s="29">
        <v>10</v>
      </c>
      <c r="E284" s="29">
        <v>10</v>
      </c>
      <c r="F284" s="30">
        <v>24.99</v>
      </c>
      <c r="G284" s="29">
        <v>24.99</v>
      </c>
      <c r="H284" s="28" t="s">
        <v>4262</v>
      </c>
      <c r="I284" s="27" t="s">
        <v>215</v>
      </c>
      <c r="J284" s="31" t="s">
        <v>52</v>
      </c>
      <c r="K284" s="27" t="s">
        <v>224</v>
      </c>
      <c r="L284" s="27" t="s">
        <v>239</v>
      </c>
      <c r="M284" s="32"/>
    </row>
    <row r="285" spans="1:13" ht="15.2" customHeight="1" x14ac:dyDescent="0.2">
      <c r="A285" s="26" t="s">
        <v>5312</v>
      </c>
      <c r="B285" s="27" t="s">
        <v>5313</v>
      </c>
      <c r="C285" s="28">
        <v>1</v>
      </c>
      <c r="D285" s="29">
        <v>10</v>
      </c>
      <c r="E285" s="29">
        <v>10</v>
      </c>
      <c r="F285" s="30">
        <v>24.99</v>
      </c>
      <c r="G285" s="29">
        <v>24.99</v>
      </c>
      <c r="H285" s="28">
        <v>47848</v>
      </c>
      <c r="I285" s="27" t="s">
        <v>4</v>
      </c>
      <c r="J285" s="31" t="s">
        <v>21</v>
      </c>
      <c r="K285" s="27" t="s">
        <v>196</v>
      </c>
      <c r="L285" s="27" t="s">
        <v>1808</v>
      </c>
      <c r="M285" s="32"/>
    </row>
    <row r="286" spans="1:13" ht="15.2" customHeight="1" x14ac:dyDescent="0.2">
      <c r="A286" s="26" t="s">
        <v>3618</v>
      </c>
      <c r="B286" s="27" t="s">
        <v>3619</v>
      </c>
      <c r="C286" s="28">
        <v>1</v>
      </c>
      <c r="D286" s="29">
        <v>9.8000000000000007</v>
      </c>
      <c r="E286" s="29">
        <v>9.8000000000000007</v>
      </c>
      <c r="F286" s="30">
        <v>19.989999999999998</v>
      </c>
      <c r="G286" s="29">
        <v>19.989999999999998</v>
      </c>
      <c r="H286" s="28" t="s">
        <v>1054</v>
      </c>
      <c r="I286" s="27" t="s">
        <v>374</v>
      </c>
      <c r="J286" s="31" t="s">
        <v>40</v>
      </c>
      <c r="K286" s="27" t="s">
        <v>196</v>
      </c>
      <c r="L286" s="27" t="s">
        <v>225</v>
      </c>
      <c r="M286" s="32"/>
    </row>
    <row r="287" spans="1:13" ht="15.2" customHeight="1" x14ac:dyDescent="0.2">
      <c r="A287" s="26" t="s">
        <v>4697</v>
      </c>
      <c r="B287" s="27" t="s">
        <v>4698</v>
      </c>
      <c r="C287" s="28">
        <v>1</v>
      </c>
      <c r="D287" s="29">
        <v>9.8000000000000007</v>
      </c>
      <c r="E287" s="29">
        <v>9.8000000000000007</v>
      </c>
      <c r="F287" s="30">
        <v>19.989999999999998</v>
      </c>
      <c r="G287" s="29">
        <v>19.989999999999998</v>
      </c>
      <c r="H287" s="28" t="s">
        <v>4699</v>
      </c>
      <c r="I287" s="27" t="s">
        <v>4</v>
      </c>
      <c r="J287" s="31" t="s">
        <v>40</v>
      </c>
      <c r="K287" s="27" t="s">
        <v>196</v>
      </c>
      <c r="L287" s="27" t="s">
        <v>225</v>
      </c>
      <c r="M287" s="32"/>
    </row>
    <row r="288" spans="1:13" ht="15.2" customHeight="1" x14ac:dyDescent="0.2">
      <c r="A288" s="26" t="s">
        <v>4790</v>
      </c>
      <c r="B288" s="27" t="s">
        <v>4791</v>
      </c>
      <c r="C288" s="28">
        <v>2</v>
      </c>
      <c r="D288" s="29">
        <v>9.51</v>
      </c>
      <c r="E288" s="29">
        <v>19.02</v>
      </c>
      <c r="F288" s="30">
        <v>21.99</v>
      </c>
      <c r="G288" s="29">
        <v>43.98</v>
      </c>
      <c r="H288" s="28" t="s">
        <v>574</v>
      </c>
      <c r="I288" s="27" t="s">
        <v>4</v>
      </c>
      <c r="J288" s="31" t="s">
        <v>21</v>
      </c>
      <c r="K288" s="27" t="s">
        <v>159</v>
      </c>
      <c r="L288" s="27" t="s">
        <v>160</v>
      </c>
      <c r="M288" s="32"/>
    </row>
    <row r="289" spans="1:13" ht="15.2" customHeight="1" x14ac:dyDescent="0.2">
      <c r="A289" s="26" t="s">
        <v>5314</v>
      </c>
      <c r="B289" s="27" t="s">
        <v>5315</v>
      </c>
      <c r="C289" s="28">
        <v>1</v>
      </c>
      <c r="D289" s="29">
        <v>9.5</v>
      </c>
      <c r="E289" s="29">
        <v>9.5</v>
      </c>
      <c r="F289" s="30">
        <v>19.989999999999998</v>
      </c>
      <c r="G289" s="29">
        <v>19.989999999999998</v>
      </c>
      <c r="H289" s="28" t="s">
        <v>3086</v>
      </c>
      <c r="I289" s="27"/>
      <c r="J289" s="31" t="s">
        <v>52</v>
      </c>
      <c r="K289" s="27" t="s">
        <v>200</v>
      </c>
      <c r="L289" s="27" t="s">
        <v>243</v>
      </c>
      <c r="M289" s="32"/>
    </row>
    <row r="290" spans="1:13" ht="15.2" customHeight="1" x14ac:dyDescent="0.2">
      <c r="A290" s="26" t="s">
        <v>4792</v>
      </c>
      <c r="B290" s="27" t="s">
        <v>4793</v>
      </c>
      <c r="C290" s="28">
        <v>1</v>
      </c>
      <c r="D290" s="29">
        <v>9.5</v>
      </c>
      <c r="E290" s="29">
        <v>9.5</v>
      </c>
      <c r="F290" s="30">
        <v>19.989999999999998</v>
      </c>
      <c r="G290" s="29">
        <v>19.989999999999998</v>
      </c>
      <c r="H290" s="28" t="s">
        <v>4398</v>
      </c>
      <c r="I290" s="27" t="s">
        <v>4</v>
      </c>
      <c r="J290" s="31" t="s">
        <v>52</v>
      </c>
      <c r="K290" s="27" t="s">
        <v>282</v>
      </c>
      <c r="L290" s="27" t="s">
        <v>283</v>
      </c>
      <c r="M290" s="32"/>
    </row>
    <row r="291" spans="1:13" ht="15.2" customHeight="1" x14ac:dyDescent="0.2">
      <c r="A291" s="26" t="s">
        <v>4539</v>
      </c>
      <c r="B291" s="27" t="s">
        <v>4540</v>
      </c>
      <c r="C291" s="28">
        <v>1</v>
      </c>
      <c r="D291" s="29">
        <v>9.25</v>
      </c>
      <c r="E291" s="29">
        <v>9.25</v>
      </c>
      <c r="F291" s="30">
        <v>22.99</v>
      </c>
      <c r="G291" s="29">
        <v>22.99</v>
      </c>
      <c r="H291" s="28" t="s">
        <v>2502</v>
      </c>
      <c r="I291" s="27" t="s">
        <v>207</v>
      </c>
      <c r="J291" s="31" t="s">
        <v>21</v>
      </c>
      <c r="K291" s="27" t="s">
        <v>196</v>
      </c>
      <c r="L291" s="27" t="s">
        <v>239</v>
      </c>
      <c r="M291" s="32"/>
    </row>
    <row r="292" spans="1:13" ht="15.2" customHeight="1" x14ac:dyDescent="0.2">
      <c r="A292" s="26" t="s">
        <v>4269</v>
      </c>
      <c r="B292" s="27" t="s">
        <v>4265</v>
      </c>
      <c r="C292" s="28">
        <v>1</v>
      </c>
      <c r="D292" s="29">
        <v>9.25</v>
      </c>
      <c r="E292" s="29">
        <v>9.25</v>
      </c>
      <c r="F292" s="30">
        <v>19.989999999999998</v>
      </c>
      <c r="G292" s="29">
        <v>19.989999999999998</v>
      </c>
      <c r="H292" s="28" t="s">
        <v>4266</v>
      </c>
      <c r="I292" s="27" t="s">
        <v>215</v>
      </c>
      <c r="J292" s="31" t="s">
        <v>21</v>
      </c>
      <c r="K292" s="27" t="s">
        <v>282</v>
      </c>
      <c r="L292" s="27" t="s">
        <v>283</v>
      </c>
      <c r="M292" s="32"/>
    </row>
    <row r="293" spans="1:13" ht="15.2" customHeight="1" x14ac:dyDescent="0.2">
      <c r="A293" s="26" t="s">
        <v>5316</v>
      </c>
      <c r="B293" s="27" t="s">
        <v>5317</v>
      </c>
      <c r="C293" s="28">
        <v>2</v>
      </c>
      <c r="D293" s="29">
        <v>9.25</v>
      </c>
      <c r="E293" s="29">
        <v>18.5</v>
      </c>
      <c r="F293" s="30">
        <v>22.99</v>
      </c>
      <c r="G293" s="29">
        <v>45.98</v>
      </c>
      <c r="H293" s="28" t="s">
        <v>2502</v>
      </c>
      <c r="I293" s="27" t="s">
        <v>207</v>
      </c>
      <c r="J293" s="31" t="s">
        <v>5</v>
      </c>
      <c r="K293" s="27" t="s">
        <v>196</v>
      </c>
      <c r="L293" s="27" t="s">
        <v>239</v>
      </c>
      <c r="M293" s="32"/>
    </row>
    <row r="294" spans="1:13" ht="15.2" customHeight="1" x14ac:dyDescent="0.2">
      <c r="A294" s="26" t="s">
        <v>4700</v>
      </c>
      <c r="B294" s="27" t="s">
        <v>4701</v>
      </c>
      <c r="C294" s="28">
        <v>2</v>
      </c>
      <c r="D294" s="29">
        <v>9.25</v>
      </c>
      <c r="E294" s="29">
        <v>18.5</v>
      </c>
      <c r="F294" s="30">
        <v>22.99</v>
      </c>
      <c r="G294" s="29">
        <v>45.98</v>
      </c>
      <c r="H294" s="28" t="s">
        <v>2502</v>
      </c>
      <c r="I294" s="27" t="s">
        <v>207</v>
      </c>
      <c r="J294" s="31" t="s">
        <v>40</v>
      </c>
      <c r="K294" s="27" t="s">
        <v>196</v>
      </c>
      <c r="L294" s="27" t="s">
        <v>239</v>
      </c>
      <c r="M294" s="32"/>
    </row>
    <row r="295" spans="1:13" ht="15.2" customHeight="1" x14ac:dyDescent="0.2">
      <c r="A295" s="26" t="s">
        <v>2507</v>
      </c>
      <c r="B295" s="27" t="s">
        <v>2508</v>
      </c>
      <c r="C295" s="28">
        <v>1</v>
      </c>
      <c r="D295" s="29">
        <v>9.23</v>
      </c>
      <c r="E295" s="29">
        <v>9.23</v>
      </c>
      <c r="F295" s="30">
        <v>21.99</v>
      </c>
      <c r="G295" s="29">
        <v>21.99</v>
      </c>
      <c r="H295" s="28" t="s">
        <v>1671</v>
      </c>
      <c r="I295" s="27" t="s">
        <v>4</v>
      </c>
      <c r="J295" s="31" t="s">
        <v>52</v>
      </c>
      <c r="K295" s="27" t="s">
        <v>159</v>
      </c>
      <c r="L295" s="27" t="s">
        <v>160</v>
      </c>
      <c r="M295" s="32"/>
    </row>
    <row r="296" spans="1:13" ht="15.2" customHeight="1" x14ac:dyDescent="0.2">
      <c r="A296" s="26" t="s">
        <v>5318</v>
      </c>
      <c r="B296" s="27" t="s">
        <v>1670</v>
      </c>
      <c r="C296" s="28">
        <v>1</v>
      </c>
      <c r="D296" s="29">
        <v>9.23</v>
      </c>
      <c r="E296" s="29">
        <v>9.23</v>
      </c>
      <c r="F296" s="30">
        <v>21.99</v>
      </c>
      <c r="G296" s="29">
        <v>21.99</v>
      </c>
      <c r="H296" s="28" t="s">
        <v>1671</v>
      </c>
      <c r="I296" s="27" t="s">
        <v>4</v>
      </c>
      <c r="J296" s="31" t="s">
        <v>21</v>
      </c>
      <c r="K296" s="27" t="s">
        <v>159</v>
      </c>
      <c r="L296" s="27" t="s">
        <v>160</v>
      </c>
      <c r="M296" s="32"/>
    </row>
    <row r="297" spans="1:13" ht="15.2" customHeight="1" x14ac:dyDescent="0.2">
      <c r="A297" s="26" t="s">
        <v>4796</v>
      </c>
      <c r="B297" s="27" t="s">
        <v>4797</v>
      </c>
      <c r="C297" s="28">
        <v>2</v>
      </c>
      <c r="D297" s="29">
        <v>9.2200000000000006</v>
      </c>
      <c r="E297" s="29">
        <v>18.440000000000001</v>
      </c>
      <c r="F297" s="30">
        <v>21.99</v>
      </c>
      <c r="G297" s="29">
        <v>43.98</v>
      </c>
      <c r="H297" s="28" t="s">
        <v>4706</v>
      </c>
      <c r="I297" s="27" t="s">
        <v>4</v>
      </c>
      <c r="J297" s="31" t="s">
        <v>21</v>
      </c>
      <c r="K297" s="27" t="s">
        <v>159</v>
      </c>
      <c r="L297" s="27" t="s">
        <v>160</v>
      </c>
      <c r="M297" s="32"/>
    </row>
    <row r="298" spans="1:13" ht="15.2" customHeight="1" x14ac:dyDescent="0.2">
      <c r="A298" s="26" t="s">
        <v>4704</v>
      </c>
      <c r="B298" s="27" t="s">
        <v>4705</v>
      </c>
      <c r="C298" s="28">
        <v>1</v>
      </c>
      <c r="D298" s="29">
        <v>9.2200000000000006</v>
      </c>
      <c r="E298" s="29">
        <v>9.2200000000000006</v>
      </c>
      <c r="F298" s="30">
        <v>21.99</v>
      </c>
      <c r="G298" s="29">
        <v>21.99</v>
      </c>
      <c r="H298" s="28" t="s">
        <v>4706</v>
      </c>
      <c r="I298" s="27" t="s">
        <v>4</v>
      </c>
      <c r="J298" s="31" t="s">
        <v>5</v>
      </c>
      <c r="K298" s="27" t="s">
        <v>159</v>
      </c>
      <c r="L298" s="27" t="s">
        <v>160</v>
      </c>
      <c r="M298" s="32"/>
    </row>
    <row r="299" spans="1:13" ht="15.2" customHeight="1" x14ac:dyDescent="0.2">
      <c r="A299" s="26" t="s">
        <v>5319</v>
      </c>
      <c r="B299" s="27" t="s">
        <v>5320</v>
      </c>
      <c r="C299" s="28">
        <v>1</v>
      </c>
      <c r="D299" s="29">
        <v>9.2200000000000006</v>
      </c>
      <c r="E299" s="29">
        <v>9.2200000000000006</v>
      </c>
      <c r="F299" s="30">
        <v>21.99</v>
      </c>
      <c r="G299" s="29">
        <v>21.99</v>
      </c>
      <c r="H299" s="28" t="s">
        <v>2780</v>
      </c>
      <c r="I299" s="27" t="s">
        <v>4</v>
      </c>
      <c r="J299" s="31" t="s">
        <v>21</v>
      </c>
      <c r="K299" s="27" t="s">
        <v>159</v>
      </c>
      <c r="L299" s="27" t="s">
        <v>160</v>
      </c>
      <c r="M299" s="32"/>
    </row>
    <row r="300" spans="1:13" ht="15.2" customHeight="1" x14ac:dyDescent="0.2">
      <c r="A300" s="26" t="s">
        <v>2786</v>
      </c>
      <c r="B300" s="27" t="s">
        <v>1059</v>
      </c>
      <c r="C300" s="28">
        <v>4</v>
      </c>
      <c r="D300" s="29">
        <v>9.1999999999999993</v>
      </c>
      <c r="E300" s="29">
        <v>36.799999999999997</v>
      </c>
      <c r="F300" s="30">
        <v>21.99</v>
      </c>
      <c r="G300" s="29">
        <v>87.96</v>
      </c>
      <c r="H300" s="28" t="s">
        <v>1060</v>
      </c>
      <c r="I300" s="27" t="s">
        <v>4</v>
      </c>
      <c r="J300" s="31" t="s">
        <v>52</v>
      </c>
      <c r="K300" s="27" t="s">
        <v>159</v>
      </c>
      <c r="L300" s="27" t="s">
        <v>160</v>
      </c>
      <c r="M300" s="32"/>
    </row>
    <row r="301" spans="1:13" ht="15.2" customHeight="1" x14ac:dyDescent="0.2">
      <c r="A301" s="26" t="s">
        <v>5321</v>
      </c>
      <c r="B301" s="27" t="s">
        <v>1059</v>
      </c>
      <c r="C301" s="28">
        <v>3</v>
      </c>
      <c r="D301" s="29">
        <v>9.1999999999999993</v>
      </c>
      <c r="E301" s="29">
        <v>27.6</v>
      </c>
      <c r="F301" s="30">
        <v>21.99</v>
      </c>
      <c r="G301" s="29">
        <v>65.97</v>
      </c>
      <c r="H301" s="28" t="s">
        <v>1060</v>
      </c>
      <c r="I301" s="27" t="s">
        <v>4</v>
      </c>
      <c r="J301" s="31" t="s">
        <v>21</v>
      </c>
      <c r="K301" s="27" t="s">
        <v>159</v>
      </c>
      <c r="L301" s="27" t="s">
        <v>160</v>
      </c>
      <c r="M301" s="32"/>
    </row>
    <row r="302" spans="1:13" ht="15.2" customHeight="1" x14ac:dyDescent="0.2">
      <c r="A302" s="26" t="s">
        <v>2785</v>
      </c>
      <c r="B302" s="27" t="s">
        <v>1676</v>
      </c>
      <c r="C302" s="28">
        <v>1</v>
      </c>
      <c r="D302" s="29">
        <v>9.1999999999999993</v>
      </c>
      <c r="E302" s="29">
        <v>9.1999999999999993</v>
      </c>
      <c r="F302" s="30">
        <v>21.99</v>
      </c>
      <c r="G302" s="29">
        <v>21.99</v>
      </c>
      <c r="H302" s="28" t="s">
        <v>1677</v>
      </c>
      <c r="I302" s="27" t="s">
        <v>4</v>
      </c>
      <c r="J302" s="31" t="s">
        <v>5</v>
      </c>
      <c r="K302" s="27" t="s">
        <v>159</v>
      </c>
      <c r="L302" s="27" t="s">
        <v>160</v>
      </c>
      <c r="M302" s="32"/>
    </row>
    <row r="303" spans="1:13" ht="15.2" customHeight="1" x14ac:dyDescent="0.2">
      <c r="A303" s="26" t="s">
        <v>5322</v>
      </c>
      <c r="B303" s="27" t="s">
        <v>2048</v>
      </c>
      <c r="C303" s="28">
        <v>1</v>
      </c>
      <c r="D303" s="29">
        <v>9.19</v>
      </c>
      <c r="E303" s="29">
        <v>9.19</v>
      </c>
      <c r="F303" s="30">
        <v>21.99</v>
      </c>
      <c r="G303" s="29">
        <v>21.99</v>
      </c>
      <c r="H303" s="28" t="s">
        <v>2049</v>
      </c>
      <c r="I303" s="27" t="s">
        <v>36</v>
      </c>
      <c r="J303" s="31" t="s">
        <v>21</v>
      </c>
      <c r="K303" s="27" t="s">
        <v>159</v>
      </c>
      <c r="L303" s="27" t="s">
        <v>160</v>
      </c>
      <c r="M303" s="32"/>
    </row>
    <row r="304" spans="1:13" ht="15.2" customHeight="1" x14ac:dyDescent="0.2">
      <c r="A304" s="26" t="s">
        <v>2047</v>
      </c>
      <c r="B304" s="27" t="s">
        <v>2048</v>
      </c>
      <c r="C304" s="28">
        <v>1</v>
      </c>
      <c r="D304" s="29">
        <v>9.19</v>
      </c>
      <c r="E304" s="29">
        <v>9.19</v>
      </c>
      <c r="F304" s="30">
        <v>21.99</v>
      </c>
      <c r="G304" s="29">
        <v>21.99</v>
      </c>
      <c r="H304" s="28" t="s">
        <v>2049</v>
      </c>
      <c r="I304" s="27" t="s">
        <v>36</v>
      </c>
      <c r="J304" s="31" t="s">
        <v>5</v>
      </c>
      <c r="K304" s="27" t="s">
        <v>159</v>
      </c>
      <c r="L304" s="27" t="s">
        <v>160</v>
      </c>
      <c r="M304" s="32"/>
    </row>
    <row r="305" spans="1:13" ht="15.2" customHeight="1" x14ac:dyDescent="0.2">
      <c r="A305" s="26" t="s">
        <v>4401</v>
      </c>
      <c r="B305" s="27" t="s">
        <v>4402</v>
      </c>
      <c r="C305" s="28">
        <v>2</v>
      </c>
      <c r="D305" s="29">
        <v>8.5</v>
      </c>
      <c r="E305" s="29">
        <v>17</v>
      </c>
      <c r="F305" s="30">
        <v>19.989999999999998</v>
      </c>
      <c r="G305" s="29">
        <v>39.979999999999997</v>
      </c>
      <c r="H305" s="28" t="s">
        <v>4403</v>
      </c>
      <c r="I305" s="27" t="s">
        <v>280</v>
      </c>
      <c r="J305" s="31" t="s">
        <v>21</v>
      </c>
      <c r="K305" s="27" t="s">
        <v>282</v>
      </c>
      <c r="L305" s="27" t="s">
        <v>358</v>
      </c>
      <c r="M305" s="32"/>
    </row>
    <row r="306" spans="1:13" ht="15.2" customHeight="1" x14ac:dyDescent="0.2">
      <c r="A306" s="26" t="s">
        <v>4542</v>
      </c>
      <c r="B306" s="27" t="s">
        <v>4543</v>
      </c>
      <c r="C306" s="28">
        <v>1</v>
      </c>
      <c r="D306" s="29">
        <v>8.5</v>
      </c>
      <c r="E306" s="29">
        <v>8.5</v>
      </c>
      <c r="F306" s="30">
        <v>19.989999999999998</v>
      </c>
      <c r="G306" s="29">
        <v>19.989999999999998</v>
      </c>
      <c r="H306" s="28" t="s">
        <v>4403</v>
      </c>
      <c r="I306" s="27" t="s">
        <v>280</v>
      </c>
      <c r="J306" s="31" t="s">
        <v>5</v>
      </c>
      <c r="K306" s="27" t="s">
        <v>282</v>
      </c>
      <c r="L306" s="27" t="s">
        <v>358</v>
      </c>
      <c r="M306" s="32"/>
    </row>
    <row r="307" spans="1:13" ht="15.2" customHeight="1" x14ac:dyDescent="0.2">
      <c r="A307" s="26" t="s">
        <v>4717</v>
      </c>
      <c r="B307" s="27" t="s">
        <v>4718</v>
      </c>
      <c r="C307" s="28">
        <v>4</v>
      </c>
      <c r="D307" s="29">
        <v>8.5</v>
      </c>
      <c r="E307" s="29">
        <v>34</v>
      </c>
      <c r="F307" s="30">
        <v>19.989999999999998</v>
      </c>
      <c r="G307" s="29">
        <v>79.959999999999994</v>
      </c>
      <c r="H307" s="28" t="s">
        <v>4279</v>
      </c>
      <c r="I307" s="27" t="s">
        <v>215</v>
      </c>
      <c r="J307" s="31" t="s">
        <v>21</v>
      </c>
      <c r="K307" s="27" t="s">
        <v>282</v>
      </c>
      <c r="L307" s="27" t="s">
        <v>283</v>
      </c>
      <c r="M307" s="32"/>
    </row>
    <row r="308" spans="1:13" ht="15.2" customHeight="1" x14ac:dyDescent="0.2">
      <c r="A308" s="26" t="s">
        <v>585</v>
      </c>
      <c r="B308" s="27" t="s">
        <v>586</v>
      </c>
      <c r="C308" s="28">
        <v>2</v>
      </c>
      <c r="D308" s="29">
        <v>8.5</v>
      </c>
      <c r="E308" s="29">
        <v>17</v>
      </c>
      <c r="F308" s="30">
        <v>19.989999999999998</v>
      </c>
      <c r="G308" s="29">
        <v>39.979999999999997</v>
      </c>
      <c r="H308" s="28" t="s">
        <v>587</v>
      </c>
      <c r="I308" s="27" t="s">
        <v>33</v>
      </c>
      <c r="J308" s="31" t="s">
        <v>52</v>
      </c>
      <c r="K308" s="27" t="s">
        <v>282</v>
      </c>
      <c r="L308" s="27" t="s">
        <v>312</v>
      </c>
      <c r="M308" s="32"/>
    </row>
    <row r="309" spans="1:13" ht="15.2" customHeight="1" x14ac:dyDescent="0.2">
      <c r="A309" s="26" t="s">
        <v>4890</v>
      </c>
      <c r="B309" s="27" t="s">
        <v>4891</v>
      </c>
      <c r="C309" s="28">
        <v>2</v>
      </c>
      <c r="D309" s="29">
        <v>8.5</v>
      </c>
      <c r="E309" s="29">
        <v>17</v>
      </c>
      <c r="F309" s="30">
        <v>19.989999999999998</v>
      </c>
      <c r="G309" s="29">
        <v>39.979999999999997</v>
      </c>
      <c r="H309" s="28" t="s">
        <v>4541</v>
      </c>
      <c r="I309" s="27" t="s">
        <v>4</v>
      </c>
      <c r="J309" s="31" t="s">
        <v>5</v>
      </c>
      <c r="K309" s="27" t="s">
        <v>196</v>
      </c>
      <c r="L309" s="27" t="s">
        <v>336</v>
      </c>
      <c r="M309" s="32"/>
    </row>
    <row r="310" spans="1:13" ht="15.2" customHeight="1" x14ac:dyDescent="0.2">
      <c r="A310" s="26" t="s">
        <v>5323</v>
      </c>
      <c r="B310" s="27" t="s">
        <v>5324</v>
      </c>
      <c r="C310" s="28">
        <v>1</v>
      </c>
      <c r="D310" s="29">
        <v>8.5</v>
      </c>
      <c r="E310" s="29">
        <v>8.5</v>
      </c>
      <c r="F310" s="30">
        <v>19.989999999999998</v>
      </c>
      <c r="G310" s="29">
        <v>19.989999999999998</v>
      </c>
      <c r="H310" s="28" t="s">
        <v>4541</v>
      </c>
      <c r="I310" s="27" t="s">
        <v>4</v>
      </c>
      <c r="J310" s="31" t="s">
        <v>40</v>
      </c>
      <c r="K310" s="27" t="s">
        <v>196</v>
      </c>
      <c r="L310" s="27" t="s">
        <v>336</v>
      </c>
      <c r="M310" s="32"/>
    </row>
    <row r="311" spans="1:13" ht="15.2" customHeight="1" x14ac:dyDescent="0.2">
      <c r="A311" s="26" t="s">
        <v>5325</v>
      </c>
      <c r="B311" s="27" t="s">
        <v>5326</v>
      </c>
      <c r="C311" s="28">
        <v>2</v>
      </c>
      <c r="D311" s="29">
        <v>8.5</v>
      </c>
      <c r="E311" s="29">
        <v>17</v>
      </c>
      <c r="F311" s="30">
        <v>19.989999999999998</v>
      </c>
      <c r="G311" s="29">
        <v>39.979999999999997</v>
      </c>
      <c r="H311" s="28" t="s">
        <v>4404</v>
      </c>
      <c r="I311" s="27" t="s">
        <v>746</v>
      </c>
      <c r="J311" s="31" t="s">
        <v>40</v>
      </c>
      <c r="K311" s="27" t="s">
        <v>196</v>
      </c>
      <c r="L311" s="27" t="s">
        <v>336</v>
      </c>
      <c r="M311" s="32"/>
    </row>
    <row r="312" spans="1:13" ht="15.2" customHeight="1" x14ac:dyDescent="0.2">
      <c r="A312" s="26" t="s">
        <v>5327</v>
      </c>
      <c r="B312" s="27" t="s">
        <v>5328</v>
      </c>
      <c r="C312" s="28">
        <v>1</v>
      </c>
      <c r="D312" s="29">
        <v>8.5</v>
      </c>
      <c r="E312" s="29">
        <v>8.5</v>
      </c>
      <c r="F312" s="30">
        <v>19.989999999999998</v>
      </c>
      <c r="G312" s="29">
        <v>19.989999999999998</v>
      </c>
      <c r="H312" s="28" t="s">
        <v>4541</v>
      </c>
      <c r="I312" s="27" t="s">
        <v>285</v>
      </c>
      <c r="J312" s="31" t="s">
        <v>40</v>
      </c>
      <c r="K312" s="27" t="s">
        <v>196</v>
      </c>
      <c r="L312" s="27" t="s">
        <v>336</v>
      </c>
      <c r="M312" s="32"/>
    </row>
    <row r="313" spans="1:13" ht="15.2" customHeight="1" x14ac:dyDescent="0.2">
      <c r="A313" s="26" t="s">
        <v>5329</v>
      </c>
      <c r="B313" s="27" t="s">
        <v>5330</v>
      </c>
      <c r="C313" s="28">
        <v>1</v>
      </c>
      <c r="D313" s="29">
        <v>8.5</v>
      </c>
      <c r="E313" s="29">
        <v>8.5</v>
      </c>
      <c r="F313" s="30">
        <v>19.989999999999998</v>
      </c>
      <c r="G313" s="29">
        <v>19.989999999999998</v>
      </c>
      <c r="H313" s="28" t="s">
        <v>4541</v>
      </c>
      <c r="I313" s="27" t="s">
        <v>59</v>
      </c>
      <c r="J313" s="31" t="s">
        <v>5</v>
      </c>
      <c r="K313" s="27" t="s">
        <v>196</v>
      </c>
      <c r="L313" s="27" t="s">
        <v>336</v>
      </c>
      <c r="M313" s="32"/>
    </row>
    <row r="314" spans="1:13" ht="15.2" customHeight="1" x14ac:dyDescent="0.2">
      <c r="A314" s="26" t="s">
        <v>4715</v>
      </c>
      <c r="B314" s="27" t="s">
        <v>4716</v>
      </c>
      <c r="C314" s="28">
        <v>2</v>
      </c>
      <c r="D314" s="29">
        <v>8.5</v>
      </c>
      <c r="E314" s="29">
        <v>17</v>
      </c>
      <c r="F314" s="30">
        <v>19.989999999999998</v>
      </c>
      <c r="G314" s="29">
        <v>39.979999999999997</v>
      </c>
      <c r="H314" s="28" t="s">
        <v>4271</v>
      </c>
      <c r="I314" s="27" t="s">
        <v>26</v>
      </c>
      <c r="J314" s="31" t="s">
        <v>5</v>
      </c>
      <c r="K314" s="27" t="s">
        <v>196</v>
      </c>
      <c r="L314" s="27" t="s">
        <v>260</v>
      </c>
      <c r="M314" s="32"/>
    </row>
    <row r="315" spans="1:13" ht="15.2" customHeight="1" x14ac:dyDescent="0.2">
      <c r="A315" s="26" t="s">
        <v>5331</v>
      </c>
      <c r="B315" s="27" t="s">
        <v>5332</v>
      </c>
      <c r="C315" s="28">
        <v>2</v>
      </c>
      <c r="D315" s="29">
        <v>8.5</v>
      </c>
      <c r="E315" s="29">
        <v>17</v>
      </c>
      <c r="F315" s="30">
        <v>19.989999999999998</v>
      </c>
      <c r="G315" s="29">
        <v>39.979999999999997</v>
      </c>
      <c r="H315" s="28" t="s">
        <v>4271</v>
      </c>
      <c r="I315" s="27" t="s">
        <v>144</v>
      </c>
      <c r="J315" s="31" t="s">
        <v>52</v>
      </c>
      <c r="K315" s="27" t="s">
        <v>196</v>
      </c>
      <c r="L315" s="27" t="s">
        <v>260</v>
      </c>
      <c r="M315" s="32"/>
    </row>
    <row r="316" spans="1:13" ht="15.2" customHeight="1" x14ac:dyDescent="0.2">
      <c r="A316" s="26" t="s">
        <v>4405</v>
      </c>
      <c r="B316" s="27" t="s">
        <v>4406</v>
      </c>
      <c r="C316" s="28">
        <v>3</v>
      </c>
      <c r="D316" s="29">
        <v>8.5</v>
      </c>
      <c r="E316" s="29">
        <v>25.5</v>
      </c>
      <c r="F316" s="30">
        <v>19.989999999999998</v>
      </c>
      <c r="G316" s="29">
        <v>59.97</v>
      </c>
      <c r="H316" s="28" t="s">
        <v>4271</v>
      </c>
      <c r="I316" s="27" t="s">
        <v>144</v>
      </c>
      <c r="J316" s="31" t="s">
        <v>5</v>
      </c>
      <c r="K316" s="27" t="s">
        <v>196</v>
      </c>
      <c r="L316" s="27" t="s">
        <v>260</v>
      </c>
      <c r="M316" s="32"/>
    </row>
    <row r="317" spans="1:13" ht="15.2" customHeight="1" x14ac:dyDescent="0.2">
      <c r="A317" s="26" t="s">
        <v>5333</v>
      </c>
      <c r="B317" s="27" t="s">
        <v>5334</v>
      </c>
      <c r="C317" s="28">
        <v>1</v>
      </c>
      <c r="D317" s="29">
        <v>8.5</v>
      </c>
      <c r="E317" s="29">
        <v>8.5</v>
      </c>
      <c r="F317" s="30">
        <v>19.989999999999998</v>
      </c>
      <c r="G317" s="29">
        <v>19.989999999999998</v>
      </c>
      <c r="H317" s="28" t="s">
        <v>4404</v>
      </c>
      <c r="I317" s="27" t="s">
        <v>285</v>
      </c>
      <c r="J317" s="31" t="s">
        <v>5</v>
      </c>
      <c r="K317" s="27" t="s">
        <v>196</v>
      </c>
      <c r="L317" s="27" t="s">
        <v>336</v>
      </c>
      <c r="M317" s="32"/>
    </row>
    <row r="318" spans="1:13" ht="15.2" customHeight="1" x14ac:dyDescent="0.2">
      <c r="A318" s="26" t="s">
        <v>4711</v>
      </c>
      <c r="B318" s="27" t="s">
        <v>4712</v>
      </c>
      <c r="C318" s="28">
        <v>1</v>
      </c>
      <c r="D318" s="29">
        <v>8.5</v>
      </c>
      <c r="E318" s="29">
        <v>8.5</v>
      </c>
      <c r="F318" s="30">
        <v>19.989999999999998</v>
      </c>
      <c r="G318" s="29">
        <v>19.989999999999998</v>
      </c>
      <c r="H318" s="28" t="s">
        <v>4271</v>
      </c>
      <c r="I318" s="27" t="s">
        <v>26</v>
      </c>
      <c r="J318" s="31" t="s">
        <v>52</v>
      </c>
      <c r="K318" s="27" t="s">
        <v>196</v>
      </c>
      <c r="L318" s="27" t="s">
        <v>260</v>
      </c>
      <c r="M318" s="32"/>
    </row>
    <row r="319" spans="1:13" ht="15.2" customHeight="1" x14ac:dyDescent="0.2">
      <c r="A319" s="26" t="s">
        <v>5335</v>
      </c>
      <c r="B319" s="27" t="s">
        <v>5336</v>
      </c>
      <c r="C319" s="28">
        <v>1</v>
      </c>
      <c r="D319" s="29">
        <v>8.5</v>
      </c>
      <c r="E319" s="29">
        <v>8.5</v>
      </c>
      <c r="F319" s="30">
        <v>19.989999999999998</v>
      </c>
      <c r="G319" s="29">
        <v>19.989999999999998</v>
      </c>
      <c r="H319" s="28" t="s">
        <v>4271</v>
      </c>
      <c r="I319" s="27" t="s">
        <v>144</v>
      </c>
      <c r="J319" s="31" t="s">
        <v>71</v>
      </c>
      <c r="K319" s="27" t="s">
        <v>196</v>
      </c>
      <c r="L319" s="27" t="s">
        <v>260</v>
      </c>
      <c r="M319" s="32"/>
    </row>
    <row r="320" spans="1:13" ht="15.2" customHeight="1" x14ac:dyDescent="0.2">
      <c r="A320" s="26" t="s">
        <v>5337</v>
      </c>
      <c r="B320" s="27" t="s">
        <v>5338</v>
      </c>
      <c r="C320" s="28">
        <v>1</v>
      </c>
      <c r="D320" s="29">
        <v>8.5</v>
      </c>
      <c r="E320" s="29">
        <v>8.5</v>
      </c>
      <c r="F320" s="30">
        <v>19.989999999999998</v>
      </c>
      <c r="G320" s="29">
        <v>19.989999999999998</v>
      </c>
      <c r="H320" s="28" t="s">
        <v>4541</v>
      </c>
      <c r="I320" s="27" t="s">
        <v>59</v>
      </c>
      <c r="J320" s="31" t="s">
        <v>21</v>
      </c>
      <c r="K320" s="27" t="s">
        <v>196</v>
      </c>
      <c r="L320" s="27" t="s">
        <v>336</v>
      </c>
      <c r="M320" s="32"/>
    </row>
    <row r="321" spans="1:13" ht="15.2" customHeight="1" x14ac:dyDescent="0.2">
      <c r="A321" s="26" t="s">
        <v>5339</v>
      </c>
      <c r="B321" s="27" t="s">
        <v>5340</v>
      </c>
      <c r="C321" s="28">
        <v>1</v>
      </c>
      <c r="D321" s="29">
        <v>8.5</v>
      </c>
      <c r="E321" s="29">
        <v>8.5</v>
      </c>
      <c r="F321" s="30">
        <v>19.989999999999998</v>
      </c>
      <c r="G321" s="29">
        <v>19.989999999999998</v>
      </c>
      <c r="H321" s="28" t="s">
        <v>4404</v>
      </c>
      <c r="I321" s="27" t="s">
        <v>746</v>
      </c>
      <c r="J321" s="31" t="s">
        <v>5</v>
      </c>
      <c r="K321" s="27" t="s">
        <v>196</v>
      </c>
      <c r="L321" s="27" t="s">
        <v>336</v>
      </c>
      <c r="M321" s="32"/>
    </row>
    <row r="322" spans="1:13" ht="15.2" customHeight="1" x14ac:dyDescent="0.2">
      <c r="A322" s="26" t="s">
        <v>4272</v>
      </c>
      <c r="B322" s="27" t="s">
        <v>4273</v>
      </c>
      <c r="C322" s="28">
        <v>4</v>
      </c>
      <c r="D322" s="29">
        <v>8.5</v>
      </c>
      <c r="E322" s="29">
        <v>34</v>
      </c>
      <c r="F322" s="30">
        <v>19.989999999999998</v>
      </c>
      <c r="G322" s="29">
        <v>79.959999999999994</v>
      </c>
      <c r="H322" s="28" t="s">
        <v>4274</v>
      </c>
      <c r="I322" s="27" t="s">
        <v>4</v>
      </c>
      <c r="J322" s="31" t="s">
        <v>21</v>
      </c>
      <c r="K322" s="27" t="s">
        <v>282</v>
      </c>
      <c r="L322" s="27" t="s">
        <v>283</v>
      </c>
      <c r="M322" s="32"/>
    </row>
    <row r="323" spans="1:13" ht="15.2" customHeight="1" x14ac:dyDescent="0.2">
      <c r="A323" s="26" t="s">
        <v>4275</v>
      </c>
      <c r="B323" s="27" t="s">
        <v>4276</v>
      </c>
      <c r="C323" s="28">
        <v>2</v>
      </c>
      <c r="D323" s="29">
        <v>8.5</v>
      </c>
      <c r="E323" s="29">
        <v>17</v>
      </c>
      <c r="F323" s="30">
        <v>19.989999999999998</v>
      </c>
      <c r="G323" s="29">
        <v>39.979999999999997</v>
      </c>
      <c r="H323" s="28" t="s">
        <v>4274</v>
      </c>
      <c r="I323" s="27" t="s">
        <v>4</v>
      </c>
      <c r="J323" s="31" t="s">
        <v>71</v>
      </c>
      <c r="K323" s="27" t="s">
        <v>282</v>
      </c>
      <c r="L323" s="27" t="s">
        <v>283</v>
      </c>
      <c r="M323" s="32"/>
    </row>
    <row r="324" spans="1:13" ht="15.2" customHeight="1" x14ac:dyDescent="0.2">
      <c r="A324" s="26" t="s">
        <v>4413</v>
      </c>
      <c r="B324" s="27" t="s">
        <v>4414</v>
      </c>
      <c r="C324" s="28">
        <v>4</v>
      </c>
      <c r="D324" s="29">
        <v>8.5</v>
      </c>
      <c r="E324" s="29">
        <v>34</v>
      </c>
      <c r="F324" s="30">
        <v>19.989999999999998</v>
      </c>
      <c r="G324" s="29">
        <v>79.959999999999994</v>
      </c>
      <c r="H324" s="28" t="s">
        <v>4279</v>
      </c>
      <c r="I324" s="27" t="s">
        <v>215</v>
      </c>
      <c r="J324" s="31" t="s">
        <v>52</v>
      </c>
      <c r="K324" s="27" t="s">
        <v>282</v>
      </c>
      <c r="L324" s="27" t="s">
        <v>283</v>
      </c>
      <c r="M324" s="32"/>
    </row>
    <row r="325" spans="1:13" ht="15.2" customHeight="1" x14ac:dyDescent="0.2">
      <c r="A325" s="26" t="s">
        <v>5341</v>
      </c>
      <c r="B325" s="27" t="s">
        <v>5342</v>
      </c>
      <c r="C325" s="28">
        <v>1</v>
      </c>
      <c r="D325" s="29">
        <v>8.5</v>
      </c>
      <c r="E325" s="29">
        <v>8.5</v>
      </c>
      <c r="F325" s="30">
        <v>19.989999999999998</v>
      </c>
      <c r="G325" s="29">
        <v>19.989999999999998</v>
      </c>
      <c r="H325" s="28" t="s">
        <v>4274</v>
      </c>
      <c r="I325" s="27" t="s">
        <v>4</v>
      </c>
      <c r="J325" s="31" t="s">
        <v>40</v>
      </c>
      <c r="K325" s="27" t="s">
        <v>282</v>
      </c>
      <c r="L325" s="27" t="s">
        <v>283</v>
      </c>
      <c r="M325" s="32"/>
    </row>
    <row r="326" spans="1:13" ht="15.2" customHeight="1" x14ac:dyDescent="0.2">
      <c r="A326" s="26" t="s">
        <v>5343</v>
      </c>
      <c r="B326" s="27" t="s">
        <v>5344</v>
      </c>
      <c r="C326" s="28">
        <v>1</v>
      </c>
      <c r="D326" s="29">
        <v>8.5</v>
      </c>
      <c r="E326" s="29">
        <v>8.5</v>
      </c>
      <c r="F326" s="30">
        <v>19.989999999999998</v>
      </c>
      <c r="G326" s="29">
        <v>19.989999999999998</v>
      </c>
      <c r="H326" s="28" t="s">
        <v>4403</v>
      </c>
      <c r="I326" s="27" t="s">
        <v>280</v>
      </c>
      <c r="J326" s="31" t="s">
        <v>71</v>
      </c>
      <c r="K326" s="27" t="s">
        <v>282</v>
      </c>
      <c r="L326" s="27" t="s">
        <v>358</v>
      </c>
      <c r="M326" s="32"/>
    </row>
    <row r="327" spans="1:13" ht="15.2" customHeight="1" x14ac:dyDescent="0.2">
      <c r="A327" s="26" t="s">
        <v>4411</v>
      </c>
      <c r="B327" s="27" t="s">
        <v>4412</v>
      </c>
      <c r="C327" s="28">
        <v>2</v>
      </c>
      <c r="D327" s="29">
        <v>8.5</v>
      </c>
      <c r="E327" s="29">
        <v>17</v>
      </c>
      <c r="F327" s="30">
        <v>19.989999999999998</v>
      </c>
      <c r="G327" s="29">
        <v>39.979999999999997</v>
      </c>
      <c r="H327" s="28" t="s">
        <v>4274</v>
      </c>
      <c r="I327" s="27" t="s">
        <v>4</v>
      </c>
      <c r="J327" s="31" t="s">
        <v>5</v>
      </c>
      <c r="K327" s="27" t="s">
        <v>282</v>
      </c>
      <c r="L327" s="27" t="s">
        <v>283</v>
      </c>
      <c r="M327" s="32"/>
    </row>
    <row r="328" spans="1:13" ht="15.2" customHeight="1" x14ac:dyDescent="0.2">
      <c r="A328" s="26" t="s">
        <v>4145</v>
      </c>
      <c r="B328" s="27" t="s">
        <v>4146</v>
      </c>
      <c r="C328" s="28">
        <v>1</v>
      </c>
      <c r="D328" s="29">
        <v>8.5</v>
      </c>
      <c r="E328" s="29">
        <v>8.5</v>
      </c>
      <c r="F328" s="30">
        <v>19.989999999999998</v>
      </c>
      <c r="G328" s="29">
        <v>19.989999999999998</v>
      </c>
      <c r="H328" s="28" t="s">
        <v>582</v>
      </c>
      <c r="I328" s="27" t="s">
        <v>33</v>
      </c>
      <c r="J328" s="31" t="s">
        <v>52</v>
      </c>
      <c r="K328" s="27" t="s">
        <v>282</v>
      </c>
      <c r="L328" s="27" t="s">
        <v>312</v>
      </c>
      <c r="M328" s="32"/>
    </row>
    <row r="329" spans="1:13" ht="15.2" customHeight="1" x14ac:dyDescent="0.2">
      <c r="A329" s="26" t="s">
        <v>4707</v>
      </c>
      <c r="B329" s="27" t="s">
        <v>4708</v>
      </c>
      <c r="C329" s="28">
        <v>5</v>
      </c>
      <c r="D329" s="29">
        <v>8.5</v>
      </c>
      <c r="E329" s="29">
        <v>42.5</v>
      </c>
      <c r="F329" s="30">
        <v>19.989999999999998</v>
      </c>
      <c r="G329" s="29">
        <v>99.95</v>
      </c>
      <c r="H329" s="28" t="s">
        <v>4279</v>
      </c>
      <c r="I329" s="27" t="s">
        <v>215</v>
      </c>
      <c r="J329" s="31" t="s">
        <v>40</v>
      </c>
      <c r="K329" s="27" t="s">
        <v>282</v>
      </c>
      <c r="L329" s="27" t="s">
        <v>283</v>
      </c>
      <c r="M329" s="32"/>
    </row>
    <row r="330" spans="1:13" ht="15.2" customHeight="1" x14ac:dyDescent="0.2">
      <c r="A330" s="26" t="s">
        <v>4409</v>
      </c>
      <c r="B330" s="27" t="s">
        <v>4410</v>
      </c>
      <c r="C330" s="28">
        <v>2</v>
      </c>
      <c r="D330" s="29">
        <v>8.5</v>
      </c>
      <c r="E330" s="29">
        <v>17</v>
      </c>
      <c r="F330" s="30">
        <v>19.989999999999998</v>
      </c>
      <c r="G330" s="29">
        <v>39.979999999999997</v>
      </c>
      <c r="H330" s="28" t="s">
        <v>4279</v>
      </c>
      <c r="I330" s="27" t="s">
        <v>215</v>
      </c>
      <c r="J330" s="31" t="s">
        <v>71</v>
      </c>
      <c r="K330" s="27" t="s">
        <v>282</v>
      </c>
      <c r="L330" s="27" t="s">
        <v>283</v>
      </c>
      <c r="M330" s="32"/>
    </row>
    <row r="331" spans="1:13" ht="15.2" customHeight="1" x14ac:dyDescent="0.2">
      <c r="A331" s="26" t="s">
        <v>4277</v>
      </c>
      <c r="B331" s="27" t="s">
        <v>4278</v>
      </c>
      <c r="C331" s="28">
        <v>6</v>
      </c>
      <c r="D331" s="29">
        <v>8.5</v>
      </c>
      <c r="E331" s="29">
        <v>51</v>
      </c>
      <c r="F331" s="30">
        <v>19.989999999999998</v>
      </c>
      <c r="G331" s="29">
        <v>119.94</v>
      </c>
      <c r="H331" s="28" t="s">
        <v>4279</v>
      </c>
      <c r="I331" s="27" t="s">
        <v>215</v>
      </c>
      <c r="J331" s="31" t="s">
        <v>5</v>
      </c>
      <c r="K331" s="27" t="s">
        <v>282</v>
      </c>
      <c r="L331" s="27" t="s">
        <v>283</v>
      </c>
      <c r="M331" s="32"/>
    </row>
    <row r="332" spans="1:13" ht="15.2" customHeight="1" x14ac:dyDescent="0.2">
      <c r="A332" s="26" t="s">
        <v>5345</v>
      </c>
      <c r="B332" s="27" t="s">
        <v>5346</v>
      </c>
      <c r="C332" s="28">
        <v>1</v>
      </c>
      <c r="D332" s="29">
        <v>8.25</v>
      </c>
      <c r="E332" s="29">
        <v>8.25</v>
      </c>
      <c r="F332" s="30">
        <v>19.989999999999998</v>
      </c>
      <c r="G332" s="29">
        <v>19.989999999999998</v>
      </c>
      <c r="H332" s="28" t="s">
        <v>4151</v>
      </c>
      <c r="I332" s="27" t="s">
        <v>357</v>
      </c>
      <c r="J332" s="31" t="s">
        <v>21</v>
      </c>
      <c r="K332" s="27" t="s">
        <v>196</v>
      </c>
      <c r="L332" s="27" t="s">
        <v>322</v>
      </c>
      <c r="M332" s="32"/>
    </row>
    <row r="333" spans="1:13" ht="15.2" customHeight="1" x14ac:dyDescent="0.2">
      <c r="A333" s="26" t="s">
        <v>4719</v>
      </c>
      <c r="B333" s="27" t="s">
        <v>4720</v>
      </c>
      <c r="C333" s="28">
        <v>1</v>
      </c>
      <c r="D333" s="29">
        <v>8.25</v>
      </c>
      <c r="E333" s="29">
        <v>8.25</v>
      </c>
      <c r="F333" s="30">
        <v>19.989999999999998</v>
      </c>
      <c r="G333" s="29">
        <v>19.989999999999998</v>
      </c>
      <c r="H333" s="28" t="s">
        <v>4544</v>
      </c>
      <c r="I333" s="27" t="s">
        <v>26</v>
      </c>
      <c r="J333" s="31" t="s">
        <v>40</v>
      </c>
      <c r="K333" s="27" t="s">
        <v>196</v>
      </c>
      <c r="L333" s="27" t="s">
        <v>322</v>
      </c>
      <c r="M333" s="32"/>
    </row>
    <row r="334" spans="1:13" ht="15.2" customHeight="1" x14ac:dyDescent="0.2">
      <c r="A334" s="26" t="s">
        <v>4721</v>
      </c>
      <c r="B334" s="27" t="s">
        <v>4722</v>
      </c>
      <c r="C334" s="28">
        <v>1</v>
      </c>
      <c r="D334" s="29">
        <v>8.25</v>
      </c>
      <c r="E334" s="29">
        <v>8.25</v>
      </c>
      <c r="F334" s="30">
        <v>22.99</v>
      </c>
      <c r="G334" s="29">
        <v>22.99</v>
      </c>
      <c r="H334" s="28" t="s">
        <v>1680</v>
      </c>
      <c r="I334" s="27" t="s">
        <v>29</v>
      </c>
      <c r="J334" s="31" t="s">
        <v>216</v>
      </c>
      <c r="K334" s="27" t="s">
        <v>200</v>
      </c>
      <c r="L334" s="27" t="s">
        <v>1201</v>
      </c>
      <c r="M334" s="32"/>
    </row>
    <row r="335" spans="1:13" ht="15.2" customHeight="1" x14ac:dyDescent="0.2">
      <c r="A335" s="26" t="s">
        <v>5347</v>
      </c>
      <c r="B335" s="27" t="s">
        <v>5348</v>
      </c>
      <c r="C335" s="28">
        <v>1</v>
      </c>
      <c r="D335" s="29">
        <v>8.15</v>
      </c>
      <c r="E335" s="29">
        <v>8.15</v>
      </c>
      <c r="F335" s="30">
        <v>19.989999999999998</v>
      </c>
      <c r="G335" s="29">
        <v>19.989999999999998</v>
      </c>
      <c r="H335" s="28">
        <v>60453500</v>
      </c>
      <c r="I335" s="27" t="s">
        <v>33</v>
      </c>
      <c r="J335" s="31" t="s">
        <v>21</v>
      </c>
      <c r="K335" s="27" t="s">
        <v>208</v>
      </c>
      <c r="L335" s="27" t="s">
        <v>255</v>
      </c>
      <c r="M335" s="32"/>
    </row>
    <row r="336" spans="1:13" ht="15.2" customHeight="1" x14ac:dyDescent="0.2">
      <c r="A336" s="26" t="s">
        <v>5349</v>
      </c>
      <c r="B336" s="27" t="s">
        <v>5350</v>
      </c>
      <c r="C336" s="28">
        <v>1</v>
      </c>
      <c r="D336" s="29">
        <v>8.15</v>
      </c>
      <c r="E336" s="29">
        <v>8.15</v>
      </c>
      <c r="F336" s="30">
        <v>19.989999999999998</v>
      </c>
      <c r="G336" s="29">
        <v>19.989999999999998</v>
      </c>
      <c r="H336" s="28">
        <v>60453500</v>
      </c>
      <c r="I336" s="27" t="s">
        <v>4</v>
      </c>
      <c r="J336" s="31" t="s">
        <v>5</v>
      </c>
      <c r="K336" s="27" t="s">
        <v>208</v>
      </c>
      <c r="L336" s="27" t="s">
        <v>255</v>
      </c>
      <c r="M336" s="32"/>
    </row>
    <row r="337" spans="1:13" ht="15.2" customHeight="1" x14ac:dyDescent="0.2">
      <c r="A337" s="26" t="s">
        <v>5351</v>
      </c>
      <c r="B337" s="27" t="s">
        <v>5352</v>
      </c>
      <c r="C337" s="28">
        <v>1</v>
      </c>
      <c r="D337" s="29">
        <v>8</v>
      </c>
      <c r="E337" s="29">
        <v>8</v>
      </c>
      <c r="F337" s="30">
        <v>19.989999999999998</v>
      </c>
      <c r="G337" s="29">
        <v>19.989999999999998</v>
      </c>
      <c r="H337" s="28" t="s">
        <v>4154</v>
      </c>
      <c r="I337" s="27" t="s">
        <v>1</v>
      </c>
      <c r="J337" s="31" t="s">
        <v>21</v>
      </c>
      <c r="K337" s="27" t="s">
        <v>196</v>
      </c>
      <c r="L337" s="27" t="s">
        <v>239</v>
      </c>
      <c r="M337" s="32"/>
    </row>
    <row r="338" spans="1:13" ht="15.2" customHeight="1" x14ac:dyDescent="0.2">
      <c r="A338" s="26" t="s">
        <v>4555</v>
      </c>
      <c r="B338" s="27" t="s">
        <v>4556</v>
      </c>
      <c r="C338" s="28">
        <v>1</v>
      </c>
      <c r="D338" s="29">
        <v>8</v>
      </c>
      <c r="E338" s="29">
        <v>8</v>
      </c>
      <c r="F338" s="30">
        <v>19.989999999999998</v>
      </c>
      <c r="G338" s="29">
        <v>19.989999999999998</v>
      </c>
      <c r="H338" s="28" t="s">
        <v>4154</v>
      </c>
      <c r="I338" s="27" t="s">
        <v>302</v>
      </c>
      <c r="J338" s="31" t="s">
        <v>5</v>
      </c>
      <c r="K338" s="27" t="s">
        <v>196</v>
      </c>
      <c r="L338" s="27" t="s">
        <v>239</v>
      </c>
      <c r="M338" s="32"/>
    </row>
    <row r="339" spans="1:13" ht="15.2" customHeight="1" x14ac:dyDescent="0.2">
      <c r="A339" s="26" t="s">
        <v>5353</v>
      </c>
      <c r="B339" s="27" t="s">
        <v>5354</v>
      </c>
      <c r="C339" s="28">
        <v>1</v>
      </c>
      <c r="D339" s="29">
        <v>8</v>
      </c>
      <c r="E339" s="29">
        <v>8</v>
      </c>
      <c r="F339" s="30">
        <v>19.989999999999998</v>
      </c>
      <c r="G339" s="29">
        <v>19.989999999999998</v>
      </c>
      <c r="H339" s="28" t="s">
        <v>4154</v>
      </c>
      <c r="I339" s="27" t="s">
        <v>4</v>
      </c>
      <c r="J339" s="31" t="s">
        <v>71</v>
      </c>
      <c r="K339" s="27" t="s">
        <v>196</v>
      </c>
      <c r="L339" s="27" t="s">
        <v>239</v>
      </c>
      <c r="M339" s="32"/>
    </row>
    <row r="340" spans="1:13" ht="15.2" customHeight="1" x14ac:dyDescent="0.2">
      <c r="A340" s="26" t="s">
        <v>4727</v>
      </c>
      <c r="B340" s="27" t="s">
        <v>4728</v>
      </c>
      <c r="C340" s="28">
        <v>2</v>
      </c>
      <c r="D340" s="29">
        <v>8</v>
      </c>
      <c r="E340" s="29">
        <v>16</v>
      </c>
      <c r="F340" s="30">
        <v>19.989999999999998</v>
      </c>
      <c r="G340" s="29">
        <v>39.979999999999997</v>
      </c>
      <c r="H340" s="28" t="s">
        <v>4545</v>
      </c>
      <c r="I340" s="27" t="s">
        <v>33</v>
      </c>
      <c r="J340" s="31" t="s">
        <v>52</v>
      </c>
      <c r="K340" s="27" t="s">
        <v>196</v>
      </c>
      <c r="L340" s="27" t="s">
        <v>322</v>
      </c>
      <c r="M340" s="32"/>
    </row>
    <row r="341" spans="1:13" ht="15.2" customHeight="1" x14ac:dyDescent="0.2">
      <c r="A341" s="26" t="s">
        <v>4298</v>
      </c>
      <c r="B341" s="27" t="s">
        <v>4299</v>
      </c>
      <c r="C341" s="28">
        <v>1</v>
      </c>
      <c r="D341" s="29">
        <v>8</v>
      </c>
      <c r="E341" s="29">
        <v>8</v>
      </c>
      <c r="F341" s="30">
        <v>19.989999999999998</v>
      </c>
      <c r="G341" s="29">
        <v>19.989999999999998</v>
      </c>
      <c r="H341" s="28" t="s">
        <v>4285</v>
      </c>
      <c r="I341" s="27" t="s">
        <v>29</v>
      </c>
      <c r="J341" s="31" t="s">
        <v>21</v>
      </c>
      <c r="K341" s="27" t="s">
        <v>282</v>
      </c>
      <c r="L341" s="27" t="s">
        <v>312</v>
      </c>
      <c r="M341" s="32"/>
    </row>
    <row r="342" spans="1:13" ht="15.2" customHeight="1" x14ac:dyDescent="0.2">
      <c r="A342" s="26" t="s">
        <v>4283</v>
      </c>
      <c r="B342" s="27" t="s">
        <v>4284</v>
      </c>
      <c r="C342" s="28">
        <v>1</v>
      </c>
      <c r="D342" s="29">
        <v>8</v>
      </c>
      <c r="E342" s="29">
        <v>8</v>
      </c>
      <c r="F342" s="30">
        <v>19.989999999999998</v>
      </c>
      <c r="G342" s="29">
        <v>19.989999999999998</v>
      </c>
      <c r="H342" s="28" t="s">
        <v>4285</v>
      </c>
      <c r="I342" s="27" t="s">
        <v>29</v>
      </c>
      <c r="J342" s="31" t="s">
        <v>71</v>
      </c>
      <c r="K342" s="27" t="s">
        <v>282</v>
      </c>
      <c r="L342" s="27" t="s">
        <v>312</v>
      </c>
      <c r="M342" s="32"/>
    </row>
    <row r="343" spans="1:13" ht="15.2" customHeight="1" x14ac:dyDescent="0.2">
      <c r="A343" s="26" t="s">
        <v>5355</v>
      </c>
      <c r="B343" s="27" t="s">
        <v>5356</v>
      </c>
      <c r="C343" s="28">
        <v>1</v>
      </c>
      <c r="D343" s="29">
        <v>8</v>
      </c>
      <c r="E343" s="29">
        <v>8</v>
      </c>
      <c r="F343" s="30">
        <v>19.989999999999998</v>
      </c>
      <c r="G343" s="29">
        <v>19.989999999999998</v>
      </c>
      <c r="H343" s="28" t="s">
        <v>4294</v>
      </c>
      <c r="I343" s="27" t="s">
        <v>26</v>
      </c>
      <c r="J343" s="31" t="s">
        <v>71</v>
      </c>
      <c r="K343" s="27" t="s">
        <v>282</v>
      </c>
      <c r="L343" s="27" t="s">
        <v>312</v>
      </c>
      <c r="M343" s="32"/>
    </row>
    <row r="344" spans="1:13" ht="15.2" customHeight="1" x14ac:dyDescent="0.2">
      <c r="A344" s="26" t="s">
        <v>4292</v>
      </c>
      <c r="B344" s="27" t="s">
        <v>4293</v>
      </c>
      <c r="C344" s="28">
        <v>3</v>
      </c>
      <c r="D344" s="29">
        <v>8</v>
      </c>
      <c r="E344" s="29">
        <v>24</v>
      </c>
      <c r="F344" s="30">
        <v>19.989999999999998</v>
      </c>
      <c r="G344" s="29">
        <v>59.97</v>
      </c>
      <c r="H344" s="28" t="s">
        <v>4294</v>
      </c>
      <c r="I344" s="27" t="s">
        <v>26</v>
      </c>
      <c r="J344" s="31" t="s">
        <v>21</v>
      </c>
      <c r="K344" s="27" t="s">
        <v>282</v>
      </c>
      <c r="L344" s="27" t="s">
        <v>312</v>
      </c>
      <c r="M344" s="32"/>
    </row>
    <row r="345" spans="1:13" ht="15.2" customHeight="1" x14ac:dyDescent="0.2">
      <c r="A345" s="26" t="s">
        <v>4549</v>
      </c>
      <c r="B345" s="27" t="s">
        <v>4550</v>
      </c>
      <c r="C345" s="28">
        <v>1</v>
      </c>
      <c r="D345" s="29">
        <v>8</v>
      </c>
      <c r="E345" s="29">
        <v>8</v>
      </c>
      <c r="F345" s="30">
        <v>19.989999999999998</v>
      </c>
      <c r="G345" s="29">
        <v>19.989999999999998</v>
      </c>
      <c r="H345" s="28" t="s">
        <v>4294</v>
      </c>
      <c r="I345" s="27" t="s">
        <v>26</v>
      </c>
      <c r="J345" s="31" t="s">
        <v>52</v>
      </c>
      <c r="K345" s="27" t="s">
        <v>282</v>
      </c>
      <c r="L345" s="27" t="s">
        <v>312</v>
      </c>
      <c r="M345" s="32"/>
    </row>
    <row r="346" spans="1:13" ht="15.2" customHeight="1" x14ac:dyDescent="0.2">
      <c r="A346" s="26" t="s">
        <v>4418</v>
      </c>
      <c r="B346" s="27" t="s">
        <v>4419</v>
      </c>
      <c r="C346" s="28">
        <v>4</v>
      </c>
      <c r="D346" s="29">
        <v>8</v>
      </c>
      <c r="E346" s="29">
        <v>32</v>
      </c>
      <c r="F346" s="30">
        <v>19.989999999999998</v>
      </c>
      <c r="G346" s="29">
        <v>79.959999999999994</v>
      </c>
      <c r="H346" s="28" t="s">
        <v>4294</v>
      </c>
      <c r="I346" s="27" t="s">
        <v>26</v>
      </c>
      <c r="J346" s="31" t="s">
        <v>5</v>
      </c>
      <c r="K346" s="27" t="s">
        <v>282</v>
      </c>
      <c r="L346" s="27" t="s">
        <v>312</v>
      </c>
      <c r="M346" s="32"/>
    </row>
    <row r="347" spans="1:13" ht="15.2" customHeight="1" x14ac:dyDescent="0.2">
      <c r="A347" s="26" t="s">
        <v>4551</v>
      </c>
      <c r="B347" s="27" t="s">
        <v>4552</v>
      </c>
      <c r="C347" s="28">
        <v>1</v>
      </c>
      <c r="D347" s="29">
        <v>8</v>
      </c>
      <c r="E347" s="29">
        <v>8</v>
      </c>
      <c r="F347" s="30">
        <v>19.989999999999998</v>
      </c>
      <c r="G347" s="29">
        <v>19.989999999999998</v>
      </c>
      <c r="H347" s="28" t="s">
        <v>4297</v>
      </c>
      <c r="I347" s="27" t="s">
        <v>189</v>
      </c>
      <c r="J347" s="31" t="s">
        <v>40</v>
      </c>
      <c r="K347" s="27" t="s">
        <v>282</v>
      </c>
      <c r="L347" s="27" t="s">
        <v>312</v>
      </c>
      <c r="M347" s="32"/>
    </row>
    <row r="348" spans="1:13" ht="15.2" customHeight="1" x14ac:dyDescent="0.2">
      <c r="A348" s="26" t="s">
        <v>4290</v>
      </c>
      <c r="B348" s="27" t="s">
        <v>4291</v>
      </c>
      <c r="C348" s="28">
        <v>1</v>
      </c>
      <c r="D348" s="29">
        <v>8</v>
      </c>
      <c r="E348" s="29">
        <v>8</v>
      </c>
      <c r="F348" s="30">
        <v>19.989999999999998</v>
      </c>
      <c r="G348" s="29">
        <v>19.989999999999998</v>
      </c>
      <c r="H348" s="28" t="s">
        <v>4285</v>
      </c>
      <c r="I348" s="27" t="s">
        <v>29</v>
      </c>
      <c r="J348" s="31" t="s">
        <v>5</v>
      </c>
      <c r="K348" s="27" t="s">
        <v>282</v>
      </c>
      <c r="L348" s="27" t="s">
        <v>312</v>
      </c>
      <c r="M348" s="32"/>
    </row>
    <row r="349" spans="1:13" ht="15.2" customHeight="1" x14ac:dyDescent="0.2">
      <c r="A349" s="26" t="s">
        <v>5357</v>
      </c>
      <c r="B349" s="27" t="s">
        <v>5358</v>
      </c>
      <c r="C349" s="28">
        <v>1</v>
      </c>
      <c r="D349" s="29">
        <v>8</v>
      </c>
      <c r="E349" s="29">
        <v>8</v>
      </c>
      <c r="F349" s="30">
        <v>19.989999999999998</v>
      </c>
      <c r="G349" s="29">
        <v>19.989999999999998</v>
      </c>
      <c r="H349" s="28" t="s">
        <v>4417</v>
      </c>
      <c r="I349" s="27" t="s">
        <v>4</v>
      </c>
      <c r="J349" s="31" t="s">
        <v>71</v>
      </c>
      <c r="K349" s="27" t="s">
        <v>282</v>
      </c>
      <c r="L349" s="27" t="s">
        <v>312</v>
      </c>
      <c r="M349" s="32"/>
    </row>
    <row r="350" spans="1:13" ht="15.2" customHeight="1" x14ac:dyDescent="0.2">
      <c r="A350" s="26" t="s">
        <v>4288</v>
      </c>
      <c r="B350" s="27" t="s">
        <v>4289</v>
      </c>
      <c r="C350" s="28">
        <v>2</v>
      </c>
      <c r="D350" s="29">
        <v>8</v>
      </c>
      <c r="E350" s="29">
        <v>16</v>
      </c>
      <c r="F350" s="30">
        <v>19.989999999999998</v>
      </c>
      <c r="G350" s="29">
        <v>39.979999999999997</v>
      </c>
      <c r="H350" s="28" t="s">
        <v>4285</v>
      </c>
      <c r="I350" s="27" t="s">
        <v>29</v>
      </c>
      <c r="J350" s="31" t="s">
        <v>52</v>
      </c>
      <c r="K350" s="27" t="s">
        <v>282</v>
      </c>
      <c r="L350" s="27" t="s">
        <v>312</v>
      </c>
      <c r="M350" s="32"/>
    </row>
    <row r="351" spans="1:13" ht="15.2" customHeight="1" x14ac:dyDescent="0.2">
      <c r="A351" s="26" t="s">
        <v>5359</v>
      </c>
      <c r="B351" s="27" t="s">
        <v>5360</v>
      </c>
      <c r="C351" s="28">
        <v>1</v>
      </c>
      <c r="D351" s="29">
        <v>8</v>
      </c>
      <c r="E351" s="29">
        <v>8</v>
      </c>
      <c r="F351" s="30">
        <v>19.989999999999998</v>
      </c>
      <c r="G351" s="29">
        <v>19.989999999999998</v>
      </c>
      <c r="H351" s="28" t="s">
        <v>4297</v>
      </c>
      <c r="I351" s="27" t="s">
        <v>189</v>
      </c>
      <c r="J351" s="31" t="s">
        <v>71</v>
      </c>
      <c r="K351" s="27" t="s">
        <v>282</v>
      </c>
      <c r="L351" s="27" t="s">
        <v>312</v>
      </c>
      <c r="M351" s="32"/>
    </row>
    <row r="352" spans="1:13" ht="15.2" customHeight="1" x14ac:dyDescent="0.2">
      <c r="A352" s="26" t="s">
        <v>4152</v>
      </c>
      <c r="B352" s="27" t="s">
        <v>4153</v>
      </c>
      <c r="C352" s="28">
        <v>2</v>
      </c>
      <c r="D352" s="29">
        <v>8</v>
      </c>
      <c r="E352" s="29">
        <v>16</v>
      </c>
      <c r="F352" s="30">
        <v>19.989999999999998</v>
      </c>
      <c r="G352" s="29">
        <v>39.979999999999997</v>
      </c>
      <c r="H352" s="28" t="s">
        <v>4154</v>
      </c>
      <c r="I352" s="27" t="s">
        <v>291</v>
      </c>
      <c r="J352" s="31" t="s">
        <v>40</v>
      </c>
      <c r="K352" s="27" t="s">
        <v>196</v>
      </c>
      <c r="L352" s="27" t="s">
        <v>239</v>
      </c>
      <c r="M352" s="32"/>
    </row>
    <row r="353" spans="1:13" ht="15.2" customHeight="1" x14ac:dyDescent="0.2">
      <c r="A353" s="26" t="s">
        <v>4415</v>
      </c>
      <c r="B353" s="27" t="s">
        <v>4416</v>
      </c>
      <c r="C353" s="28">
        <v>1</v>
      </c>
      <c r="D353" s="29">
        <v>8</v>
      </c>
      <c r="E353" s="29">
        <v>8</v>
      </c>
      <c r="F353" s="30">
        <v>19.989999999999998</v>
      </c>
      <c r="G353" s="29">
        <v>19.989999999999998</v>
      </c>
      <c r="H353" s="28" t="s">
        <v>4154</v>
      </c>
      <c r="I353" s="27" t="s">
        <v>302</v>
      </c>
      <c r="J353" s="31" t="s">
        <v>40</v>
      </c>
      <c r="K353" s="27" t="s">
        <v>196</v>
      </c>
      <c r="L353" s="27" t="s">
        <v>239</v>
      </c>
      <c r="M353" s="32"/>
    </row>
    <row r="354" spans="1:13" ht="15.2" customHeight="1" x14ac:dyDescent="0.2">
      <c r="A354" s="26" t="s">
        <v>4286</v>
      </c>
      <c r="B354" s="27" t="s">
        <v>4287</v>
      </c>
      <c r="C354" s="28">
        <v>1</v>
      </c>
      <c r="D354" s="29">
        <v>8</v>
      </c>
      <c r="E354" s="29">
        <v>8</v>
      </c>
      <c r="F354" s="30">
        <v>19.989999999999998</v>
      </c>
      <c r="G354" s="29">
        <v>19.989999999999998</v>
      </c>
      <c r="H354" s="28" t="s">
        <v>4282</v>
      </c>
      <c r="I354" s="27" t="s">
        <v>82</v>
      </c>
      <c r="J354" s="31" t="s">
        <v>40</v>
      </c>
      <c r="K354" s="27" t="s">
        <v>196</v>
      </c>
      <c r="L354" s="27" t="s">
        <v>239</v>
      </c>
      <c r="M354" s="32"/>
    </row>
    <row r="355" spans="1:13" ht="15.2" customHeight="1" x14ac:dyDescent="0.2">
      <c r="A355" s="26" t="s">
        <v>4280</v>
      </c>
      <c r="B355" s="27" t="s">
        <v>4281</v>
      </c>
      <c r="C355" s="28">
        <v>1</v>
      </c>
      <c r="D355" s="29">
        <v>8</v>
      </c>
      <c r="E355" s="29">
        <v>8</v>
      </c>
      <c r="F355" s="30">
        <v>19.989999999999998</v>
      </c>
      <c r="G355" s="29">
        <v>19.989999999999998</v>
      </c>
      <c r="H355" s="28" t="s">
        <v>4282</v>
      </c>
      <c r="I355" s="27" t="s">
        <v>4</v>
      </c>
      <c r="J355" s="31" t="s">
        <v>5</v>
      </c>
      <c r="K355" s="27" t="s">
        <v>196</v>
      </c>
      <c r="L355" s="27" t="s">
        <v>239</v>
      </c>
      <c r="M355" s="32"/>
    </row>
    <row r="356" spans="1:13" ht="15.2" customHeight="1" x14ac:dyDescent="0.2">
      <c r="A356" s="26" t="s">
        <v>4557</v>
      </c>
      <c r="B356" s="27" t="s">
        <v>4558</v>
      </c>
      <c r="C356" s="28">
        <v>1</v>
      </c>
      <c r="D356" s="29">
        <v>8</v>
      </c>
      <c r="E356" s="29">
        <v>8</v>
      </c>
      <c r="F356" s="30">
        <v>19.989999999999998</v>
      </c>
      <c r="G356" s="29">
        <v>19.989999999999998</v>
      </c>
      <c r="H356" s="28" t="s">
        <v>4545</v>
      </c>
      <c r="I356" s="27" t="s">
        <v>94</v>
      </c>
      <c r="J356" s="31" t="s">
        <v>40</v>
      </c>
      <c r="K356" s="27" t="s">
        <v>196</v>
      </c>
      <c r="L356" s="27" t="s">
        <v>322</v>
      </c>
      <c r="M356" s="32"/>
    </row>
    <row r="357" spans="1:13" ht="15.2" customHeight="1" x14ac:dyDescent="0.2">
      <c r="A357" s="26" t="s">
        <v>4547</v>
      </c>
      <c r="B357" s="27" t="s">
        <v>4548</v>
      </c>
      <c r="C357" s="28">
        <v>3</v>
      </c>
      <c r="D357" s="29">
        <v>8</v>
      </c>
      <c r="E357" s="29">
        <v>24</v>
      </c>
      <c r="F357" s="30">
        <v>19.989999999999998</v>
      </c>
      <c r="G357" s="29">
        <v>59.97</v>
      </c>
      <c r="H357" s="28" t="s">
        <v>4285</v>
      </c>
      <c r="I357" s="27" t="s">
        <v>29</v>
      </c>
      <c r="J357" s="31" t="s">
        <v>40</v>
      </c>
      <c r="K357" s="27" t="s">
        <v>282</v>
      </c>
      <c r="L357" s="27" t="s">
        <v>312</v>
      </c>
      <c r="M357" s="32"/>
    </row>
    <row r="358" spans="1:13" ht="15.2" customHeight="1" x14ac:dyDescent="0.2">
      <c r="A358" s="26" t="s">
        <v>4892</v>
      </c>
      <c r="B358" s="27" t="s">
        <v>4893</v>
      </c>
      <c r="C358" s="28">
        <v>4</v>
      </c>
      <c r="D358" s="29">
        <v>8</v>
      </c>
      <c r="E358" s="29">
        <v>32</v>
      </c>
      <c r="F358" s="30">
        <v>19.989999999999998</v>
      </c>
      <c r="G358" s="29">
        <v>79.959999999999994</v>
      </c>
      <c r="H358" s="28" t="s">
        <v>4294</v>
      </c>
      <c r="I358" s="27" t="s">
        <v>26</v>
      </c>
      <c r="J358" s="31" t="s">
        <v>40</v>
      </c>
      <c r="K358" s="27" t="s">
        <v>282</v>
      </c>
      <c r="L358" s="27" t="s">
        <v>312</v>
      </c>
      <c r="M358" s="32"/>
    </row>
    <row r="359" spans="1:13" ht="15.2" customHeight="1" x14ac:dyDescent="0.2">
      <c r="A359" s="26" t="s">
        <v>4559</v>
      </c>
      <c r="B359" s="27" t="s">
        <v>4560</v>
      </c>
      <c r="C359" s="28">
        <v>1</v>
      </c>
      <c r="D359" s="29">
        <v>7.9</v>
      </c>
      <c r="E359" s="29">
        <v>7.9</v>
      </c>
      <c r="F359" s="30">
        <v>19.989999999999998</v>
      </c>
      <c r="G359" s="29">
        <v>19.989999999999998</v>
      </c>
      <c r="H359" s="28" t="s">
        <v>4302</v>
      </c>
      <c r="I359" s="27" t="s">
        <v>8</v>
      </c>
      <c r="J359" s="31" t="s">
        <v>71</v>
      </c>
      <c r="K359" s="27" t="s">
        <v>196</v>
      </c>
      <c r="L359" s="27" t="s">
        <v>1329</v>
      </c>
      <c r="M359" s="32"/>
    </row>
    <row r="360" spans="1:13" ht="15.2" customHeight="1" x14ac:dyDescent="0.2">
      <c r="A360" s="26" t="s">
        <v>4894</v>
      </c>
      <c r="B360" s="27" t="s">
        <v>4895</v>
      </c>
      <c r="C360" s="28">
        <v>1</v>
      </c>
      <c r="D360" s="29">
        <v>7.7</v>
      </c>
      <c r="E360" s="29">
        <v>7.7</v>
      </c>
      <c r="F360" s="30">
        <v>18.989999999999998</v>
      </c>
      <c r="G360" s="29">
        <v>18.989999999999998</v>
      </c>
      <c r="H360" s="28" t="s">
        <v>2059</v>
      </c>
      <c r="I360" s="27" t="s">
        <v>144</v>
      </c>
      <c r="J360" s="31" t="s">
        <v>21</v>
      </c>
      <c r="K360" s="27" t="s">
        <v>208</v>
      </c>
      <c r="L360" s="27" t="s">
        <v>197</v>
      </c>
      <c r="M360" s="32"/>
    </row>
    <row r="361" spans="1:13" ht="15.2" customHeight="1" x14ac:dyDescent="0.2">
      <c r="A361" s="26" t="s">
        <v>5361</v>
      </c>
      <c r="B361" s="27" t="s">
        <v>5362</v>
      </c>
      <c r="C361" s="28">
        <v>1</v>
      </c>
      <c r="D361" s="29">
        <v>7.5</v>
      </c>
      <c r="E361" s="29">
        <v>7.5</v>
      </c>
      <c r="F361" s="30">
        <v>19.989999999999998</v>
      </c>
      <c r="G361" s="29">
        <v>19.989999999999998</v>
      </c>
      <c r="H361" s="28" t="s">
        <v>4304</v>
      </c>
      <c r="I361" s="27" t="s">
        <v>215</v>
      </c>
      <c r="J361" s="31" t="s">
        <v>40</v>
      </c>
      <c r="K361" s="27" t="s">
        <v>282</v>
      </c>
      <c r="L361" s="27" t="s">
        <v>283</v>
      </c>
      <c r="M361" s="32"/>
    </row>
    <row r="362" spans="1:13" ht="15.2" customHeight="1" x14ac:dyDescent="0.2">
      <c r="A362" s="26" t="s">
        <v>5363</v>
      </c>
      <c r="B362" s="27" t="s">
        <v>5364</v>
      </c>
      <c r="C362" s="28">
        <v>1</v>
      </c>
      <c r="D362" s="29">
        <v>7.5</v>
      </c>
      <c r="E362" s="29">
        <v>7.5</v>
      </c>
      <c r="F362" s="30">
        <v>19.989999999999998</v>
      </c>
      <c r="G362" s="29">
        <v>19.989999999999998</v>
      </c>
      <c r="H362" s="28" t="s">
        <v>4305</v>
      </c>
      <c r="I362" s="27" t="s">
        <v>343</v>
      </c>
      <c r="J362" s="31" t="s">
        <v>21</v>
      </c>
      <c r="K362" s="27" t="s">
        <v>196</v>
      </c>
      <c r="L362" s="27" t="s">
        <v>336</v>
      </c>
      <c r="M362" s="32"/>
    </row>
    <row r="363" spans="1:13" ht="15.2" customHeight="1" x14ac:dyDescent="0.2">
      <c r="A363" s="26" t="s">
        <v>5365</v>
      </c>
      <c r="B363" s="27" t="s">
        <v>5366</v>
      </c>
      <c r="C363" s="28">
        <v>1</v>
      </c>
      <c r="D363" s="29">
        <v>7.5</v>
      </c>
      <c r="E363" s="29">
        <v>7.5</v>
      </c>
      <c r="F363" s="30">
        <v>19.989999999999998</v>
      </c>
      <c r="G363" s="29">
        <v>19.989999999999998</v>
      </c>
      <c r="H363" s="28" t="s">
        <v>4305</v>
      </c>
      <c r="I363" s="27" t="s">
        <v>343</v>
      </c>
      <c r="J363" s="31" t="s">
        <v>52</v>
      </c>
      <c r="K363" s="27" t="s">
        <v>196</v>
      </c>
      <c r="L363" s="27" t="s">
        <v>336</v>
      </c>
      <c r="M363" s="32"/>
    </row>
    <row r="364" spans="1:13" ht="15.2" customHeight="1" x14ac:dyDescent="0.2">
      <c r="A364" s="26" t="s">
        <v>5367</v>
      </c>
      <c r="B364" s="27" t="s">
        <v>5368</v>
      </c>
      <c r="C364" s="28">
        <v>1</v>
      </c>
      <c r="D364" s="29">
        <v>7.5</v>
      </c>
      <c r="E364" s="29">
        <v>7.5</v>
      </c>
      <c r="F364" s="30">
        <v>19.989999999999998</v>
      </c>
      <c r="G364" s="29">
        <v>19.989999999999998</v>
      </c>
      <c r="H364" s="28" t="s">
        <v>4305</v>
      </c>
      <c r="I364" s="27" t="s">
        <v>285</v>
      </c>
      <c r="J364" s="31" t="s">
        <v>5</v>
      </c>
      <c r="K364" s="27" t="s">
        <v>196</v>
      </c>
      <c r="L364" s="27" t="s">
        <v>336</v>
      </c>
      <c r="M364" s="32"/>
    </row>
    <row r="365" spans="1:13" ht="15.2" customHeight="1" x14ac:dyDescent="0.2">
      <c r="A365" s="26" t="s">
        <v>4566</v>
      </c>
      <c r="B365" s="27" t="s">
        <v>4567</v>
      </c>
      <c r="C365" s="28">
        <v>1</v>
      </c>
      <c r="D365" s="29">
        <v>7.4</v>
      </c>
      <c r="E365" s="29">
        <v>7.4</v>
      </c>
      <c r="F365" s="30">
        <v>16.989999999999998</v>
      </c>
      <c r="G365" s="29">
        <v>16.989999999999998</v>
      </c>
      <c r="H365" s="28" t="s">
        <v>4308</v>
      </c>
      <c r="I365" s="27" t="s">
        <v>4</v>
      </c>
      <c r="J365" s="31" t="s">
        <v>52</v>
      </c>
      <c r="K365" s="27" t="s">
        <v>282</v>
      </c>
      <c r="L365" s="27" t="s">
        <v>327</v>
      </c>
      <c r="M365" s="32"/>
    </row>
    <row r="366" spans="1:13" ht="15.2" customHeight="1" x14ac:dyDescent="0.2">
      <c r="A366" s="26" t="s">
        <v>5369</v>
      </c>
      <c r="B366" s="27" t="s">
        <v>5370</v>
      </c>
      <c r="C366" s="28">
        <v>1</v>
      </c>
      <c r="D366" s="29">
        <v>7.4</v>
      </c>
      <c r="E366" s="29">
        <v>7.4</v>
      </c>
      <c r="F366" s="30">
        <v>16.989999999999998</v>
      </c>
      <c r="G366" s="29">
        <v>16.989999999999998</v>
      </c>
      <c r="H366" s="28" t="s">
        <v>4568</v>
      </c>
      <c r="I366" s="27" t="s">
        <v>36</v>
      </c>
      <c r="J366" s="31" t="s">
        <v>71</v>
      </c>
      <c r="K366" s="27" t="s">
        <v>282</v>
      </c>
      <c r="L366" s="27" t="s">
        <v>327</v>
      </c>
      <c r="M366" s="32"/>
    </row>
    <row r="367" spans="1:13" ht="15.2" customHeight="1" x14ac:dyDescent="0.2">
      <c r="A367" s="26" t="s">
        <v>4306</v>
      </c>
      <c r="B367" s="27" t="s">
        <v>4307</v>
      </c>
      <c r="C367" s="28">
        <v>1</v>
      </c>
      <c r="D367" s="29">
        <v>7.4</v>
      </c>
      <c r="E367" s="29">
        <v>7.4</v>
      </c>
      <c r="F367" s="30">
        <v>16.989999999999998</v>
      </c>
      <c r="G367" s="29">
        <v>16.989999999999998</v>
      </c>
      <c r="H367" s="28" t="s">
        <v>4308</v>
      </c>
      <c r="I367" s="27" t="s">
        <v>4</v>
      </c>
      <c r="J367" s="31" t="s">
        <v>5</v>
      </c>
      <c r="K367" s="27" t="s">
        <v>282</v>
      </c>
      <c r="L367" s="27" t="s">
        <v>327</v>
      </c>
      <c r="M367" s="32"/>
    </row>
    <row r="368" spans="1:13" ht="15.2" customHeight="1" x14ac:dyDescent="0.2">
      <c r="A368" s="26" t="s">
        <v>5371</v>
      </c>
      <c r="B368" s="27" t="s">
        <v>5372</v>
      </c>
      <c r="C368" s="28">
        <v>1</v>
      </c>
      <c r="D368" s="29">
        <v>7.4</v>
      </c>
      <c r="E368" s="29">
        <v>7.4</v>
      </c>
      <c r="F368" s="30">
        <v>16.989999999999998</v>
      </c>
      <c r="G368" s="29">
        <v>16.989999999999998</v>
      </c>
      <c r="H368" s="28" t="s">
        <v>4565</v>
      </c>
      <c r="I368" s="27" t="s">
        <v>189</v>
      </c>
      <c r="J368" s="31" t="s">
        <v>21</v>
      </c>
      <c r="K368" s="27" t="s">
        <v>282</v>
      </c>
      <c r="L368" s="27" t="s">
        <v>327</v>
      </c>
      <c r="M368" s="32"/>
    </row>
    <row r="369" spans="1:13" ht="15.2" customHeight="1" x14ac:dyDescent="0.2">
      <c r="A369" s="26" t="s">
        <v>4896</v>
      </c>
      <c r="B369" s="27" t="s">
        <v>4897</v>
      </c>
      <c r="C369" s="28">
        <v>1</v>
      </c>
      <c r="D369" s="29">
        <v>7.4</v>
      </c>
      <c r="E369" s="29">
        <v>7.4</v>
      </c>
      <c r="F369" s="30">
        <v>16.989999999999998</v>
      </c>
      <c r="G369" s="29">
        <v>16.989999999999998</v>
      </c>
      <c r="H369" s="28" t="s">
        <v>4308</v>
      </c>
      <c r="I369" s="27" t="s">
        <v>4</v>
      </c>
      <c r="J369" s="31" t="s">
        <v>40</v>
      </c>
      <c r="K369" s="27" t="s">
        <v>282</v>
      </c>
      <c r="L369" s="27" t="s">
        <v>327</v>
      </c>
      <c r="M369" s="32"/>
    </row>
    <row r="370" spans="1:13" ht="15.2" customHeight="1" x14ac:dyDescent="0.2">
      <c r="A370" s="26" t="s">
        <v>5373</v>
      </c>
      <c r="B370" s="27" t="s">
        <v>5374</v>
      </c>
      <c r="C370" s="28">
        <v>1</v>
      </c>
      <c r="D370" s="29">
        <v>7.06</v>
      </c>
      <c r="E370" s="29">
        <v>7.06</v>
      </c>
      <c r="F370" s="30">
        <v>14.99</v>
      </c>
      <c r="G370" s="29">
        <v>14.99</v>
      </c>
      <c r="H370" s="28">
        <v>60453406</v>
      </c>
      <c r="I370" s="27" t="s">
        <v>4</v>
      </c>
      <c r="J370" s="31" t="s">
        <v>52</v>
      </c>
      <c r="K370" s="27" t="s">
        <v>208</v>
      </c>
      <c r="L370" s="27" t="s">
        <v>255</v>
      </c>
      <c r="M370" s="32"/>
    </row>
    <row r="371" spans="1:13" ht="15.2" customHeight="1" x14ac:dyDescent="0.2">
      <c r="A371" s="26" t="s">
        <v>5375</v>
      </c>
      <c r="B371" s="27" t="s">
        <v>5376</v>
      </c>
      <c r="C371" s="28">
        <v>1</v>
      </c>
      <c r="D371" s="29">
        <v>7.06</v>
      </c>
      <c r="E371" s="29">
        <v>7.06</v>
      </c>
      <c r="F371" s="30">
        <v>16.989999999999998</v>
      </c>
      <c r="G371" s="29">
        <v>16.989999999999998</v>
      </c>
      <c r="H371" s="28">
        <v>60453411</v>
      </c>
      <c r="I371" s="27" t="s">
        <v>189</v>
      </c>
      <c r="J371" s="31" t="s">
        <v>40</v>
      </c>
      <c r="K371" s="27" t="s">
        <v>208</v>
      </c>
      <c r="L371" s="27" t="s">
        <v>255</v>
      </c>
      <c r="M371" s="32"/>
    </row>
    <row r="372" spans="1:13" ht="15.2" customHeight="1" x14ac:dyDescent="0.2">
      <c r="A372" s="26" t="s">
        <v>5377</v>
      </c>
      <c r="B372" s="27" t="s">
        <v>5378</v>
      </c>
      <c r="C372" s="28">
        <v>1</v>
      </c>
      <c r="D372" s="29">
        <v>7</v>
      </c>
      <c r="E372" s="29">
        <v>7</v>
      </c>
      <c r="F372" s="30">
        <v>14.99</v>
      </c>
      <c r="G372" s="29">
        <v>14.99</v>
      </c>
      <c r="H372" s="28">
        <v>60455086</v>
      </c>
      <c r="I372" s="27" t="s">
        <v>59</v>
      </c>
      <c r="J372" s="31" t="s">
        <v>40</v>
      </c>
      <c r="K372" s="27" t="s">
        <v>208</v>
      </c>
      <c r="L372" s="27" t="s">
        <v>255</v>
      </c>
      <c r="M372" s="32"/>
    </row>
    <row r="373" spans="1:13" ht="15.2" customHeight="1" x14ac:dyDescent="0.2">
      <c r="A373" s="26" t="s">
        <v>4801</v>
      </c>
      <c r="B373" s="27" t="s">
        <v>4802</v>
      </c>
      <c r="C373" s="28">
        <v>1</v>
      </c>
      <c r="D373" s="29">
        <v>6.85</v>
      </c>
      <c r="E373" s="29">
        <v>6.85</v>
      </c>
      <c r="F373" s="30">
        <v>16.989999999999998</v>
      </c>
      <c r="G373" s="29">
        <v>16.989999999999998</v>
      </c>
      <c r="H373" s="28" t="s">
        <v>4311</v>
      </c>
      <c r="I373" s="27" t="s">
        <v>4</v>
      </c>
      <c r="J373" s="31" t="s">
        <v>5</v>
      </c>
      <c r="K373" s="27" t="s">
        <v>196</v>
      </c>
      <c r="L373" s="27" t="s">
        <v>260</v>
      </c>
      <c r="M373" s="32"/>
    </row>
    <row r="374" spans="1:13" ht="15.2" customHeight="1" x14ac:dyDescent="0.2">
      <c r="A374" s="26" t="s">
        <v>4573</v>
      </c>
      <c r="B374" s="27" t="s">
        <v>4574</v>
      </c>
      <c r="C374" s="28">
        <v>1</v>
      </c>
      <c r="D374" s="29">
        <v>6.85</v>
      </c>
      <c r="E374" s="29">
        <v>6.85</v>
      </c>
      <c r="F374" s="30">
        <v>16.989999999999998</v>
      </c>
      <c r="G374" s="29">
        <v>16.989999999999998</v>
      </c>
      <c r="H374" s="28" t="s">
        <v>4311</v>
      </c>
      <c r="I374" s="27" t="s">
        <v>26</v>
      </c>
      <c r="J374" s="31" t="s">
        <v>52</v>
      </c>
      <c r="K374" s="27" t="s">
        <v>196</v>
      </c>
      <c r="L374" s="27" t="s">
        <v>260</v>
      </c>
      <c r="M374" s="32"/>
    </row>
    <row r="375" spans="1:13" ht="15.2" customHeight="1" x14ac:dyDescent="0.2">
      <c r="A375" s="26" t="s">
        <v>4314</v>
      </c>
      <c r="B375" s="27" t="s">
        <v>4315</v>
      </c>
      <c r="C375" s="28">
        <v>2</v>
      </c>
      <c r="D375" s="29">
        <v>6.85</v>
      </c>
      <c r="E375" s="29">
        <v>13.7</v>
      </c>
      <c r="F375" s="30">
        <v>16.989999999999998</v>
      </c>
      <c r="G375" s="29">
        <v>33.979999999999997</v>
      </c>
      <c r="H375" s="28" t="s">
        <v>4311</v>
      </c>
      <c r="I375" s="27" t="s">
        <v>274</v>
      </c>
      <c r="J375" s="31" t="s">
        <v>21</v>
      </c>
      <c r="K375" s="27" t="s">
        <v>196</v>
      </c>
      <c r="L375" s="27" t="s">
        <v>260</v>
      </c>
      <c r="M375" s="32"/>
    </row>
    <row r="376" spans="1:13" ht="15.2" customHeight="1" x14ac:dyDescent="0.2">
      <c r="A376" s="26" t="s">
        <v>4309</v>
      </c>
      <c r="B376" s="27" t="s">
        <v>4310</v>
      </c>
      <c r="C376" s="28">
        <v>1</v>
      </c>
      <c r="D376" s="29">
        <v>6.85</v>
      </c>
      <c r="E376" s="29">
        <v>6.85</v>
      </c>
      <c r="F376" s="30">
        <v>16.989999999999998</v>
      </c>
      <c r="G376" s="29">
        <v>16.989999999999998</v>
      </c>
      <c r="H376" s="28" t="s">
        <v>4311</v>
      </c>
      <c r="I376" s="27" t="s">
        <v>26</v>
      </c>
      <c r="J376" s="31" t="s">
        <v>40</v>
      </c>
      <c r="K376" s="27" t="s">
        <v>196</v>
      </c>
      <c r="L376" s="27" t="s">
        <v>260</v>
      </c>
      <c r="M376" s="32"/>
    </row>
    <row r="377" spans="1:13" ht="15.2" customHeight="1" x14ac:dyDescent="0.2">
      <c r="A377" s="26" t="s">
        <v>4423</v>
      </c>
      <c r="B377" s="27" t="s">
        <v>4424</v>
      </c>
      <c r="C377" s="28">
        <v>4</v>
      </c>
      <c r="D377" s="29">
        <v>6.85</v>
      </c>
      <c r="E377" s="29">
        <v>27.4</v>
      </c>
      <c r="F377" s="30">
        <v>16.989999999999998</v>
      </c>
      <c r="G377" s="29">
        <v>67.959999999999994</v>
      </c>
      <c r="H377" s="28" t="s">
        <v>4311</v>
      </c>
      <c r="I377" s="27" t="s">
        <v>26</v>
      </c>
      <c r="J377" s="31" t="s">
        <v>21</v>
      </c>
      <c r="K377" s="27" t="s">
        <v>196</v>
      </c>
      <c r="L377" s="27" t="s">
        <v>260</v>
      </c>
      <c r="M377" s="32"/>
    </row>
    <row r="378" spans="1:13" ht="15.2" customHeight="1" x14ac:dyDescent="0.2">
      <c r="A378" s="26" t="s">
        <v>4799</v>
      </c>
      <c r="B378" s="27" t="s">
        <v>4800</v>
      </c>
      <c r="C378" s="28">
        <v>4</v>
      </c>
      <c r="D378" s="29">
        <v>6.85</v>
      </c>
      <c r="E378" s="29">
        <v>27.4</v>
      </c>
      <c r="F378" s="30">
        <v>16.989999999999998</v>
      </c>
      <c r="G378" s="29">
        <v>67.959999999999994</v>
      </c>
      <c r="H378" s="28" t="s">
        <v>4311</v>
      </c>
      <c r="I378" s="27" t="s">
        <v>4</v>
      </c>
      <c r="J378" s="31" t="s">
        <v>21</v>
      </c>
      <c r="K378" s="27" t="s">
        <v>196</v>
      </c>
      <c r="L378" s="27" t="s">
        <v>260</v>
      </c>
      <c r="M378" s="32"/>
    </row>
    <row r="379" spans="1:13" ht="15.2" customHeight="1" x14ac:dyDescent="0.2">
      <c r="A379" s="26" t="s">
        <v>4575</v>
      </c>
      <c r="B379" s="27" t="s">
        <v>4576</v>
      </c>
      <c r="C379" s="28">
        <v>2</v>
      </c>
      <c r="D379" s="29">
        <v>6.85</v>
      </c>
      <c r="E379" s="29">
        <v>13.7</v>
      </c>
      <c r="F379" s="30">
        <v>16.989999999999998</v>
      </c>
      <c r="G379" s="29">
        <v>33.979999999999997</v>
      </c>
      <c r="H379" s="28" t="s">
        <v>4311</v>
      </c>
      <c r="I379" s="27" t="s">
        <v>26</v>
      </c>
      <c r="J379" s="31" t="s">
        <v>5</v>
      </c>
      <c r="K379" s="27" t="s">
        <v>196</v>
      </c>
      <c r="L379" s="27" t="s">
        <v>260</v>
      </c>
      <c r="M379" s="32"/>
    </row>
    <row r="380" spans="1:13" ht="15.2" customHeight="1" x14ac:dyDescent="0.2">
      <c r="A380" s="26" t="s">
        <v>4898</v>
      </c>
      <c r="B380" s="27" t="s">
        <v>4899</v>
      </c>
      <c r="C380" s="28">
        <v>1</v>
      </c>
      <c r="D380" s="29">
        <v>6.85</v>
      </c>
      <c r="E380" s="29">
        <v>6.85</v>
      </c>
      <c r="F380" s="30">
        <v>16.989999999999998</v>
      </c>
      <c r="G380" s="29">
        <v>16.989999999999998</v>
      </c>
      <c r="H380" s="28" t="s">
        <v>4311</v>
      </c>
      <c r="I380" s="27" t="s">
        <v>4</v>
      </c>
      <c r="J380" s="31" t="s">
        <v>71</v>
      </c>
      <c r="K380" s="27" t="s">
        <v>196</v>
      </c>
      <c r="L380" s="27" t="s">
        <v>260</v>
      </c>
      <c r="M380" s="32"/>
    </row>
    <row r="381" spans="1:13" ht="15.2" customHeight="1" x14ac:dyDescent="0.2">
      <c r="A381" s="26" t="s">
        <v>4425</v>
      </c>
      <c r="B381" s="27" t="s">
        <v>4426</v>
      </c>
      <c r="C381" s="28">
        <v>1</v>
      </c>
      <c r="D381" s="29">
        <v>6.85</v>
      </c>
      <c r="E381" s="29">
        <v>6.85</v>
      </c>
      <c r="F381" s="30">
        <v>16.989999999999998</v>
      </c>
      <c r="G381" s="29">
        <v>16.989999999999998</v>
      </c>
      <c r="H381" s="28" t="s">
        <v>4311</v>
      </c>
      <c r="I381" s="27" t="s">
        <v>4</v>
      </c>
      <c r="J381" s="31" t="s">
        <v>40</v>
      </c>
      <c r="K381" s="27" t="s">
        <v>196</v>
      </c>
      <c r="L381" s="27" t="s">
        <v>260</v>
      </c>
      <c r="M381" s="32"/>
    </row>
    <row r="382" spans="1:13" ht="15.2" customHeight="1" x14ac:dyDescent="0.2">
      <c r="A382" s="26" t="s">
        <v>4571</v>
      </c>
      <c r="B382" s="27" t="s">
        <v>4572</v>
      </c>
      <c r="C382" s="28">
        <v>1</v>
      </c>
      <c r="D382" s="29">
        <v>6.85</v>
      </c>
      <c r="E382" s="29">
        <v>6.85</v>
      </c>
      <c r="F382" s="30">
        <v>16.989999999999998</v>
      </c>
      <c r="G382" s="29">
        <v>16.989999999999998</v>
      </c>
      <c r="H382" s="28" t="s">
        <v>4311</v>
      </c>
      <c r="I382" s="27" t="s">
        <v>274</v>
      </c>
      <c r="J382" s="31" t="s">
        <v>5</v>
      </c>
      <c r="K382" s="27" t="s">
        <v>196</v>
      </c>
      <c r="L382" s="27" t="s">
        <v>260</v>
      </c>
      <c r="M382" s="32"/>
    </row>
    <row r="383" spans="1:13" ht="15.2" customHeight="1" x14ac:dyDescent="0.2">
      <c r="A383" s="26" t="s">
        <v>4733</v>
      </c>
      <c r="B383" s="27" t="s">
        <v>4734</v>
      </c>
      <c r="C383" s="28">
        <v>3</v>
      </c>
      <c r="D383" s="29">
        <v>6.85</v>
      </c>
      <c r="E383" s="29">
        <v>20.55</v>
      </c>
      <c r="F383" s="30">
        <v>16.989999999999998</v>
      </c>
      <c r="G383" s="29">
        <v>50.97</v>
      </c>
      <c r="H383" s="28" t="s">
        <v>4311</v>
      </c>
      <c r="I383" s="27" t="s">
        <v>4</v>
      </c>
      <c r="J383" s="31" t="s">
        <v>21</v>
      </c>
      <c r="K383" s="27" t="s">
        <v>196</v>
      </c>
      <c r="L383" s="27" t="s">
        <v>260</v>
      </c>
      <c r="M383" s="32"/>
    </row>
    <row r="384" spans="1:13" ht="15.2" customHeight="1" x14ac:dyDescent="0.2">
      <c r="A384" s="26" t="s">
        <v>4735</v>
      </c>
      <c r="B384" s="27" t="s">
        <v>4736</v>
      </c>
      <c r="C384" s="28">
        <v>1</v>
      </c>
      <c r="D384" s="29">
        <v>6.5</v>
      </c>
      <c r="E384" s="29">
        <v>6.5</v>
      </c>
      <c r="F384" s="30">
        <v>12.99</v>
      </c>
      <c r="G384" s="29">
        <v>12.99</v>
      </c>
      <c r="H384" s="28" t="s">
        <v>4737</v>
      </c>
      <c r="I384" s="27" t="s">
        <v>291</v>
      </c>
      <c r="J384" s="31" t="s">
        <v>21</v>
      </c>
      <c r="K384" s="27" t="s">
        <v>282</v>
      </c>
      <c r="L384" s="27" t="s">
        <v>358</v>
      </c>
      <c r="M384" s="32"/>
    </row>
    <row r="385" spans="1:13" ht="15.2" customHeight="1" x14ac:dyDescent="0.2">
      <c r="A385" s="26" t="s">
        <v>4581</v>
      </c>
      <c r="B385" s="27" t="s">
        <v>4582</v>
      </c>
      <c r="C385" s="28">
        <v>1</v>
      </c>
      <c r="D385" s="29">
        <v>6.5</v>
      </c>
      <c r="E385" s="29">
        <v>6.5</v>
      </c>
      <c r="F385" s="30">
        <v>12.99</v>
      </c>
      <c r="G385" s="29">
        <v>12.99</v>
      </c>
      <c r="H385" s="28" t="s">
        <v>4580</v>
      </c>
      <c r="I385" s="27"/>
      <c r="J385" s="31" t="s">
        <v>71</v>
      </c>
      <c r="K385" s="27" t="s">
        <v>282</v>
      </c>
      <c r="L385" s="27" t="s">
        <v>327</v>
      </c>
      <c r="M385" s="32"/>
    </row>
    <row r="386" spans="1:13" ht="15.2" customHeight="1" x14ac:dyDescent="0.2">
      <c r="A386" s="26" t="s">
        <v>4583</v>
      </c>
      <c r="B386" s="27" t="s">
        <v>4584</v>
      </c>
      <c r="C386" s="28">
        <v>1</v>
      </c>
      <c r="D386" s="29">
        <v>6.35</v>
      </c>
      <c r="E386" s="29">
        <v>6.35</v>
      </c>
      <c r="F386" s="30">
        <v>12.99</v>
      </c>
      <c r="G386" s="29">
        <v>12.99</v>
      </c>
      <c r="H386" s="28" t="s">
        <v>4319</v>
      </c>
      <c r="I386" s="27" t="s">
        <v>295</v>
      </c>
      <c r="J386" s="31" t="s">
        <v>21</v>
      </c>
      <c r="K386" s="27" t="s">
        <v>282</v>
      </c>
      <c r="L386" s="27" t="s">
        <v>327</v>
      </c>
      <c r="M386" s="32"/>
    </row>
    <row r="387" spans="1:13" ht="15.2" customHeight="1" x14ac:dyDescent="0.2">
      <c r="A387" s="26" t="s">
        <v>4317</v>
      </c>
      <c r="B387" s="27" t="s">
        <v>4318</v>
      </c>
      <c r="C387" s="28">
        <v>1</v>
      </c>
      <c r="D387" s="29">
        <v>6.35</v>
      </c>
      <c r="E387" s="29">
        <v>6.35</v>
      </c>
      <c r="F387" s="30">
        <v>12.99</v>
      </c>
      <c r="G387" s="29">
        <v>12.99</v>
      </c>
      <c r="H387" s="28" t="s">
        <v>4319</v>
      </c>
      <c r="I387" s="27" t="s">
        <v>295</v>
      </c>
      <c r="J387" s="31" t="s">
        <v>40</v>
      </c>
      <c r="K387" s="27" t="s">
        <v>282</v>
      </c>
      <c r="L387" s="27" t="s">
        <v>327</v>
      </c>
      <c r="M387" s="32"/>
    </row>
    <row r="388" spans="1:13" ht="15.2" customHeight="1" x14ac:dyDescent="0.2">
      <c r="A388" s="26" t="s">
        <v>4585</v>
      </c>
      <c r="B388" s="27" t="s">
        <v>4586</v>
      </c>
      <c r="C388" s="28">
        <v>1</v>
      </c>
      <c r="D388" s="29">
        <v>6.35</v>
      </c>
      <c r="E388" s="29">
        <v>6.35</v>
      </c>
      <c r="F388" s="30">
        <v>12.99</v>
      </c>
      <c r="G388" s="29">
        <v>12.99</v>
      </c>
      <c r="H388" s="28" t="s">
        <v>4319</v>
      </c>
      <c r="I388" s="27" t="s">
        <v>295</v>
      </c>
      <c r="J388" s="31" t="s">
        <v>5</v>
      </c>
      <c r="K388" s="27" t="s">
        <v>282</v>
      </c>
      <c r="L388" s="27" t="s">
        <v>327</v>
      </c>
      <c r="M388" s="32"/>
    </row>
    <row r="389" spans="1:13" ht="15.2" customHeight="1" x14ac:dyDescent="0.2">
      <c r="A389" s="26" t="s">
        <v>5379</v>
      </c>
      <c r="B389" s="27" t="s">
        <v>2063</v>
      </c>
      <c r="C389" s="28">
        <v>1</v>
      </c>
      <c r="D389" s="29">
        <v>6.32</v>
      </c>
      <c r="E389" s="29">
        <v>6.32</v>
      </c>
      <c r="F389" s="30">
        <v>14.99</v>
      </c>
      <c r="G389" s="29">
        <v>14.99</v>
      </c>
      <c r="H389" s="28" t="s">
        <v>2064</v>
      </c>
      <c r="I389" s="27" t="s">
        <v>291</v>
      </c>
      <c r="J389" s="31" t="s">
        <v>40</v>
      </c>
      <c r="K389" s="27" t="s">
        <v>159</v>
      </c>
      <c r="L389" s="27" t="s">
        <v>160</v>
      </c>
      <c r="M389" s="32"/>
    </row>
    <row r="390" spans="1:13" ht="15.2" customHeight="1" x14ac:dyDescent="0.2">
      <c r="A390" s="26" t="s">
        <v>5380</v>
      </c>
      <c r="B390" s="27" t="s">
        <v>2067</v>
      </c>
      <c r="C390" s="28">
        <v>1</v>
      </c>
      <c r="D390" s="29">
        <v>6.3</v>
      </c>
      <c r="E390" s="29">
        <v>6.3</v>
      </c>
      <c r="F390" s="30">
        <v>14.99</v>
      </c>
      <c r="G390" s="29">
        <v>14.99</v>
      </c>
      <c r="H390" s="28" t="s">
        <v>2068</v>
      </c>
      <c r="I390" s="27" t="s">
        <v>82</v>
      </c>
      <c r="J390" s="31" t="s">
        <v>52</v>
      </c>
      <c r="K390" s="27" t="s">
        <v>159</v>
      </c>
      <c r="L390" s="27" t="s">
        <v>160</v>
      </c>
      <c r="M390" s="32"/>
    </row>
    <row r="391" spans="1:13" ht="15.2" customHeight="1" x14ac:dyDescent="0.2">
      <c r="A391" s="26" t="s">
        <v>4326</v>
      </c>
      <c r="B391" s="27" t="s">
        <v>4327</v>
      </c>
      <c r="C391" s="28">
        <v>1</v>
      </c>
      <c r="D391" s="29">
        <v>6.25</v>
      </c>
      <c r="E391" s="29">
        <v>6.25</v>
      </c>
      <c r="F391" s="30">
        <v>12.99</v>
      </c>
      <c r="G391" s="29">
        <v>12.99</v>
      </c>
      <c r="H391" s="28" t="s">
        <v>4328</v>
      </c>
      <c r="I391" s="27" t="s">
        <v>36</v>
      </c>
      <c r="J391" s="31" t="s">
        <v>40</v>
      </c>
      <c r="K391" s="27" t="s">
        <v>282</v>
      </c>
      <c r="L391" s="27" t="s">
        <v>327</v>
      </c>
      <c r="M391" s="32"/>
    </row>
    <row r="392" spans="1:13" ht="15.2" customHeight="1" x14ac:dyDescent="0.2">
      <c r="A392" s="26" t="s">
        <v>4804</v>
      </c>
      <c r="B392" s="27" t="s">
        <v>4805</v>
      </c>
      <c r="C392" s="28">
        <v>1</v>
      </c>
      <c r="D392" s="29">
        <v>6.25</v>
      </c>
      <c r="E392" s="29">
        <v>6.25</v>
      </c>
      <c r="F392" s="30">
        <v>13.99</v>
      </c>
      <c r="G392" s="29">
        <v>13.99</v>
      </c>
      <c r="H392" s="28" t="s">
        <v>608</v>
      </c>
      <c r="I392" s="27" t="s">
        <v>4</v>
      </c>
      <c r="J392" s="31" t="s">
        <v>40</v>
      </c>
      <c r="K392" s="27" t="s">
        <v>282</v>
      </c>
      <c r="L392" s="27" t="s">
        <v>260</v>
      </c>
      <c r="M392" s="32"/>
    </row>
    <row r="393" spans="1:13" ht="15.2" customHeight="1" x14ac:dyDescent="0.2">
      <c r="A393" s="26" t="s">
        <v>4739</v>
      </c>
      <c r="B393" s="27" t="s">
        <v>4740</v>
      </c>
      <c r="C393" s="28">
        <v>1</v>
      </c>
      <c r="D393" s="29">
        <v>6.25</v>
      </c>
      <c r="E393" s="29">
        <v>6.25</v>
      </c>
      <c r="F393" s="30">
        <v>12.99</v>
      </c>
      <c r="G393" s="29">
        <v>12.99</v>
      </c>
      <c r="H393" s="28" t="s">
        <v>4325</v>
      </c>
      <c r="I393" s="27" t="s">
        <v>26</v>
      </c>
      <c r="J393" s="31" t="s">
        <v>40</v>
      </c>
      <c r="K393" s="27" t="s">
        <v>282</v>
      </c>
      <c r="L393" s="27" t="s">
        <v>327</v>
      </c>
      <c r="M393" s="32"/>
    </row>
    <row r="394" spans="1:13" ht="15.2" customHeight="1" x14ac:dyDescent="0.2">
      <c r="A394" s="26" t="s">
        <v>5381</v>
      </c>
      <c r="B394" s="27" t="s">
        <v>5382</v>
      </c>
      <c r="C394" s="28">
        <v>1</v>
      </c>
      <c r="D394" s="29">
        <v>6.25</v>
      </c>
      <c r="E394" s="29">
        <v>6.25</v>
      </c>
      <c r="F394" s="30">
        <v>12.99</v>
      </c>
      <c r="G394" s="29">
        <v>12.99</v>
      </c>
      <c r="H394" s="28" t="s">
        <v>5383</v>
      </c>
      <c r="I394" s="27" t="s">
        <v>82</v>
      </c>
      <c r="J394" s="31" t="s">
        <v>5</v>
      </c>
      <c r="K394" s="27" t="s">
        <v>282</v>
      </c>
      <c r="L394" s="27" t="s">
        <v>386</v>
      </c>
      <c r="M394" s="32"/>
    </row>
    <row r="395" spans="1:13" ht="15.2" customHeight="1" x14ac:dyDescent="0.2">
      <c r="A395" s="26" t="s">
        <v>4428</v>
      </c>
      <c r="B395" s="27" t="s">
        <v>4429</v>
      </c>
      <c r="C395" s="28">
        <v>1</v>
      </c>
      <c r="D395" s="29">
        <v>6.25</v>
      </c>
      <c r="E395" s="29">
        <v>6.25</v>
      </c>
      <c r="F395" s="30">
        <v>12.99</v>
      </c>
      <c r="G395" s="29">
        <v>12.99</v>
      </c>
      <c r="H395" s="28" t="s">
        <v>4328</v>
      </c>
      <c r="I395" s="27" t="s">
        <v>36</v>
      </c>
      <c r="J395" s="31" t="s">
        <v>52</v>
      </c>
      <c r="K395" s="27" t="s">
        <v>282</v>
      </c>
      <c r="L395" s="27" t="s">
        <v>327</v>
      </c>
      <c r="M395" s="32"/>
    </row>
    <row r="396" spans="1:13" ht="15.2" customHeight="1" x14ac:dyDescent="0.2">
      <c r="A396" s="26" t="s">
        <v>4901</v>
      </c>
      <c r="B396" s="27" t="s">
        <v>4902</v>
      </c>
      <c r="C396" s="28">
        <v>2</v>
      </c>
      <c r="D396" s="29">
        <v>6.25</v>
      </c>
      <c r="E396" s="29">
        <v>12.5</v>
      </c>
      <c r="F396" s="30">
        <v>12.99</v>
      </c>
      <c r="G396" s="29">
        <v>25.98</v>
      </c>
      <c r="H396" s="28" t="s">
        <v>4900</v>
      </c>
      <c r="I396" s="27" t="s">
        <v>82</v>
      </c>
      <c r="J396" s="31" t="s">
        <v>40</v>
      </c>
      <c r="K396" s="27" t="s">
        <v>282</v>
      </c>
      <c r="L396" s="27" t="s">
        <v>386</v>
      </c>
      <c r="M396" s="32"/>
    </row>
    <row r="397" spans="1:13" ht="15.2" customHeight="1" x14ac:dyDescent="0.2">
      <c r="A397" s="26" t="s">
        <v>5384</v>
      </c>
      <c r="B397" s="27" t="s">
        <v>2531</v>
      </c>
      <c r="C397" s="28">
        <v>1</v>
      </c>
      <c r="D397" s="29">
        <v>6.25</v>
      </c>
      <c r="E397" s="29">
        <v>6.25</v>
      </c>
      <c r="F397" s="30">
        <v>14.99</v>
      </c>
      <c r="G397" s="29">
        <v>14.99</v>
      </c>
      <c r="H397" s="28" t="s">
        <v>2532</v>
      </c>
      <c r="I397" s="27" t="s">
        <v>238</v>
      </c>
      <c r="J397" s="31" t="s">
        <v>21</v>
      </c>
      <c r="K397" s="27" t="s">
        <v>159</v>
      </c>
      <c r="L397" s="27" t="s">
        <v>160</v>
      </c>
      <c r="M397" s="32"/>
    </row>
    <row r="398" spans="1:13" ht="15.2" customHeight="1" x14ac:dyDescent="0.2">
      <c r="A398" s="26" t="s">
        <v>4903</v>
      </c>
      <c r="B398" s="27" t="s">
        <v>4904</v>
      </c>
      <c r="C398" s="28">
        <v>5</v>
      </c>
      <c r="D398" s="29">
        <v>6.25</v>
      </c>
      <c r="E398" s="29">
        <v>31.25</v>
      </c>
      <c r="F398" s="30">
        <v>12.99</v>
      </c>
      <c r="G398" s="29">
        <v>64.95</v>
      </c>
      <c r="H398" s="28" t="s">
        <v>4900</v>
      </c>
      <c r="I398" s="27" t="s">
        <v>82</v>
      </c>
      <c r="J398" s="31" t="s">
        <v>5</v>
      </c>
      <c r="K398" s="27" t="s">
        <v>282</v>
      </c>
      <c r="L398" s="27" t="s">
        <v>386</v>
      </c>
      <c r="M398" s="32"/>
    </row>
    <row r="399" spans="1:13" ht="15.2" customHeight="1" x14ac:dyDescent="0.2">
      <c r="A399" s="26" t="s">
        <v>4430</v>
      </c>
      <c r="B399" s="27" t="s">
        <v>4431</v>
      </c>
      <c r="C399" s="28">
        <v>1</v>
      </c>
      <c r="D399" s="29">
        <v>6.25</v>
      </c>
      <c r="E399" s="29">
        <v>6.25</v>
      </c>
      <c r="F399" s="30">
        <v>12.99</v>
      </c>
      <c r="G399" s="29">
        <v>12.99</v>
      </c>
      <c r="H399" s="28" t="s">
        <v>4328</v>
      </c>
      <c r="I399" s="27" t="s">
        <v>36</v>
      </c>
      <c r="J399" s="31" t="s">
        <v>21</v>
      </c>
      <c r="K399" s="27" t="s">
        <v>282</v>
      </c>
      <c r="L399" s="27" t="s">
        <v>327</v>
      </c>
      <c r="M399" s="32"/>
    </row>
    <row r="400" spans="1:13" ht="15.2" customHeight="1" x14ac:dyDescent="0.2">
      <c r="A400" s="26" t="s">
        <v>5385</v>
      </c>
      <c r="B400" s="27" t="s">
        <v>5386</v>
      </c>
      <c r="C400" s="28">
        <v>1</v>
      </c>
      <c r="D400" s="29">
        <v>6.25</v>
      </c>
      <c r="E400" s="29">
        <v>6.25</v>
      </c>
      <c r="F400" s="30">
        <v>12.99</v>
      </c>
      <c r="G400" s="29">
        <v>12.99</v>
      </c>
      <c r="H400" s="28" t="s">
        <v>4325</v>
      </c>
      <c r="I400" s="27" t="s">
        <v>26</v>
      </c>
      <c r="J400" s="31" t="s">
        <v>52</v>
      </c>
      <c r="K400" s="27" t="s">
        <v>282</v>
      </c>
      <c r="L400" s="27" t="s">
        <v>327</v>
      </c>
      <c r="M400" s="32"/>
    </row>
    <row r="401" spans="1:13" ht="15.2" customHeight="1" x14ac:dyDescent="0.2">
      <c r="A401" s="26" t="s">
        <v>5387</v>
      </c>
      <c r="B401" s="27" t="s">
        <v>5388</v>
      </c>
      <c r="C401" s="28">
        <v>1</v>
      </c>
      <c r="D401" s="29">
        <v>6</v>
      </c>
      <c r="E401" s="29">
        <v>6</v>
      </c>
      <c r="F401" s="30">
        <v>12.99</v>
      </c>
      <c r="G401" s="29">
        <v>12.99</v>
      </c>
      <c r="H401" s="28" t="s">
        <v>610</v>
      </c>
      <c r="I401" s="27" t="s">
        <v>82</v>
      </c>
      <c r="J401" s="31" t="s">
        <v>5</v>
      </c>
      <c r="K401" s="27" t="s">
        <v>282</v>
      </c>
      <c r="L401" s="27" t="s">
        <v>349</v>
      </c>
      <c r="M401" s="32"/>
    </row>
    <row r="402" spans="1:13" ht="15.2" customHeight="1" x14ac:dyDescent="0.2">
      <c r="A402" s="26" t="s">
        <v>5389</v>
      </c>
      <c r="B402" s="27" t="s">
        <v>5390</v>
      </c>
      <c r="C402" s="28">
        <v>1</v>
      </c>
      <c r="D402" s="29">
        <v>6</v>
      </c>
      <c r="E402" s="29">
        <v>6</v>
      </c>
      <c r="F402" s="30">
        <v>13.99</v>
      </c>
      <c r="G402" s="29">
        <v>13.99</v>
      </c>
      <c r="H402" s="28" t="s">
        <v>4742</v>
      </c>
      <c r="I402" s="27" t="s">
        <v>4</v>
      </c>
      <c r="J402" s="31" t="s">
        <v>21</v>
      </c>
      <c r="K402" s="27" t="s">
        <v>282</v>
      </c>
      <c r="L402" s="27" t="s">
        <v>239</v>
      </c>
      <c r="M402" s="32"/>
    </row>
    <row r="403" spans="1:13" ht="15.2" customHeight="1" x14ac:dyDescent="0.2">
      <c r="A403" s="26" t="s">
        <v>5391</v>
      </c>
      <c r="B403" s="27" t="s">
        <v>5392</v>
      </c>
      <c r="C403" s="28">
        <v>1</v>
      </c>
      <c r="D403" s="29">
        <v>5.9</v>
      </c>
      <c r="E403" s="29">
        <v>5.9</v>
      </c>
      <c r="F403" s="30">
        <v>13.99</v>
      </c>
      <c r="G403" s="29">
        <v>13.99</v>
      </c>
      <c r="H403" s="28" t="s">
        <v>4589</v>
      </c>
      <c r="I403" s="27" t="s">
        <v>4</v>
      </c>
      <c r="J403" s="31" t="s">
        <v>21</v>
      </c>
      <c r="K403" s="27" t="s">
        <v>282</v>
      </c>
      <c r="L403" s="27" t="s">
        <v>225</v>
      </c>
      <c r="M403" s="32"/>
    </row>
    <row r="404" spans="1:13" ht="15.2" customHeight="1" x14ac:dyDescent="0.2">
      <c r="A404" s="26" t="s">
        <v>5393</v>
      </c>
      <c r="B404" s="27" t="s">
        <v>5394</v>
      </c>
      <c r="C404" s="28">
        <v>1</v>
      </c>
      <c r="D404" s="29">
        <v>5.9</v>
      </c>
      <c r="E404" s="29">
        <v>5.9</v>
      </c>
      <c r="F404" s="30">
        <v>13.99</v>
      </c>
      <c r="G404" s="29">
        <v>13.99</v>
      </c>
      <c r="H404" s="28" t="s">
        <v>4589</v>
      </c>
      <c r="I404" s="27" t="s">
        <v>1280</v>
      </c>
      <c r="J404" s="31" t="s">
        <v>40</v>
      </c>
      <c r="K404" s="27" t="s">
        <v>282</v>
      </c>
      <c r="L404" s="27" t="s">
        <v>225</v>
      </c>
      <c r="M404" s="32"/>
    </row>
    <row r="405" spans="1:13" ht="15.2" customHeight="1" x14ac:dyDescent="0.2">
      <c r="A405" s="26" t="s">
        <v>2535</v>
      </c>
      <c r="B405" s="27" t="s">
        <v>612</v>
      </c>
      <c r="C405" s="28">
        <v>1</v>
      </c>
      <c r="D405" s="29">
        <v>5.75</v>
      </c>
      <c r="E405" s="29">
        <v>5.75</v>
      </c>
      <c r="F405" s="30">
        <v>12.99</v>
      </c>
      <c r="G405" s="29">
        <v>12.99</v>
      </c>
      <c r="H405" s="28" t="s">
        <v>613</v>
      </c>
      <c r="I405" s="27" t="s">
        <v>4</v>
      </c>
      <c r="J405" s="31" t="s">
        <v>52</v>
      </c>
      <c r="K405" s="27" t="s">
        <v>282</v>
      </c>
      <c r="L405" s="27" t="s">
        <v>386</v>
      </c>
      <c r="M405" s="32"/>
    </row>
    <row r="406" spans="1:13" ht="15.2" customHeight="1" x14ac:dyDescent="0.2">
      <c r="A406" s="26" t="s">
        <v>5395</v>
      </c>
      <c r="B406" s="27" t="s">
        <v>5396</v>
      </c>
      <c r="C406" s="28">
        <v>1</v>
      </c>
      <c r="D406" s="29">
        <v>5.75</v>
      </c>
      <c r="E406" s="29">
        <v>5.75</v>
      </c>
      <c r="F406" s="30">
        <v>13.99</v>
      </c>
      <c r="G406" s="29">
        <v>13.99</v>
      </c>
      <c r="H406" s="28" t="s">
        <v>4592</v>
      </c>
      <c r="I406" s="27" t="s">
        <v>33</v>
      </c>
      <c r="J406" s="31" t="s">
        <v>71</v>
      </c>
      <c r="K406" s="27" t="s">
        <v>282</v>
      </c>
      <c r="L406" s="27" t="s">
        <v>312</v>
      </c>
      <c r="M406" s="32"/>
    </row>
    <row r="407" spans="1:13" ht="15.2" customHeight="1" x14ac:dyDescent="0.2">
      <c r="A407" s="26" t="s">
        <v>5397</v>
      </c>
      <c r="B407" s="27" t="s">
        <v>5398</v>
      </c>
      <c r="C407" s="28">
        <v>1</v>
      </c>
      <c r="D407" s="29">
        <v>5.7</v>
      </c>
      <c r="E407" s="29">
        <v>5.7</v>
      </c>
      <c r="F407" s="30">
        <v>14.99</v>
      </c>
      <c r="G407" s="29">
        <v>14.99</v>
      </c>
      <c r="H407" s="28">
        <v>60453403</v>
      </c>
      <c r="I407" s="27" t="s">
        <v>4</v>
      </c>
      <c r="J407" s="31" t="s">
        <v>21</v>
      </c>
      <c r="K407" s="27" t="s">
        <v>208</v>
      </c>
      <c r="L407" s="27" t="s">
        <v>255</v>
      </c>
      <c r="M407" s="32"/>
    </row>
    <row r="408" spans="1:13" ht="15.2" customHeight="1" x14ac:dyDescent="0.2">
      <c r="A408" s="26" t="s">
        <v>622</v>
      </c>
      <c r="B408" s="27" t="s">
        <v>623</v>
      </c>
      <c r="C408" s="28">
        <v>1</v>
      </c>
      <c r="D408" s="29">
        <v>5.5</v>
      </c>
      <c r="E408" s="29">
        <v>5.5</v>
      </c>
      <c r="F408" s="30">
        <v>13.99</v>
      </c>
      <c r="G408" s="29">
        <v>13.99</v>
      </c>
      <c r="H408" s="28" t="s">
        <v>619</v>
      </c>
      <c r="I408" s="27" t="s">
        <v>94</v>
      </c>
      <c r="J408" s="31" t="s">
        <v>65</v>
      </c>
      <c r="K408" s="27" t="s">
        <v>70</v>
      </c>
      <c r="L408" s="27" t="s">
        <v>353</v>
      </c>
      <c r="M408" s="32"/>
    </row>
    <row r="409" spans="1:13" ht="15.2" customHeight="1" x14ac:dyDescent="0.2">
      <c r="A409" s="26" t="s">
        <v>624</v>
      </c>
      <c r="B409" s="27" t="s">
        <v>625</v>
      </c>
      <c r="C409" s="28">
        <v>1</v>
      </c>
      <c r="D409" s="29">
        <v>5.5</v>
      </c>
      <c r="E409" s="29">
        <v>5.5</v>
      </c>
      <c r="F409" s="30">
        <v>13.99</v>
      </c>
      <c r="G409" s="29">
        <v>13.99</v>
      </c>
      <c r="H409" s="28" t="s">
        <v>619</v>
      </c>
      <c r="I409" s="27" t="s">
        <v>59</v>
      </c>
      <c r="J409" s="31" t="s">
        <v>5</v>
      </c>
      <c r="K409" s="27" t="s">
        <v>70</v>
      </c>
      <c r="L409" s="27" t="s">
        <v>353</v>
      </c>
      <c r="M409" s="32"/>
    </row>
    <row r="410" spans="1:13" ht="15.2" customHeight="1" x14ac:dyDescent="0.2">
      <c r="A410" s="26" t="s">
        <v>4185</v>
      </c>
      <c r="B410" s="27" t="s">
        <v>4186</v>
      </c>
      <c r="C410" s="28">
        <v>1</v>
      </c>
      <c r="D410" s="29">
        <v>5.5</v>
      </c>
      <c r="E410" s="29">
        <v>5.5</v>
      </c>
      <c r="F410" s="30">
        <v>12.99</v>
      </c>
      <c r="G410" s="29">
        <v>12.99</v>
      </c>
      <c r="H410" s="28" t="s">
        <v>4179</v>
      </c>
      <c r="I410" s="27" t="s">
        <v>4</v>
      </c>
      <c r="J410" s="31" t="s">
        <v>21</v>
      </c>
      <c r="K410" s="27" t="s">
        <v>282</v>
      </c>
      <c r="L410" s="27" t="s">
        <v>283</v>
      </c>
      <c r="M410" s="32"/>
    </row>
    <row r="411" spans="1:13" ht="15.2" customHeight="1" x14ac:dyDescent="0.2">
      <c r="A411" s="26" t="s">
        <v>5399</v>
      </c>
      <c r="B411" s="27" t="s">
        <v>5400</v>
      </c>
      <c r="C411" s="28">
        <v>1</v>
      </c>
      <c r="D411" s="29">
        <v>5.5</v>
      </c>
      <c r="E411" s="29">
        <v>5.5</v>
      </c>
      <c r="F411" s="30">
        <v>12.99</v>
      </c>
      <c r="G411" s="29">
        <v>12.99</v>
      </c>
      <c r="H411" s="28" t="s">
        <v>4747</v>
      </c>
      <c r="I411" s="27" t="s">
        <v>189</v>
      </c>
      <c r="J411" s="31" t="s">
        <v>40</v>
      </c>
      <c r="K411" s="27" t="s">
        <v>282</v>
      </c>
      <c r="L411" s="27" t="s">
        <v>283</v>
      </c>
      <c r="M411" s="32"/>
    </row>
    <row r="412" spans="1:13" ht="15.2" customHeight="1" x14ac:dyDescent="0.2">
      <c r="A412" s="26" t="s">
        <v>4743</v>
      </c>
      <c r="B412" s="27" t="s">
        <v>4744</v>
      </c>
      <c r="C412" s="28">
        <v>1</v>
      </c>
      <c r="D412" s="29">
        <v>5.5</v>
      </c>
      <c r="E412" s="29">
        <v>5.5</v>
      </c>
      <c r="F412" s="30">
        <v>12.99</v>
      </c>
      <c r="G412" s="29">
        <v>12.99</v>
      </c>
      <c r="H412" s="28" t="s">
        <v>4594</v>
      </c>
      <c r="I412" s="27" t="s">
        <v>94</v>
      </c>
      <c r="J412" s="31" t="s">
        <v>5</v>
      </c>
      <c r="K412" s="27" t="s">
        <v>282</v>
      </c>
      <c r="L412" s="27" t="s">
        <v>283</v>
      </c>
      <c r="M412" s="32"/>
    </row>
    <row r="413" spans="1:13" ht="15.2" customHeight="1" x14ac:dyDescent="0.2">
      <c r="A413" s="26" t="s">
        <v>5401</v>
      </c>
      <c r="B413" s="27" t="s">
        <v>5402</v>
      </c>
      <c r="C413" s="28">
        <v>1</v>
      </c>
      <c r="D413" s="29">
        <v>5.0999999999999996</v>
      </c>
      <c r="E413" s="29">
        <v>5.0999999999999996</v>
      </c>
      <c r="F413" s="30">
        <v>12.99</v>
      </c>
      <c r="G413" s="29">
        <v>12.99</v>
      </c>
      <c r="H413" s="28" t="s">
        <v>4332</v>
      </c>
      <c r="I413" s="27" t="s">
        <v>189</v>
      </c>
      <c r="J413" s="31" t="s">
        <v>71</v>
      </c>
      <c r="K413" s="27" t="s">
        <v>282</v>
      </c>
      <c r="L413" s="27" t="s">
        <v>327</v>
      </c>
      <c r="M413" s="32"/>
    </row>
    <row r="414" spans="1:13" ht="15.2" customHeight="1" x14ac:dyDescent="0.2">
      <c r="A414" s="26" t="s">
        <v>5403</v>
      </c>
      <c r="B414" s="27" t="s">
        <v>5404</v>
      </c>
      <c r="C414" s="28">
        <v>2</v>
      </c>
      <c r="D414" s="29">
        <v>5.0999999999999996</v>
      </c>
      <c r="E414" s="29">
        <v>10.199999999999999</v>
      </c>
      <c r="F414" s="30">
        <v>12.99</v>
      </c>
      <c r="G414" s="29">
        <v>25.98</v>
      </c>
      <c r="H414" s="28" t="s">
        <v>4332</v>
      </c>
      <c r="I414" s="27" t="s">
        <v>189</v>
      </c>
      <c r="J414" s="31" t="s">
        <v>52</v>
      </c>
      <c r="K414" s="27" t="s">
        <v>282</v>
      </c>
      <c r="L414" s="27" t="s">
        <v>327</v>
      </c>
      <c r="M414" s="32"/>
    </row>
    <row r="415" spans="1:13" ht="15.2" customHeight="1" x14ac:dyDescent="0.2">
      <c r="A415" s="26" t="s">
        <v>2800</v>
      </c>
      <c r="B415" s="27" t="s">
        <v>1077</v>
      </c>
      <c r="C415" s="28">
        <v>1</v>
      </c>
      <c r="D415" s="29">
        <v>3.25</v>
      </c>
      <c r="E415" s="29">
        <v>3.25</v>
      </c>
      <c r="F415" s="30">
        <v>34</v>
      </c>
      <c r="G415" s="29">
        <v>34</v>
      </c>
      <c r="H415" s="28">
        <v>11221</v>
      </c>
      <c r="I415" s="27" t="s">
        <v>10</v>
      </c>
      <c r="J415" s="31" t="s">
        <v>50</v>
      </c>
      <c r="K415" s="27" t="s">
        <v>132</v>
      </c>
      <c r="L415" s="27" t="s">
        <v>1076</v>
      </c>
      <c r="M415" s="32"/>
    </row>
  </sheetData>
  <pageMargins left="0.5" right="0.5" top="0.25" bottom="0.25" header="0.3" footer="0.3"/>
  <pageSetup scale="65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1"/>
  <sheetViews>
    <sheetView workbookViewId="0">
      <selection activeCell="B27" sqref="B27"/>
    </sheetView>
  </sheetViews>
  <sheetFormatPr defaultRowHeight="15.2" customHeight="1" x14ac:dyDescent="0.2"/>
  <cols>
    <col min="1" max="1" width="14.85546875" style="1" bestFit="1" customWidth="1"/>
    <col min="2" max="2" width="80" style="1" bestFit="1" customWidth="1"/>
    <col min="3" max="3" width="6.42578125" style="1" bestFit="1" customWidth="1"/>
    <col min="4" max="4" width="7.5703125" style="1" bestFit="1" customWidth="1"/>
    <col min="5" max="5" width="9.5703125" style="1" bestFit="1" customWidth="1"/>
    <col min="6" max="6" width="8.7109375" style="1" bestFit="1" customWidth="1"/>
    <col min="7" max="7" width="11.140625" style="1" bestFit="1" customWidth="1"/>
    <col min="8" max="8" width="22.7109375" style="1" bestFit="1" customWidth="1"/>
    <col min="9" max="9" width="14.7109375" style="1" bestFit="1" customWidth="1"/>
    <col min="10" max="10" width="12.85546875" style="1" bestFit="1" customWidth="1"/>
    <col min="11" max="11" width="16.42578125" style="1" bestFit="1" customWidth="1"/>
    <col min="12" max="12" width="43.7109375" style="1" bestFit="1" customWidth="1"/>
    <col min="13" max="13" width="49.42578125" style="1" bestFit="1" customWidth="1"/>
    <col min="14" max="16384" width="9.140625" style="1"/>
  </cols>
  <sheetData>
    <row r="1" spans="1:13" ht="15.2" customHeight="1" x14ac:dyDescent="0.2">
      <c r="A1" s="25" t="s">
        <v>0</v>
      </c>
      <c r="B1" s="25" t="s">
        <v>11929</v>
      </c>
      <c r="C1" s="25" t="s">
        <v>11915</v>
      </c>
      <c r="D1" s="25" t="s">
        <v>11927</v>
      </c>
      <c r="E1" s="25" t="s">
        <v>11928</v>
      </c>
      <c r="F1" s="25" t="s">
        <v>11919</v>
      </c>
      <c r="G1" s="25" t="s">
        <v>11920</v>
      </c>
      <c r="H1" s="25" t="s">
        <v>11921</v>
      </c>
      <c r="I1" s="25" t="s">
        <v>11922</v>
      </c>
      <c r="J1" s="25" t="s">
        <v>11923</v>
      </c>
      <c r="K1" s="25" t="s">
        <v>11924</v>
      </c>
      <c r="L1" s="25" t="s">
        <v>11925</v>
      </c>
      <c r="M1" s="25" t="s">
        <v>11926</v>
      </c>
    </row>
    <row r="2" spans="1:13" ht="15.2" customHeight="1" x14ac:dyDescent="0.2">
      <c r="A2" s="26" t="s">
        <v>5582</v>
      </c>
      <c r="B2" s="27" t="s">
        <v>5583</v>
      </c>
      <c r="C2" s="28">
        <v>1</v>
      </c>
      <c r="D2" s="29">
        <v>98.75</v>
      </c>
      <c r="E2" s="29">
        <v>98.75</v>
      </c>
      <c r="F2" s="30">
        <v>299</v>
      </c>
      <c r="G2" s="29">
        <v>299</v>
      </c>
      <c r="H2" s="28" t="s">
        <v>5584</v>
      </c>
      <c r="I2" s="27" t="s">
        <v>1280</v>
      </c>
      <c r="J2" s="31" t="s">
        <v>230</v>
      </c>
      <c r="K2" s="27" t="s">
        <v>24</v>
      </c>
      <c r="L2" s="27" t="s">
        <v>25</v>
      </c>
      <c r="M2" s="32" t="str">
        <f>HYPERLINK("http://slimages.macys.com/is/image/MCY/2646691 ")</f>
        <v xml:space="preserve">http://slimages.macys.com/is/image/MCY/2646691 </v>
      </c>
    </row>
    <row r="3" spans="1:13" ht="15.2" customHeight="1" x14ac:dyDescent="0.2">
      <c r="A3" s="26" t="s">
        <v>1080</v>
      </c>
      <c r="B3" s="27" t="s">
        <v>1081</v>
      </c>
      <c r="C3" s="28">
        <v>2</v>
      </c>
      <c r="D3" s="29">
        <v>31.83</v>
      </c>
      <c r="E3" s="29">
        <v>63.66</v>
      </c>
      <c r="F3" s="30">
        <v>72.989999999999995</v>
      </c>
      <c r="G3" s="29">
        <v>145.97999999999999</v>
      </c>
      <c r="H3" s="28" t="s">
        <v>653</v>
      </c>
      <c r="I3" s="27" t="s">
        <v>333</v>
      </c>
      <c r="J3" s="31" t="s">
        <v>21</v>
      </c>
      <c r="K3" s="27" t="s">
        <v>41</v>
      </c>
      <c r="L3" s="27" t="s">
        <v>649</v>
      </c>
      <c r="M3" s="32" t="str">
        <f>HYPERLINK("http://slimages.macys.com/is/image/MCY/3828767 ")</f>
        <v xml:space="preserve">http://slimages.macys.com/is/image/MCY/3828767 </v>
      </c>
    </row>
    <row r="4" spans="1:13" ht="15.2" customHeight="1" x14ac:dyDescent="0.2">
      <c r="A4" s="26" t="s">
        <v>5585</v>
      </c>
      <c r="B4" s="27" t="s">
        <v>5586</v>
      </c>
      <c r="C4" s="28">
        <v>1</v>
      </c>
      <c r="D4" s="29">
        <v>30</v>
      </c>
      <c r="E4" s="29">
        <v>30</v>
      </c>
      <c r="F4" s="30">
        <v>79.5</v>
      </c>
      <c r="G4" s="29">
        <v>79.5</v>
      </c>
      <c r="H4" s="28" t="s">
        <v>5587</v>
      </c>
      <c r="I4" s="27"/>
      <c r="J4" s="31"/>
      <c r="K4" s="27" t="s">
        <v>17</v>
      </c>
      <c r="L4" s="27" t="s">
        <v>18</v>
      </c>
      <c r="M4" s="32" t="str">
        <f>HYPERLINK("http://slimages.macys.com/is/image/MCY/3652184 ")</f>
        <v xml:space="preserve">http://slimages.macys.com/is/image/MCY/3652184 </v>
      </c>
    </row>
    <row r="5" spans="1:13" ht="15.2" customHeight="1" x14ac:dyDescent="0.2">
      <c r="A5" s="26" t="s">
        <v>5588</v>
      </c>
      <c r="B5" s="27" t="s">
        <v>5589</v>
      </c>
      <c r="C5" s="28">
        <v>1</v>
      </c>
      <c r="D5" s="29">
        <v>27.49</v>
      </c>
      <c r="E5" s="29">
        <v>27.49</v>
      </c>
      <c r="F5" s="30">
        <v>79.5</v>
      </c>
      <c r="G5" s="29">
        <v>79.5</v>
      </c>
      <c r="H5" s="28" t="s">
        <v>9</v>
      </c>
      <c r="I5" s="27" t="s">
        <v>10</v>
      </c>
      <c r="J5" s="31" t="s">
        <v>137</v>
      </c>
      <c r="K5" s="27" t="s">
        <v>12</v>
      </c>
      <c r="L5" s="27" t="s">
        <v>13</v>
      </c>
      <c r="M5" s="32" t="str">
        <f>HYPERLINK("http://slimages.macys.com/is/image/MCY/3743054 ")</f>
        <v xml:space="preserve">http://slimages.macys.com/is/image/MCY/3743054 </v>
      </c>
    </row>
    <row r="6" spans="1:13" ht="15.2" customHeight="1" x14ac:dyDescent="0.2">
      <c r="A6" s="26" t="s">
        <v>5590</v>
      </c>
      <c r="B6" s="27" t="s">
        <v>5591</v>
      </c>
      <c r="C6" s="28">
        <v>1</v>
      </c>
      <c r="D6" s="29">
        <v>27.2</v>
      </c>
      <c r="E6" s="29">
        <v>27.2</v>
      </c>
      <c r="F6" s="30">
        <v>79</v>
      </c>
      <c r="G6" s="29">
        <v>79</v>
      </c>
      <c r="H6" s="28" t="s">
        <v>5592</v>
      </c>
      <c r="I6" s="27" t="s">
        <v>4</v>
      </c>
      <c r="J6" s="31" t="s">
        <v>52</v>
      </c>
      <c r="K6" s="27" t="s">
        <v>42</v>
      </c>
      <c r="L6" s="27" t="s">
        <v>43</v>
      </c>
      <c r="M6" s="32" t="str">
        <f>HYPERLINK("http://slimages.macys.com/is/image/MCY/3611265 ")</f>
        <v xml:space="preserve">http://slimages.macys.com/is/image/MCY/3611265 </v>
      </c>
    </row>
    <row r="7" spans="1:13" ht="15.2" customHeight="1" x14ac:dyDescent="0.2">
      <c r="A7" s="26" t="s">
        <v>5593</v>
      </c>
      <c r="B7" s="27" t="s">
        <v>5594</v>
      </c>
      <c r="C7" s="28">
        <v>1</v>
      </c>
      <c r="D7" s="29">
        <v>27.2</v>
      </c>
      <c r="E7" s="29">
        <v>27.2</v>
      </c>
      <c r="F7" s="30">
        <v>79</v>
      </c>
      <c r="G7" s="29">
        <v>79</v>
      </c>
      <c r="H7" s="28" t="s">
        <v>5595</v>
      </c>
      <c r="I7" s="27" t="s">
        <v>4</v>
      </c>
      <c r="J7" s="31" t="s">
        <v>40</v>
      </c>
      <c r="K7" s="27" t="s">
        <v>42</v>
      </c>
      <c r="L7" s="27" t="s">
        <v>43</v>
      </c>
      <c r="M7" s="32" t="str">
        <f>HYPERLINK("http://slimages.macys.com/is/image/MCY/3611448 ")</f>
        <v xml:space="preserve">http://slimages.macys.com/is/image/MCY/3611448 </v>
      </c>
    </row>
    <row r="8" spans="1:13" ht="15.2" customHeight="1" x14ac:dyDescent="0.2">
      <c r="A8" s="26" t="s">
        <v>5596</v>
      </c>
      <c r="B8" s="27" t="s">
        <v>5597</v>
      </c>
      <c r="C8" s="28">
        <v>1</v>
      </c>
      <c r="D8" s="29">
        <v>27.2</v>
      </c>
      <c r="E8" s="29">
        <v>27.2</v>
      </c>
      <c r="F8" s="30">
        <v>79</v>
      </c>
      <c r="G8" s="29">
        <v>79</v>
      </c>
      <c r="H8" s="28" t="s">
        <v>5595</v>
      </c>
      <c r="I8" s="27" t="s">
        <v>4</v>
      </c>
      <c r="J8" s="31" t="s">
        <v>5</v>
      </c>
      <c r="K8" s="27" t="s">
        <v>42</v>
      </c>
      <c r="L8" s="27" t="s">
        <v>43</v>
      </c>
      <c r="M8" s="32" t="str">
        <f>HYPERLINK("http://slimages.macys.com/is/image/MCY/3611448 ")</f>
        <v xml:space="preserve">http://slimages.macys.com/is/image/MCY/3611448 </v>
      </c>
    </row>
    <row r="9" spans="1:13" ht="15.2" customHeight="1" x14ac:dyDescent="0.2">
      <c r="A9" s="26" t="s">
        <v>5598</v>
      </c>
      <c r="B9" s="27" t="s">
        <v>5599</v>
      </c>
      <c r="C9" s="28">
        <v>1</v>
      </c>
      <c r="D9" s="29">
        <v>26</v>
      </c>
      <c r="E9" s="29">
        <v>26</v>
      </c>
      <c r="F9" s="30">
        <v>79</v>
      </c>
      <c r="G9" s="29">
        <v>79</v>
      </c>
      <c r="H9" s="28" t="s">
        <v>4434</v>
      </c>
      <c r="I9" s="27" t="s">
        <v>146</v>
      </c>
      <c r="J9" s="31" t="s">
        <v>69</v>
      </c>
      <c r="K9" s="27" t="s">
        <v>24</v>
      </c>
      <c r="L9" s="27" t="s">
        <v>25</v>
      </c>
      <c r="M9" s="32" t="str">
        <f>HYPERLINK("http://slimages.macys.com/is/image/MCY/3773650 ")</f>
        <v xml:space="preserve">http://slimages.macys.com/is/image/MCY/3773650 </v>
      </c>
    </row>
    <row r="10" spans="1:13" ht="15.2" customHeight="1" x14ac:dyDescent="0.2">
      <c r="A10" s="26" t="s">
        <v>5600</v>
      </c>
      <c r="B10" s="27" t="s">
        <v>5601</v>
      </c>
      <c r="C10" s="28">
        <v>1</v>
      </c>
      <c r="D10" s="29">
        <v>23</v>
      </c>
      <c r="E10" s="29">
        <v>23</v>
      </c>
      <c r="F10" s="30">
        <v>59.5</v>
      </c>
      <c r="G10" s="29">
        <v>59.5</v>
      </c>
      <c r="H10" s="28" t="s">
        <v>5602</v>
      </c>
      <c r="I10" s="27" t="s">
        <v>265</v>
      </c>
      <c r="J10" s="31"/>
      <c r="K10" s="27" t="s">
        <v>17</v>
      </c>
      <c r="L10" s="27" t="s">
        <v>18</v>
      </c>
      <c r="M10" s="32" t="str">
        <f>HYPERLINK("http://slimages.macys.com/is/image/MCY/3384943 ")</f>
        <v xml:space="preserve">http://slimages.macys.com/is/image/MCY/3384943 </v>
      </c>
    </row>
    <row r="11" spans="1:13" ht="15.2" customHeight="1" x14ac:dyDescent="0.2">
      <c r="A11" s="26" t="s">
        <v>4597</v>
      </c>
      <c r="B11" s="27" t="s">
        <v>4598</v>
      </c>
      <c r="C11" s="28">
        <v>1</v>
      </c>
      <c r="D11" s="29">
        <v>21.55</v>
      </c>
      <c r="E11" s="29">
        <v>21.55</v>
      </c>
      <c r="F11" s="30">
        <v>52.5</v>
      </c>
      <c r="G11" s="29">
        <v>52.5</v>
      </c>
      <c r="H11" s="28" t="s">
        <v>1735</v>
      </c>
      <c r="I11" s="27" t="s">
        <v>10</v>
      </c>
      <c r="J11" s="31" t="s">
        <v>234</v>
      </c>
      <c r="K11" s="27" t="s">
        <v>41</v>
      </c>
      <c r="L11" s="27" t="s">
        <v>45</v>
      </c>
      <c r="M11" s="32" t="str">
        <f>HYPERLINK("http://slimages.macys.com/is/image/MCY/3626088 ")</f>
        <v xml:space="preserve">http://slimages.macys.com/is/image/MCY/3626088 </v>
      </c>
    </row>
    <row r="12" spans="1:13" ht="15.2" customHeight="1" x14ac:dyDescent="0.2">
      <c r="A12" s="26" t="s">
        <v>4187</v>
      </c>
      <c r="B12" s="27" t="s">
        <v>4188</v>
      </c>
      <c r="C12" s="28">
        <v>1</v>
      </c>
      <c r="D12" s="29">
        <v>21.55</v>
      </c>
      <c r="E12" s="29">
        <v>21.55</v>
      </c>
      <c r="F12" s="30">
        <v>52.5</v>
      </c>
      <c r="G12" s="29">
        <v>52.5</v>
      </c>
      <c r="H12" s="28" t="s">
        <v>1735</v>
      </c>
      <c r="I12" s="27" t="s">
        <v>10</v>
      </c>
      <c r="J12" s="31" t="s">
        <v>210</v>
      </c>
      <c r="K12" s="27" t="s">
        <v>41</v>
      </c>
      <c r="L12" s="27" t="s">
        <v>45</v>
      </c>
      <c r="M12" s="32" t="str">
        <f>HYPERLINK("http://slimages.macys.com/is/image/MCY/3626088 ")</f>
        <v xml:space="preserve">http://slimages.macys.com/is/image/MCY/3626088 </v>
      </c>
    </row>
    <row r="13" spans="1:13" ht="15.2" customHeight="1" x14ac:dyDescent="0.2">
      <c r="A13" s="26" t="s">
        <v>4335</v>
      </c>
      <c r="B13" s="27" t="s">
        <v>4336</v>
      </c>
      <c r="C13" s="28">
        <v>1</v>
      </c>
      <c r="D13" s="29">
        <v>20.85</v>
      </c>
      <c r="E13" s="29">
        <v>20.85</v>
      </c>
      <c r="F13" s="30">
        <v>69.5</v>
      </c>
      <c r="G13" s="29">
        <v>69.5</v>
      </c>
      <c r="H13" s="28">
        <v>60435383</v>
      </c>
      <c r="I13" s="27" t="s">
        <v>39</v>
      </c>
      <c r="J13" s="31" t="s">
        <v>21</v>
      </c>
      <c r="K13" s="27" t="s">
        <v>6</v>
      </c>
      <c r="L13" s="27" t="s">
        <v>7</v>
      </c>
      <c r="M13" s="32" t="str">
        <f>HYPERLINK("http://slimages.macys.com/is/image/MCY/3900381 ")</f>
        <v xml:space="preserve">http://slimages.macys.com/is/image/MCY/3900381 </v>
      </c>
    </row>
    <row r="14" spans="1:13" ht="15.2" customHeight="1" x14ac:dyDescent="0.2">
      <c r="A14" s="26" t="s">
        <v>2556</v>
      </c>
      <c r="B14" s="27" t="s">
        <v>2557</v>
      </c>
      <c r="C14" s="28">
        <v>1</v>
      </c>
      <c r="D14" s="29">
        <v>20.85</v>
      </c>
      <c r="E14" s="29">
        <v>20.85</v>
      </c>
      <c r="F14" s="30">
        <v>69.5</v>
      </c>
      <c r="G14" s="29">
        <v>69.5</v>
      </c>
      <c r="H14" s="28">
        <v>60435383</v>
      </c>
      <c r="I14" s="27" t="s">
        <v>82</v>
      </c>
      <c r="J14" s="31" t="s">
        <v>21</v>
      </c>
      <c r="K14" s="27" t="s">
        <v>6</v>
      </c>
      <c r="L14" s="27" t="s">
        <v>7</v>
      </c>
      <c r="M14" s="32" t="str">
        <f>HYPERLINK("http://slimages.macys.com/is/image/MCY/3900381 ")</f>
        <v xml:space="preserve">http://slimages.macys.com/is/image/MCY/3900381 </v>
      </c>
    </row>
    <row r="15" spans="1:13" ht="15.2" customHeight="1" x14ac:dyDescent="0.2">
      <c r="A15" s="26" t="s">
        <v>680</v>
      </c>
      <c r="B15" s="27" t="s">
        <v>681</v>
      </c>
      <c r="C15" s="28">
        <v>1</v>
      </c>
      <c r="D15" s="29">
        <v>20.52</v>
      </c>
      <c r="E15" s="29">
        <v>20.52</v>
      </c>
      <c r="F15" s="30">
        <v>59.5</v>
      </c>
      <c r="G15" s="29">
        <v>59.5</v>
      </c>
      <c r="H15" s="28" t="s">
        <v>682</v>
      </c>
      <c r="I15" s="27" t="s">
        <v>82</v>
      </c>
      <c r="J15" s="31" t="s">
        <v>21</v>
      </c>
      <c r="K15" s="27" t="s">
        <v>53</v>
      </c>
      <c r="L15" s="27" t="s">
        <v>167</v>
      </c>
      <c r="M15" s="32" t="str">
        <f>HYPERLINK("http://slimages.macys.com/is/image/MCY/3918811 ")</f>
        <v xml:space="preserve">http://slimages.macys.com/is/image/MCY/3918811 </v>
      </c>
    </row>
    <row r="16" spans="1:13" ht="15.2" customHeight="1" x14ac:dyDescent="0.2">
      <c r="A16" s="26" t="s">
        <v>5603</v>
      </c>
      <c r="B16" s="27" t="s">
        <v>5604</v>
      </c>
      <c r="C16" s="28">
        <v>1</v>
      </c>
      <c r="D16" s="29">
        <v>20.420000000000002</v>
      </c>
      <c r="E16" s="29">
        <v>20.420000000000002</v>
      </c>
      <c r="F16" s="30">
        <v>59.5</v>
      </c>
      <c r="G16" s="29">
        <v>59.5</v>
      </c>
      <c r="H16" s="28" t="s">
        <v>2561</v>
      </c>
      <c r="I16" s="27" t="s">
        <v>26</v>
      </c>
      <c r="J16" s="31" t="s">
        <v>40</v>
      </c>
      <c r="K16" s="27" t="s">
        <v>53</v>
      </c>
      <c r="L16" s="27" t="s">
        <v>167</v>
      </c>
      <c r="M16" s="32" t="str">
        <f>HYPERLINK("http://slimages.macys.com/is/image/MCY/3773786 ")</f>
        <v xml:space="preserve">http://slimages.macys.com/is/image/MCY/3773786 </v>
      </c>
    </row>
    <row r="17" spans="1:13" ht="15.2" customHeight="1" x14ac:dyDescent="0.2">
      <c r="A17" s="26" t="s">
        <v>4193</v>
      </c>
      <c r="B17" s="27" t="s">
        <v>4194</v>
      </c>
      <c r="C17" s="28">
        <v>1</v>
      </c>
      <c r="D17" s="29">
        <v>20.079999999999998</v>
      </c>
      <c r="E17" s="29">
        <v>20.079999999999998</v>
      </c>
      <c r="F17" s="30">
        <v>46.25</v>
      </c>
      <c r="G17" s="29">
        <v>46.25</v>
      </c>
      <c r="H17" s="28" t="s">
        <v>2564</v>
      </c>
      <c r="I17" s="27" t="s">
        <v>10</v>
      </c>
      <c r="J17" s="31" t="s">
        <v>210</v>
      </c>
      <c r="K17" s="27" t="s">
        <v>41</v>
      </c>
      <c r="L17" s="27" t="s">
        <v>45</v>
      </c>
      <c r="M17" s="32" t="str">
        <f>HYPERLINK("http://slimages.macys.com/is/image/MCY/3724372 ")</f>
        <v xml:space="preserve">http://slimages.macys.com/is/image/MCY/3724372 </v>
      </c>
    </row>
    <row r="18" spans="1:13" ht="15.2" customHeight="1" x14ac:dyDescent="0.2">
      <c r="A18" s="26" t="s">
        <v>4191</v>
      </c>
      <c r="B18" s="27" t="s">
        <v>4192</v>
      </c>
      <c r="C18" s="28">
        <v>2</v>
      </c>
      <c r="D18" s="29">
        <v>20.079999999999998</v>
      </c>
      <c r="E18" s="29">
        <v>40.159999999999997</v>
      </c>
      <c r="F18" s="30">
        <v>46.25</v>
      </c>
      <c r="G18" s="29">
        <v>92.5</v>
      </c>
      <c r="H18" s="28" t="s">
        <v>2564</v>
      </c>
      <c r="I18" s="27" t="s">
        <v>10</v>
      </c>
      <c r="J18" s="31" t="s">
        <v>210</v>
      </c>
      <c r="K18" s="27" t="s">
        <v>41</v>
      </c>
      <c r="L18" s="27" t="s">
        <v>45</v>
      </c>
      <c r="M18" s="32" t="str">
        <f>HYPERLINK("http://slimages.macys.com/is/image/MCY/3724372 ")</f>
        <v xml:space="preserve">http://slimages.macys.com/is/image/MCY/3724372 </v>
      </c>
    </row>
    <row r="19" spans="1:13" ht="15.2" customHeight="1" x14ac:dyDescent="0.2">
      <c r="A19" s="26" t="s">
        <v>5605</v>
      </c>
      <c r="B19" s="27" t="s">
        <v>5606</v>
      </c>
      <c r="C19" s="28">
        <v>1</v>
      </c>
      <c r="D19" s="29">
        <v>19.98</v>
      </c>
      <c r="E19" s="29">
        <v>19.98</v>
      </c>
      <c r="F19" s="30">
        <v>54</v>
      </c>
      <c r="G19" s="29">
        <v>54</v>
      </c>
      <c r="H19" s="28" t="s">
        <v>5607</v>
      </c>
      <c r="I19" s="27" t="s">
        <v>690</v>
      </c>
      <c r="J19" s="31" t="s">
        <v>21</v>
      </c>
      <c r="K19" s="27" t="s">
        <v>989</v>
      </c>
      <c r="L19" s="27" t="s">
        <v>990</v>
      </c>
      <c r="M19" s="32" t="str">
        <f>HYPERLINK("http://slimages.macys.com/is/image/MCY/3745072 ")</f>
        <v xml:space="preserve">http://slimages.macys.com/is/image/MCY/3745072 </v>
      </c>
    </row>
    <row r="20" spans="1:13" ht="15.2" customHeight="1" x14ac:dyDescent="0.2">
      <c r="A20" s="26" t="s">
        <v>5608</v>
      </c>
      <c r="B20" s="27" t="s">
        <v>5609</v>
      </c>
      <c r="C20" s="28">
        <v>1</v>
      </c>
      <c r="D20" s="29">
        <v>19.600000000000001</v>
      </c>
      <c r="E20" s="29">
        <v>19.600000000000001</v>
      </c>
      <c r="F20" s="30">
        <v>69</v>
      </c>
      <c r="G20" s="29">
        <v>69</v>
      </c>
      <c r="H20" s="28" t="s">
        <v>5610</v>
      </c>
      <c r="I20" s="27"/>
      <c r="J20" s="31" t="s">
        <v>21</v>
      </c>
      <c r="K20" s="27" t="s">
        <v>42</v>
      </c>
      <c r="L20" s="27" t="s">
        <v>43</v>
      </c>
      <c r="M20" s="32" t="str">
        <f>HYPERLINK("http://slimages.macys.com/is/image/MCY/3611438 ")</f>
        <v xml:space="preserve">http://slimages.macys.com/is/image/MCY/3611438 </v>
      </c>
    </row>
    <row r="21" spans="1:13" ht="15.2" customHeight="1" x14ac:dyDescent="0.2">
      <c r="A21" s="26" t="s">
        <v>1124</v>
      </c>
      <c r="B21" s="27" t="s">
        <v>1125</v>
      </c>
      <c r="C21" s="28">
        <v>2</v>
      </c>
      <c r="D21" s="29">
        <v>18.989999999999998</v>
      </c>
      <c r="E21" s="29">
        <v>37.979999999999997</v>
      </c>
      <c r="F21" s="30">
        <v>43.5</v>
      </c>
      <c r="G21" s="29">
        <v>87</v>
      </c>
      <c r="H21" s="28" t="s">
        <v>1126</v>
      </c>
      <c r="I21" s="27" t="s">
        <v>94</v>
      </c>
      <c r="J21" s="31" t="s">
        <v>113</v>
      </c>
      <c r="K21" s="27" t="s">
        <v>41</v>
      </c>
      <c r="L21" s="27" t="s">
        <v>45</v>
      </c>
      <c r="M21" s="32" t="str">
        <f t="shared" ref="M21:M26" si="0">HYPERLINK("http://slimages.macys.com/is/image/MCY/3721274 ")</f>
        <v xml:space="preserve">http://slimages.macys.com/is/image/MCY/3721274 </v>
      </c>
    </row>
    <row r="22" spans="1:13" ht="15.2" customHeight="1" x14ac:dyDescent="0.2">
      <c r="A22" s="26" t="s">
        <v>5413</v>
      </c>
      <c r="B22" s="27" t="s">
        <v>5414</v>
      </c>
      <c r="C22" s="28">
        <v>1</v>
      </c>
      <c r="D22" s="29">
        <v>18.989999999999998</v>
      </c>
      <c r="E22" s="29">
        <v>18.989999999999998</v>
      </c>
      <c r="F22" s="30">
        <v>43.5</v>
      </c>
      <c r="G22" s="29">
        <v>43.5</v>
      </c>
      <c r="H22" s="28" t="s">
        <v>1126</v>
      </c>
      <c r="I22" s="27" t="s">
        <v>94</v>
      </c>
      <c r="J22" s="31" t="s">
        <v>214</v>
      </c>
      <c r="K22" s="27" t="s">
        <v>41</v>
      </c>
      <c r="L22" s="27" t="s">
        <v>45</v>
      </c>
      <c r="M22" s="32" t="str">
        <f t="shared" si="0"/>
        <v xml:space="preserve">http://slimages.macys.com/is/image/MCY/3721274 </v>
      </c>
    </row>
    <row r="23" spans="1:13" ht="15.2" customHeight="1" x14ac:dyDescent="0.2">
      <c r="A23" s="26" t="s">
        <v>3154</v>
      </c>
      <c r="B23" s="27" t="s">
        <v>3155</v>
      </c>
      <c r="C23" s="28">
        <v>2</v>
      </c>
      <c r="D23" s="29">
        <v>18.989999999999998</v>
      </c>
      <c r="E23" s="29">
        <v>37.979999999999997</v>
      </c>
      <c r="F23" s="30">
        <v>43.5</v>
      </c>
      <c r="G23" s="29">
        <v>87</v>
      </c>
      <c r="H23" s="28" t="s">
        <v>1126</v>
      </c>
      <c r="I23" s="27" t="s">
        <v>94</v>
      </c>
      <c r="J23" s="31" t="s">
        <v>69</v>
      </c>
      <c r="K23" s="27" t="s">
        <v>41</v>
      </c>
      <c r="L23" s="27" t="s">
        <v>45</v>
      </c>
      <c r="M23" s="32" t="str">
        <f t="shared" si="0"/>
        <v xml:space="preserve">http://slimages.macys.com/is/image/MCY/3721274 </v>
      </c>
    </row>
    <row r="24" spans="1:13" ht="15.2" customHeight="1" x14ac:dyDescent="0.2">
      <c r="A24" s="26" t="s">
        <v>4748</v>
      </c>
      <c r="B24" s="27" t="s">
        <v>4749</v>
      </c>
      <c r="C24" s="28">
        <v>1</v>
      </c>
      <c r="D24" s="29">
        <v>18.989999999999998</v>
      </c>
      <c r="E24" s="29">
        <v>18.989999999999998</v>
      </c>
      <c r="F24" s="30">
        <v>43.5</v>
      </c>
      <c r="G24" s="29">
        <v>43.5</v>
      </c>
      <c r="H24" s="28" t="s">
        <v>1126</v>
      </c>
      <c r="I24" s="27" t="s">
        <v>94</v>
      </c>
      <c r="J24" s="31" t="s">
        <v>230</v>
      </c>
      <c r="K24" s="27" t="s">
        <v>41</v>
      </c>
      <c r="L24" s="27" t="s">
        <v>45</v>
      </c>
      <c r="M24" s="32" t="str">
        <f t="shared" si="0"/>
        <v xml:space="preserve">http://slimages.macys.com/is/image/MCY/3721274 </v>
      </c>
    </row>
    <row r="25" spans="1:13" ht="15.2" customHeight="1" x14ac:dyDescent="0.2">
      <c r="A25" s="26" t="s">
        <v>5611</v>
      </c>
      <c r="B25" s="27" t="s">
        <v>5612</v>
      </c>
      <c r="C25" s="28">
        <v>1</v>
      </c>
      <c r="D25" s="29">
        <v>18.989999999999998</v>
      </c>
      <c r="E25" s="29">
        <v>18.989999999999998</v>
      </c>
      <c r="F25" s="30">
        <v>43.5</v>
      </c>
      <c r="G25" s="29">
        <v>43.5</v>
      </c>
      <c r="H25" s="28" t="s">
        <v>1126</v>
      </c>
      <c r="I25" s="27" t="s">
        <v>22</v>
      </c>
      <c r="J25" s="31" t="s">
        <v>210</v>
      </c>
      <c r="K25" s="27" t="s">
        <v>41</v>
      </c>
      <c r="L25" s="27" t="s">
        <v>45</v>
      </c>
      <c r="M25" s="32" t="str">
        <f t="shared" si="0"/>
        <v xml:space="preserve">http://slimages.macys.com/is/image/MCY/3721274 </v>
      </c>
    </row>
    <row r="26" spans="1:13" ht="15.2" customHeight="1" x14ac:dyDescent="0.2">
      <c r="A26" s="26" t="s">
        <v>5613</v>
      </c>
      <c r="B26" s="27" t="s">
        <v>5614</v>
      </c>
      <c r="C26" s="28">
        <v>1</v>
      </c>
      <c r="D26" s="29">
        <v>18.989999999999998</v>
      </c>
      <c r="E26" s="29">
        <v>18.989999999999998</v>
      </c>
      <c r="F26" s="30">
        <v>43.5</v>
      </c>
      <c r="G26" s="29">
        <v>43.5</v>
      </c>
      <c r="H26" s="28" t="s">
        <v>5615</v>
      </c>
      <c r="I26" s="27" t="s">
        <v>22</v>
      </c>
      <c r="J26" s="31" t="s">
        <v>216</v>
      </c>
      <c r="K26" s="27" t="s">
        <v>41</v>
      </c>
      <c r="L26" s="27" t="s">
        <v>45</v>
      </c>
      <c r="M26" s="32" t="str">
        <f t="shared" si="0"/>
        <v xml:space="preserve">http://slimages.macys.com/is/image/MCY/3721274 </v>
      </c>
    </row>
    <row r="27" spans="1:13" ht="15.2" customHeight="1" x14ac:dyDescent="0.2">
      <c r="A27" s="26" t="s">
        <v>4195</v>
      </c>
      <c r="B27" s="27" t="s">
        <v>4196</v>
      </c>
      <c r="C27" s="28">
        <v>1</v>
      </c>
      <c r="D27" s="29">
        <v>18.75</v>
      </c>
      <c r="E27" s="29">
        <v>18.75</v>
      </c>
      <c r="F27" s="30">
        <v>59</v>
      </c>
      <c r="G27" s="29">
        <v>59</v>
      </c>
      <c r="H27" s="28" t="s">
        <v>74</v>
      </c>
      <c r="I27" s="27" t="s">
        <v>144</v>
      </c>
      <c r="J27" s="31"/>
      <c r="K27" s="27" t="s">
        <v>37</v>
      </c>
      <c r="L27" s="27" t="s">
        <v>38</v>
      </c>
      <c r="M27" s="32" t="str">
        <f>HYPERLINK("http://slimages.macys.com/is/image/MCY/3937226 ")</f>
        <v xml:space="preserve">http://slimages.macys.com/is/image/MCY/3937226 </v>
      </c>
    </row>
    <row r="28" spans="1:13" ht="15.2" customHeight="1" x14ac:dyDescent="0.2">
      <c r="A28" s="26" t="s">
        <v>5616</v>
      </c>
      <c r="B28" s="27" t="s">
        <v>5617</v>
      </c>
      <c r="C28" s="28">
        <v>2</v>
      </c>
      <c r="D28" s="29">
        <v>18.739999999999998</v>
      </c>
      <c r="E28" s="29">
        <v>37.479999999999997</v>
      </c>
      <c r="F28" s="30">
        <v>43.5</v>
      </c>
      <c r="G28" s="29">
        <v>87</v>
      </c>
      <c r="H28" s="28" t="s">
        <v>1133</v>
      </c>
      <c r="I28" s="27" t="s">
        <v>4</v>
      </c>
      <c r="J28" s="31" t="s">
        <v>113</v>
      </c>
      <c r="K28" s="27" t="s">
        <v>41</v>
      </c>
      <c r="L28" s="27" t="s">
        <v>45</v>
      </c>
      <c r="M28" s="32" t="str">
        <f>HYPERLINK("http://slimages.macys.com/is/image/MCY/3678345 ")</f>
        <v xml:space="preserve">http://slimages.macys.com/is/image/MCY/3678345 </v>
      </c>
    </row>
    <row r="29" spans="1:13" ht="15.2" customHeight="1" x14ac:dyDescent="0.2">
      <c r="A29" s="26" t="s">
        <v>2576</v>
      </c>
      <c r="B29" s="27" t="s">
        <v>2577</v>
      </c>
      <c r="C29" s="28">
        <v>1</v>
      </c>
      <c r="D29" s="29">
        <v>18.23</v>
      </c>
      <c r="E29" s="29">
        <v>18.23</v>
      </c>
      <c r="F29" s="30">
        <v>49.99</v>
      </c>
      <c r="G29" s="29">
        <v>49.99</v>
      </c>
      <c r="H29" s="28" t="s">
        <v>79</v>
      </c>
      <c r="I29" s="27" t="s">
        <v>20</v>
      </c>
      <c r="J29" s="31" t="s">
        <v>21</v>
      </c>
      <c r="K29" s="27" t="s">
        <v>41</v>
      </c>
      <c r="L29" s="27" t="s">
        <v>80</v>
      </c>
      <c r="M29" s="32" t="str">
        <f>HYPERLINK("http://slimages.macys.com/is/image/MCY/3954963 ")</f>
        <v xml:space="preserve">http://slimages.macys.com/is/image/MCY/3954963 </v>
      </c>
    </row>
    <row r="30" spans="1:13" ht="15.2" customHeight="1" x14ac:dyDescent="0.2">
      <c r="A30" s="26" t="s">
        <v>5618</v>
      </c>
      <c r="B30" s="27" t="s">
        <v>5619</v>
      </c>
      <c r="C30" s="28">
        <v>1</v>
      </c>
      <c r="D30" s="29">
        <v>18.07</v>
      </c>
      <c r="E30" s="29">
        <v>18.07</v>
      </c>
      <c r="F30" s="30">
        <v>49.5</v>
      </c>
      <c r="G30" s="29">
        <v>49.5</v>
      </c>
      <c r="H30" s="28" t="s">
        <v>2582</v>
      </c>
      <c r="I30" s="27" t="s">
        <v>22</v>
      </c>
      <c r="J30" s="31" t="s">
        <v>172</v>
      </c>
      <c r="K30" s="27" t="s">
        <v>41</v>
      </c>
      <c r="L30" s="27" t="s">
        <v>45</v>
      </c>
      <c r="M30" s="32" t="str">
        <f>HYPERLINK("http://slimages.macys.com/is/image/MCY/3913223 ")</f>
        <v xml:space="preserve">http://slimages.macys.com/is/image/MCY/3913223 </v>
      </c>
    </row>
    <row r="31" spans="1:13" ht="15.2" customHeight="1" x14ac:dyDescent="0.2">
      <c r="A31" s="26" t="s">
        <v>5620</v>
      </c>
      <c r="B31" s="27" t="s">
        <v>5621</v>
      </c>
      <c r="C31" s="28">
        <v>1</v>
      </c>
      <c r="D31" s="29">
        <v>18.059999999999999</v>
      </c>
      <c r="E31" s="29">
        <v>18.059999999999999</v>
      </c>
      <c r="F31" s="30">
        <v>44.99</v>
      </c>
      <c r="G31" s="29">
        <v>44.99</v>
      </c>
      <c r="H31" s="28" t="s">
        <v>5622</v>
      </c>
      <c r="I31" s="27" t="s">
        <v>746</v>
      </c>
      <c r="J31" s="31" t="s">
        <v>110</v>
      </c>
      <c r="K31" s="27" t="s">
        <v>41</v>
      </c>
      <c r="L31" s="27" t="s">
        <v>45</v>
      </c>
      <c r="M31" s="32" t="str">
        <f>HYPERLINK("http://slimages.macys.com/is/image/MCY/3264481 ")</f>
        <v xml:space="preserve">http://slimages.macys.com/is/image/MCY/3264481 </v>
      </c>
    </row>
    <row r="32" spans="1:13" ht="15.2" customHeight="1" x14ac:dyDescent="0.2">
      <c r="A32" s="26" t="s">
        <v>5623</v>
      </c>
      <c r="B32" s="27" t="s">
        <v>5624</v>
      </c>
      <c r="C32" s="28">
        <v>1</v>
      </c>
      <c r="D32" s="29">
        <v>17.82</v>
      </c>
      <c r="E32" s="29">
        <v>17.82</v>
      </c>
      <c r="F32" s="30">
        <v>49.5</v>
      </c>
      <c r="G32" s="29">
        <v>49.5</v>
      </c>
      <c r="H32" s="28" t="s">
        <v>5625</v>
      </c>
      <c r="I32" s="27" t="s">
        <v>144</v>
      </c>
      <c r="J32" s="31" t="s">
        <v>5</v>
      </c>
      <c r="K32" s="27" t="s">
        <v>27</v>
      </c>
      <c r="L32" s="27" t="s">
        <v>28</v>
      </c>
      <c r="M32" s="32" t="str">
        <f>HYPERLINK("http://slimages.macys.com/is/image/MCY/3565688 ")</f>
        <v xml:space="preserve">http://slimages.macys.com/is/image/MCY/3565688 </v>
      </c>
    </row>
    <row r="33" spans="1:13" ht="15.2" customHeight="1" x14ac:dyDescent="0.2">
      <c r="A33" s="26" t="s">
        <v>104</v>
      </c>
      <c r="B33" s="27" t="s">
        <v>105</v>
      </c>
      <c r="C33" s="28">
        <v>1</v>
      </c>
      <c r="D33" s="29">
        <v>17.52</v>
      </c>
      <c r="E33" s="29">
        <v>17.52</v>
      </c>
      <c r="F33" s="30">
        <v>49.5</v>
      </c>
      <c r="G33" s="29">
        <v>49.5</v>
      </c>
      <c r="H33" s="28" t="s">
        <v>106</v>
      </c>
      <c r="I33" s="27" t="s">
        <v>107</v>
      </c>
      <c r="J33" s="31" t="s">
        <v>108</v>
      </c>
      <c r="K33" s="27" t="s">
        <v>41</v>
      </c>
      <c r="L33" s="27" t="s">
        <v>109</v>
      </c>
      <c r="M33" s="32" t="str">
        <f>HYPERLINK("http://slimages.macys.com/is/image/MCY/3367561 ")</f>
        <v xml:space="preserve">http://slimages.macys.com/is/image/MCY/3367561 </v>
      </c>
    </row>
    <row r="34" spans="1:13" ht="15.2" customHeight="1" x14ac:dyDescent="0.2">
      <c r="A34" s="26" t="s">
        <v>5626</v>
      </c>
      <c r="B34" s="27" t="s">
        <v>5627</v>
      </c>
      <c r="C34" s="28">
        <v>1</v>
      </c>
      <c r="D34" s="29">
        <v>17.25</v>
      </c>
      <c r="E34" s="29">
        <v>17.25</v>
      </c>
      <c r="F34" s="30">
        <v>49</v>
      </c>
      <c r="G34" s="29">
        <v>49</v>
      </c>
      <c r="H34" s="28" t="s">
        <v>116</v>
      </c>
      <c r="I34" s="27" t="s">
        <v>75</v>
      </c>
      <c r="J34" s="31" t="s">
        <v>71</v>
      </c>
      <c r="K34" s="27" t="s">
        <v>37</v>
      </c>
      <c r="L34" s="27" t="s">
        <v>38</v>
      </c>
      <c r="M34" s="32" t="str">
        <f>HYPERLINK("http://slimages.macys.com/is/image/MCY/3820526 ")</f>
        <v xml:space="preserve">http://slimages.macys.com/is/image/MCY/3820526 </v>
      </c>
    </row>
    <row r="35" spans="1:13" ht="15.2" customHeight="1" x14ac:dyDescent="0.2">
      <c r="A35" s="26" t="s">
        <v>4442</v>
      </c>
      <c r="B35" s="27" t="s">
        <v>4443</v>
      </c>
      <c r="C35" s="28">
        <v>1</v>
      </c>
      <c r="D35" s="29">
        <v>16.239999999999998</v>
      </c>
      <c r="E35" s="29">
        <v>16.239999999999998</v>
      </c>
      <c r="F35" s="30">
        <v>44.5</v>
      </c>
      <c r="G35" s="29">
        <v>44.5</v>
      </c>
      <c r="H35" s="28" t="s">
        <v>2593</v>
      </c>
      <c r="I35" s="27" t="s">
        <v>4</v>
      </c>
      <c r="J35" s="31" t="s">
        <v>21</v>
      </c>
      <c r="K35" s="27" t="s">
        <v>53</v>
      </c>
      <c r="L35" s="27" t="s">
        <v>167</v>
      </c>
      <c r="M35" s="32" t="str">
        <f>HYPERLINK("http://slimages.macys.com/is/image/MCY/3954897 ")</f>
        <v xml:space="preserve">http://slimages.macys.com/is/image/MCY/3954897 </v>
      </c>
    </row>
    <row r="36" spans="1:13" ht="15.2" customHeight="1" x14ac:dyDescent="0.2">
      <c r="A36" s="26" t="s">
        <v>5528</v>
      </c>
      <c r="B36" s="27" t="s">
        <v>5529</v>
      </c>
      <c r="C36" s="28">
        <v>1</v>
      </c>
      <c r="D36" s="29">
        <v>16.239999999999998</v>
      </c>
      <c r="E36" s="29">
        <v>16.239999999999998</v>
      </c>
      <c r="F36" s="30">
        <v>44.5</v>
      </c>
      <c r="G36" s="29">
        <v>44.5</v>
      </c>
      <c r="H36" s="28" t="s">
        <v>2118</v>
      </c>
      <c r="I36" s="27" t="s">
        <v>82</v>
      </c>
      <c r="J36" s="31" t="s">
        <v>5</v>
      </c>
      <c r="K36" s="27" t="s">
        <v>41</v>
      </c>
      <c r="L36" s="27" t="s">
        <v>45</v>
      </c>
      <c r="M36" s="32" t="str">
        <f>HYPERLINK("http://slimages.macys.com/is/image/MCY/3802077 ")</f>
        <v xml:space="preserve">http://slimages.macys.com/is/image/MCY/3802077 </v>
      </c>
    </row>
    <row r="37" spans="1:13" ht="15.2" customHeight="1" x14ac:dyDescent="0.2">
      <c r="A37" s="26" t="s">
        <v>5628</v>
      </c>
      <c r="B37" s="27" t="s">
        <v>5527</v>
      </c>
      <c r="C37" s="28">
        <v>1</v>
      </c>
      <c r="D37" s="29">
        <v>16</v>
      </c>
      <c r="E37" s="29">
        <v>16</v>
      </c>
      <c r="F37" s="30">
        <v>49</v>
      </c>
      <c r="G37" s="29">
        <v>49</v>
      </c>
      <c r="H37" s="28" t="s">
        <v>5629</v>
      </c>
      <c r="I37" s="27" t="s">
        <v>4</v>
      </c>
      <c r="J37" s="31" t="s">
        <v>5</v>
      </c>
      <c r="K37" s="27" t="s">
        <v>154</v>
      </c>
      <c r="L37" s="27" t="s">
        <v>155</v>
      </c>
      <c r="M37" s="32" t="str">
        <f>HYPERLINK("http://slimages.macys.com/is/image/MCY/3667375 ")</f>
        <v xml:space="preserve">http://slimages.macys.com/is/image/MCY/3667375 </v>
      </c>
    </row>
    <row r="38" spans="1:13" ht="15.2" customHeight="1" x14ac:dyDescent="0.2">
      <c r="A38" s="26" t="s">
        <v>5630</v>
      </c>
      <c r="B38" s="27" t="s">
        <v>5631</v>
      </c>
      <c r="C38" s="28">
        <v>1</v>
      </c>
      <c r="D38" s="29">
        <v>16</v>
      </c>
      <c r="E38" s="29">
        <v>16</v>
      </c>
      <c r="F38" s="30">
        <v>49</v>
      </c>
      <c r="G38" s="29">
        <v>49</v>
      </c>
      <c r="H38" s="28" t="s">
        <v>5632</v>
      </c>
      <c r="I38" s="27" t="s">
        <v>82</v>
      </c>
      <c r="J38" s="31" t="s">
        <v>40</v>
      </c>
      <c r="K38" s="27" t="s">
        <v>154</v>
      </c>
      <c r="L38" s="27" t="s">
        <v>155</v>
      </c>
      <c r="M38" s="32" t="str">
        <f>HYPERLINK("http://slimages.macys.com/is/image/MCY/3334637 ")</f>
        <v xml:space="preserve">http://slimages.macys.com/is/image/MCY/3334637 </v>
      </c>
    </row>
    <row r="39" spans="1:13" ht="15.2" customHeight="1" x14ac:dyDescent="0.2">
      <c r="A39" s="26" t="s">
        <v>5633</v>
      </c>
      <c r="B39" s="27" t="s">
        <v>5634</v>
      </c>
      <c r="C39" s="28">
        <v>1</v>
      </c>
      <c r="D39" s="29">
        <v>16</v>
      </c>
      <c r="E39" s="29">
        <v>16</v>
      </c>
      <c r="F39" s="30">
        <v>49</v>
      </c>
      <c r="G39" s="29">
        <v>49</v>
      </c>
      <c r="H39" s="28" t="s">
        <v>5629</v>
      </c>
      <c r="I39" s="27" t="s">
        <v>4</v>
      </c>
      <c r="J39" s="31" t="s">
        <v>21</v>
      </c>
      <c r="K39" s="27" t="s">
        <v>154</v>
      </c>
      <c r="L39" s="27" t="s">
        <v>155</v>
      </c>
      <c r="M39" s="32" t="str">
        <f>HYPERLINK("http://slimages.macys.com/is/image/MCY/3667375 ")</f>
        <v xml:space="preserve">http://slimages.macys.com/is/image/MCY/3667375 </v>
      </c>
    </row>
    <row r="40" spans="1:13" ht="15.2" customHeight="1" x14ac:dyDescent="0.2">
      <c r="A40" s="26" t="s">
        <v>5635</v>
      </c>
      <c r="B40" s="27" t="s">
        <v>5636</v>
      </c>
      <c r="C40" s="28">
        <v>1</v>
      </c>
      <c r="D40" s="29">
        <v>15.9</v>
      </c>
      <c r="E40" s="29">
        <v>15.9</v>
      </c>
      <c r="F40" s="30">
        <v>44.5</v>
      </c>
      <c r="G40" s="29">
        <v>44.5</v>
      </c>
      <c r="H40" s="28" t="s">
        <v>142</v>
      </c>
      <c r="I40" s="27" t="s">
        <v>1103</v>
      </c>
      <c r="J40" s="31" t="s">
        <v>21</v>
      </c>
      <c r="K40" s="27" t="s">
        <v>41</v>
      </c>
      <c r="L40" s="27" t="s">
        <v>45</v>
      </c>
      <c r="M40" s="32" t="str">
        <f>HYPERLINK("http://slimages.macys.com/is/image/MCY/3634312 ")</f>
        <v xml:space="preserve">http://slimages.macys.com/is/image/MCY/3634312 </v>
      </c>
    </row>
    <row r="41" spans="1:13" ht="15.2" customHeight="1" x14ac:dyDescent="0.2">
      <c r="A41" s="26" t="s">
        <v>5637</v>
      </c>
      <c r="B41" s="27" t="s">
        <v>5638</v>
      </c>
      <c r="C41" s="28">
        <v>1</v>
      </c>
      <c r="D41" s="29">
        <v>15.75</v>
      </c>
      <c r="E41" s="29">
        <v>15.75</v>
      </c>
      <c r="F41" s="30">
        <v>49</v>
      </c>
      <c r="G41" s="29">
        <v>49</v>
      </c>
      <c r="H41" s="28" t="s">
        <v>5639</v>
      </c>
      <c r="I41" s="27" t="s">
        <v>36</v>
      </c>
      <c r="J41" s="31" t="s">
        <v>5</v>
      </c>
      <c r="K41" s="27" t="s">
        <v>37</v>
      </c>
      <c r="L41" s="27" t="s">
        <v>38</v>
      </c>
      <c r="M41" s="32" t="str">
        <f>HYPERLINK("http://slimages.macys.com/is/image/MCY/3600584 ")</f>
        <v xml:space="preserve">http://slimages.macys.com/is/image/MCY/3600584 </v>
      </c>
    </row>
    <row r="42" spans="1:13" ht="15.2" customHeight="1" x14ac:dyDescent="0.2">
      <c r="A42" s="26" t="s">
        <v>2130</v>
      </c>
      <c r="B42" s="27" t="s">
        <v>2131</v>
      </c>
      <c r="C42" s="28">
        <v>1</v>
      </c>
      <c r="D42" s="29">
        <v>14.5</v>
      </c>
      <c r="E42" s="29">
        <v>14.5</v>
      </c>
      <c r="F42" s="30">
        <v>45</v>
      </c>
      <c r="G42" s="29">
        <v>45</v>
      </c>
      <c r="H42" s="28" t="s">
        <v>1768</v>
      </c>
      <c r="I42" s="27" t="s">
        <v>26</v>
      </c>
      <c r="J42" s="31" t="s">
        <v>21</v>
      </c>
      <c r="K42" s="27" t="s">
        <v>154</v>
      </c>
      <c r="L42" s="27" t="s">
        <v>155</v>
      </c>
      <c r="M42" s="32" t="str">
        <f>HYPERLINK("http://slimages.macys.com/is/image/MCY/3841161 ")</f>
        <v xml:space="preserve">http://slimages.macys.com/is/image/MCY/3841161 </v>
      </c>
    </row>
    <row r="43" spans="1:13" ht="15.2" customHeight="1" x14ac:dyDescent="0.2">
      <c r="A43" s="26" t="s">
        <v>5640</v>
      </c>
      <c r="B43" s="27" t="s">
        <v>5641</v>
      </c>
      <c r="C43" s="28">
        <v>1</v>
      </c>
      <c r="D43" s="29">
        <v>14.49</v>
      </c>
      <c r="E43" s="29">
        <v>14.49</v>
      </c>
      <c r="F43" s="30">
        <v>39.5</v>
      </c>
      <c r="G43" s="29">
        <v>39.5</v>
      </c>
      <c r="H43" s="28" t="s">
        <v>177</v>
      </c>
      <c r="I43" s="27" t="s">
        <v>26</v>
      </c>
      <c r="J43" s="31" t="s">
        <v>52</v>
      </c>
      <c r="K43" s="27" t="s">
        <v>53</v>
      </c>
      <c r="L43" s="27" t="s">
        <v>54</v>
      </c>
      <c r="M43" s="32" t="str">
        <f>HYPERLINK("http://slimages.macys.com/is/image/MCY/3711087 ")</f>
        <v xml:space="preserve">http://slimages.macys.com/is/image/MCY/3711087 </v>
      </c>
    </row>
    <row r="44" spans="1:13" ht="15.2" customHeight="1" x14ac:dyDescent="0.2">
      <c r="A44" s="26" t="s">
        <v>5418</v>
      </c>
      <c r="B44" s="27" t="s">
        <v>5419</v>
      </c>
      <c r="C44" s="28">
        <v>1</v>
      </c>
      <c r="D44" s="29">
        <v>14.49</v>
      </c>
      <c r="E44" s="29">
        <v>14.49</v>
      </c>
      <c r="F44" s="30">
        <v>39.5</v>
      </c>
      <c r="G44" s="29">
        <v>39.5</v>
      </c>
      <c r="H44" s="28" t="s">
        <v>177</v>
      </c>
      <c r="I44" s="27" t="s">
        <v>26</v>
      </c>
      <c r="J44" s="31" t="s">
        <v>65</v>
      </c>
      <c r="K44" s="27" t="s">
        <v>53</v>
      </c>
      <c r="L44" s="27" t="s">
        <v>54</v>
      </c>
      <c r="M44" s="32" t="str">
        <f>HYPERLINK("http://slimages.macys.com/is/image/MCY/3711087 ")</f>
        <v xml:space="preserve">http://slimages.macys.com/is/image/MCY/3711087 </v>
      </c>
    </row>
    <row r="45" spans="1:13" ht="15.2" customHeight="1" x14ac:dyDescent="0.2">
      <c r="A45" s="26" t="s">
        <v>2850</v>
      </c>
      <c r="B45" s="27" t="s">
        <v>2851</v>
      </c>
      <c r="C45" s="28">
        <v>1</v>
      </c>
      <c r="D45" s="29">
        <v>14.49</v>
      </c>
      <c r="E45" s="29">
        <v>14.49</v>
      </c>
      <c r="F45" s="30">
        <v>39.5</v>
      </c>
      <c r="G45" s="29">
        <v>39.5</v>
      </c>
      <c r="H45" s="28" t="s">
        <v>177</v>
      </c>
      <c r="I45" s="27" t="s">
        <v>26</v>
      </c>
      <c r="J45" s="31" t="s">
        <v>71</v>
      </c>
      <c r="K45" s="27" t="s">
        <v>53</v>
      </c>
      <c r="L45" s="27" t="s">
        <v>54</v>
      </c>
      <c r="M45" s="32" t="str">
        <f>HYPERLINK("http://slimages.macys.com/is/image/MCY/3711087 ")</f>
        <v xml:space="preserve">http://slimages.macys.com/is/image/MCY/3711087 </v>
      </c>
    </row>
    <row r="46" spans="1:13" ht="15.2" customHeight="1" x14ac:dyDescent="0.2">
      <c r="A46" s="26" t="s">
        <v>4201</v>
      </c>
      <c r="B46" s="27" t="s">
        <v>4202</v>
      </c>
      <c r="C46" s="28">
        <v>1</v>
      </c>
      <c r="D46" s="29">
        <v>14.41</v>
      </c>
      <c r="E46" s="29">
        <v>14.41</v>
      </c>
      <c r="F46" s="30">
        <v>39.5</v>
      </c>
      <c r="G46" s="29">
        <v>39.5</v>
      </c>
      <c r="H46" s="28" t="s">
        <v>4203</v>
      </c>
      <c r="I46" s="27" t="s">
        <v>4</v>
      </c>
      <c r="J46" s="31" t="s">
        <v>52</v>
      </c>
      <c r="K46" s="27" t="s">
        <v>41</v>
      </c>
      <c r="L46" s="27" t="s">
        <v>68</v>
      </c>
      <c r="M46" s="32" t="str">
        <f>HYPERLINK("http://slimages.macys.com/is/image/MCY/3913256 ")</f>
        <v xml:space="preserve">http://slimages.macys.com/is/image/MCY/3913256 </v>
      </c>
    </row>
    <row r="47" spans="1:13" ht="15.2" customHeight="1" x14ac:dyDescent="0.2">
      <c r="A47" s="26" t="s">
        <v>5642</v>
      </c>
      <c r="B47" s="27" t="s">
        <v>5643</v>
      </c>
      <c r="C47" s="28">
        <v>1</v>
      </c>
      <c r="D47" s="29">
        <v>14</v>
      </c>
      <c r="E47" s="29">
        <v>14</v>
      </c>
      <c r="F47" s="30">
        <v>44</v>
      </c>
      <c r="G47" s="29">
        <v>44</v>
      </c>
      <c r="H47" s="28" t="s">
        <v>186</v>
      </c>
      <c r="I47" s="27" t="s">
        <v>146</v>
      </c>
      <c r="J47" s="31" t="s">
        <v>52</v>
      </c>
      <c r="K47" s="27" t="s">
        <v>37</v>
      </c>
      <c r="L47" s="27" t="s">
        <v>38</v>
      </c>
      <c r="M47" s="32" t="str">
        <f>HYPERLINK("http://slimages.macys.com/is/image/MCY/3667831 ")</f>
        <v xml:space="preserve">http://slimages.macys.com/is/image/MCY/3667831 </v>
      </c>
    </row>
    <row r="48" spans="1:13" ht="15.2" customHeight="1" x14ac:dyDescent="0.2">
      <c r="A48" s="26" t="s">
        <v>5644</v>
      </c>
      <c r="B48" s="27" t="s">
        <v>5645</v>
      </c>
      <c r="C48" s="28">
        <v>1</v>
      </c>
      <c r="D48" s="29">
        <v>13.86</v>
      </c>
      <c r="E48" s="29">
        <v>13.86</v>
      </c>
      <c r="F48" s="30">
        <v>32.99</v>
      </c>
      <c r="G48" s="29">
        <v>32.99</v>
      </c>
      <c r="H48" s="28" t="s">
        <v>187</v>
      </c>
      <c r="I48" s="27" t="s">
        <v>36</v>
      </c>
      <c r="J48" s="31" t="s">
        <v>172</v>
      </c>
      <c r="K48" s="27" t="s">
        <v>159</v>
      </c>
      <c r="L48" s="27" t="s">
        <v>160</v>
      </c>
      <c r="M48" s="32" t="str">
        <f>HYPERLINK("http://slimages.macys.com/is/image/MCY/3857679 ")</f>
        <v xml:space="preserve">http://slimages.macys.com/is/image/MCY/3857679 </v>
      </c>
    </row>
    <row r="49" spans="1:13" ht="15.2" customHeight="1" x14ac:dyDescent="0.2">
      <c r="A49" s="26" t="s">
        <v>3238</v>
      </c>
      <c r="B49" s="27" t="s">
        <v>3239</v>
      </c>
      <c r="C49" s="28">
        <v>1</v>
      </c>
      <c r="D49" s="29">
        <v>13.5</v>
      </c>
      <c r="E49" s="29">
        <v>13.5</v>
      </c>
      <c r="F49" s="30">
        <v>29.99</v>
      </c>
      <c r="G49" s="29">
        <v>29.99</v>
      </c>
      <c r="H49" s="28" t="s">
        <v>739</v>
      </c>
      <c r="I49" s="27" t="s">
        <v>4</v>
      </c>
      <c r="J49" s="31" t="s">
        <v>216</v>
      </c>
      <c r="K49" s="27" t="s">
        <v>200</v>
      </c>
      <c r="L49" s="27" t="s">
        <v>133</v>
      </c>
      <c r="M49" s="32" t="str">
        <f>HYPERLINK("http://slimages.macys.com/is/image/MCY/3866347 ")</f>
        <v xml:space="preserve">http://slimages.macys.com/is/image/MCY/3866347 </v>
      </c>
    </row>
    <row r="50" spans="1:13" ht="15.2" customHeight="1" x14ac:dyDescent="0.2">
      <c r="A50" s="26" t="s">
        <v>5646</v>
      </c>
      <c r="B50" s="27" t="s">
        <v>5647</v>
      </c>
      <c r="C50" s="28">
        <v>1</v>
      </c>
      <c r="D50" s="29">
        <v>13.5</v>
      </c>
      <c r="E50" s="29">
        <v>13.5</v>
      </c>
      <c r="F50" s="30">
        <v>39</v>
      </c>
      <c r="G50" s="29">
        <v>39</v>
      </c>
      <c r="H50" s="28" t="s">
        <v>1775</v>
      </c>
      <c r="I50" s="27"/>
      <c r="J50" s="31" t="s">
        <v>65</v>
      </c>
      <c r="K50" s="27" t="s">
        <v>154</v>
      </c>
      <c r="L50" s="27" t="s">
        <v>155</v>
      </c>
      <c r="M50" s="32" t="str">
        <f>HYPERLINK("http://slimages.macys.com/is/image/MCY/3748064 ")</f>
        <v xml:space="preserve">http://slimages.macys.com/is/image/MCY/3748064 </v>
      </c>
    </row>
    <row r="51" spans="1:13" ht="15.2" customHeight="1" x14ac:dyDescent="0.2">
      <c r="A51" s="26" t="s">
        <v>5648</v>
      </c>
      <c r="B51" s="27" t="s">
        <v>5649</v>
      </c>
      <c r="C51" s="28">
        <v>1</v>
      </c>
      <c r="D51" s="29">
        <v>13.5</v>
      </c>
      <c r="E51" s="29">
        <v>13.5</v>
      </c>
      <c r="F51" s="30">
        <v>29.99</v>
      </c>
      <c r="G51" s="29">
        <v>29.99</v>
      </c>
      <c r="H51" s="28" t="s">
        <v>5650</v>
      </c>
      <c r="I51" s="27" t="s">
        <v>59</v>
      </c>
      <c r="J51" s="31" t="s">
        <v>52</v>
      </c>
      <c r="K51" s="27" t="s">
        <v>200</v>
      </c>
      <c r="L51" s="27" t="s">
        <v>201</v>
      </c>
      <c r="M51" s="32" t="str">
        <f>HYPERLINK("http://slimages.macys.com/is/image/MCY/3660273 ")</f>
        <v xml:space="preserve">http://slimages.macys.com/is/image/MCY/3660273 </v>
      </c>
    </row>
    <row r="52" spans="1:13" ht="15.2" customHeight="1" x14ac:dyDescent="0.2">
      <c r="A52" s="26" t="s">
        <v>4342</v>
      </c>
      <c r="B52" s="27" t="s">
        <v>4343</v>
      </c>
      <c r="C52" s="28">
        <v>1</v>
      </c>
      <c r="D52" s="29">
        <v>13.23</v>
      </c>
      <c r="E52" s="29">
        <v>13.23</v>
      </c>
      <c r="F52" s="30">
        <v>39.5</v>
      </c>
      <c r="G52" s="29">
        <v>39.5</v>
      </c>
      <c r="H52" s="28" t="s">
        <v>198</v>
      </c>
      <c r="I52" s="27" t="s">
        <v>4</v>
      </c>
      <c r="J52" s="31" t="s">
        <v>21</v>
      </c>
      <c r="K52" s="27" t="s">
        <v>53</v>
      </c>
      <c r="L52" s="27" t="s">
        <v>165</v>
      </c>
      <c r="M52" s="32" t="str">
        <f>HYPERLINK("http://slimages.macys.com/is/image/MCY/3808484 ")</f>
        <v xml:space="preserve">http://slimages.macys.com/is/image/MCY/3808484 </v>
      </c>
    </row>
    <row r="53" spans="1:13" ht="15.2" customHeight="1" x14ac:dyDescent="0.2">
      <c r="A53" s="26" t="s">
        <v>4206</v>
      </c>
      <c r="B53" s="27" t="s">
        <v>4207</v>
      </c>
      <c r="C53" s="28">
        <v>1</v>
      </c>
      <c r="D53" s="29">
        <v>13.23</v>
      </c>
      <c r="E53" s="29">
        <v>13.23</v>
      </c>
      <c r="F53" s="30">
        <v>39.5</v>
      </c>
      <c r="G53" s="29">
        <v>39.5</v>
      </c>
      <c r="H53" s="28" t="s">
        <v>198</v>
      </c>
      <c r="I53" s="27" t="s">
        <v>26</v>
      </c>
      <c r="J53" s="31" t="s">
        <v>21</v>
      </c>
      <c r="K53" s="27" t="s">
        <v>53</v>
      </c>
      <c r="L53" s="27" t="s">
        <v>165</v>
      </c>
      <c r="M53" s="32" t="str">
        <f>HYPERLINK("http://slimages.macys.com/is/image/MCY/3808484 ")</f>
        <v xml:space="preserve">http://slimages.macys.com/is/image/MCY/3808484 </v>
      </c>
    </row>
    <row r="54" spans="1:13" ht="15.2" customHeight="1" x14ac:dyDescent="0.2">
      <c r="A54" s="26" t="s">
        <v>748</v>
      </c>
      <c r="B54" s="27" t="s">
        <v>749</v>
      </c>
      <c r="C54" s="28">
        <v>3</v>
      </c>
      <c r="D54" s="29">
        <v>13</v>
      </c>
      <c r="E54" s="29">
        <v>39</v>
      </c>
      <c r="F54" s="30">
        <v>29.99</v>
      </c>
      <c r="G54" s="29">
        <v>89.97</v>
      </c>
      <c r="H54" s="28" t="s">
        <v>750</v>
      </c>
      <c r="I54" s="27" t="s">
        <v>29</v>
      </c>
      <c r="J54" s="31" t="s">
        <v>113</v>
      </c>
      <c r="K54" s="27" t="s">
        <v>200</v>
      </c>
      <c r="L54" s="27" t="s">
        <v>747</v>
      </c>
      <c r="M54" s="32" t="str">
        <f>HYPERLINK("http://slimages.macys.com/is/image/MCY/3955888 ")</f>
        <v xml:space="preserve">http://slimages.macys.com/is/image/MCY/3955888 </v>
      </c>
    </row>
    <row r="55" spans="1:13" ht="15.2" customHeight="1" x14ac:dyDescent="0.2">
      <c r="A55" s="26" t="s">
        <v>5651</v>
      </c>
      <c r="B55" s="27" t="s">
        <v>5652</v>
      </c>
      <c r="C55" s="28">
        <v>1</v>
      </c>
      <c r="D55" s="29">
        <v>13</v>
      </c>
      <c r="E55" s="29">
        <v>13</v>
      </c>
      <c r="F55" s="30">
        <v>29.99</v>
      </c>
      <c r="G55" s="29">
        <v>29.99</v>
      </c>
      <c r="H55" s="28" t="s">
        <v>1207</v>
      </c>
      <c r="I55" s="27" t="s">
        <v>4</v>
      </c>
      <c r="J55" s="31" t="s">
        <v>23</v>
      </c>
      <c r="K55" s="27" t="s">
        <v>200</v>
      </c>
      <c r="L55" s="27" t="s">
        <v>133</v>
      </c>
      <c r="M55" s="32" t="str">
        <f>HYPERLINK("http://slimages.macys.com/is/image/MCY/3874062 ")</f>
        <v xml:space="preserve">http://slimages.macys.com/is/image/MCY/3874062 </v>
      </c>
    </row>
    <row r="56" spans="1:13" ht="15.2" customHeight="1" x14ac:dyDescent="0.2">
      <c r="A56" s="26" t="s">
        <v>5653</v>
      </c>
      <c r="B56" s="27" t="s">
        <v>5654</v>
      </c>
      <c r="C56" s="28">
        <v>1</v>
      </c>
      <c r="D56" s="29">
        <v>13</v>
      </c>
      <c r="E56" s="29">
        <v>13</v>
      </c>
      <c r="F56" s="30">
        <v>29.99</v>
      </c>
      <c r="G56" s="29">
        <v>29.99</v>
      </c>
      <c r="H56" s="28" t="s">
        <v>750</v>
      </c>
      <c r="I56" s="27" t="s">
        <v>29</v>
      </c>
      <c r="J56" s="31" t="s">
        <v>216</v>
      </c>
      <c r="K56" s="27" t="s">
        <v>200</v>
      </c>
      <c r="L56" s="27" t="s">
        <v>747</v>
      </c>
      <c r="M56" s="32" t="str">
        <f>HYPERLINK("http://slimages.macys.com/is/image/MCY/3955888 ")</f>
        <v xml:space="preserve">http://slimages.macys.com/is/image/MCY/3955888 </v>
      </c>
    </row>
    <row r="57" spans="1:13" ht="15.2" customHeight="1" x14ac:dyDescent="0.2">
      <c r="A57" s="26" t="s">
        <v>5655</v>
      </c>
      <c r="B57" s="27" t="s">
        <v>5656</v>
      </c>
      <c r="C57" s="28">
        <v>1</v>
      </c>
      <c r="D57" s="29">
        <v>13</v>
      </c>
      <c r="E57" s="29">
        <v>13</v>
      </c>
      <c r="F57" s="30">
        <v>29.99</v>
      </c>
      <c r="G57" s="29">
        <v>29.99</v>
      </c>
      <c r="H57" s="28" t="s">
        <v>3244</v>
      </c>
      <c r="I57" s="27" t="s">
        <v>29</v>
      </c>
      <c r="J57" s="31" t="s">
        <v>23</v>
      </c>
      <c r="K57" s="27" t="s">
        <v>200</v>
      </c>
      <c r="L57" s="27" t="s">
        <v>747</v>
      </c>
      <c r="M57" s="32" t="str">
        <f>HYPERLINK("http://slimages.macys.com/is/image/MCY/3955897 ")</f>
        <v xml:space="preserve">http://slimages.macys.com/is/image/MCY/3955897 </v>
      </c>
    </row>
    <row r="58" spans="1:13" ht="15.2" customHeight="1" x14ac:dyDescent="0.2">
      <c r="A58" s="26" t="s">
        <v>754</v>
      </c>
      <c r="B58" s="27" t="s">
        <v>755</v>
      </c>
      <c r="C58" s="28">
        <v>1</v>
      </c>
      <c r="D58" s="29">
        <v>13</v>
      </c>
      <c r="E58" s="29">
        <v>13</v>
      </c>
      <c r="F58" s="30">
        <v>29.99</v>
      </c>
      <c r="G58" s="29">
        <v>29.99</v>
      </c>
      <c r="H58" s="28" t="s">
        <v>750</v>
      </c>
      <c r="I58" s="27" t="s">
        <v>29</v>
      </c>
      <c r="J58" s="31" t="s">
        <v>234</v>
      </c>
      <c r="K58" s="27" t="s">
        <v>200</v>
      </c>
      <c r="L58" s="27" t="s">
        <v>747</v>
      </c>
      <c r="M58" s="32" t="str">
        <f>HYPERLINK("http://slimages.macys.com/is/image/MCY/3955888 ")</f>
        <v xml:space="preserve">http://slimages.macys.com/is/image/MCY/3955888 </v>
      </c>
    </row>
    <row r="59" spans="1:13" ht="15.2" customHeight="1" x14ac:dyDescent="0.2">
      <c r="A59" s="26" t="s">
        <v>1202</v>
      </c>
      <c r="B59" s="27" t="s">
        <v>1203</v>
      </c>
      <c r="C59" s="28">
        <v>3</v>
      </c>
      <c r="D59" s="29">
        <v>13</v>
      </c>
      <c r="E59" s="29">
        <v>39</v>
      </c>
      <c r="F59" s="30">
        <v>29.99</v>
      </c>
      <c r="G59" s="29">
        <v>89.97</v>
      </c>
      <c r="H59" s="28" t="s">
        <v>750</v>
      </c>
      <c r="I59" s="27" t="s">
        <v>29</v>
      </c>
      <c r="J59" s="31" t="s">
        <v>23</v>
      </c>
      <c r="K59" s="27" t="s">
        <v>200</v>
      </c>
      <c r="L59" s="27" t="s">
        <v>747</v>
      </c>
      <c r="M59" s="32" t="str">
        <f>HYPERLINK("http://slimages.macys.com/is/image/MCY/3955888 ")</f>
        <v xml:space="preserve">http://slimages.macys.com/is/image/MCY/3955888 </v>
      </c>
    </row>
    <row r="60" spans="1:13" ht="15.2" customHeight="1" x14ac:dyDescent="0.2">
      <c r="A60" s="26" t="s">
        <v>5657</v>
      </c>
      <c r="B60" s="27" t="s">
        <v>5658</v>
      </c>
      <c r="C60" s="28">
        <v>1</v>
      </c>
      <c r="D60" s="29">
        <v>13</v>
      </c>
      <c r="E60" s="29">
        <v>13</v>
      </c>
      <c r="F60" s="30">
        <v>29.99</v>
      </c>
      <c r="G60" s="29">
        <v>29.99</v>
      </c>
      <c r="H60" s="28" t="s">
        <v>3244</v>
      </c>
      <c r="I60" s="27" t="s">
        <v>29</v>
      </c>
      <c r="J60" s="31" t="s">
        <v>234</v>
      </c>
      <c r="K60" s="27" t="s">
        <v>200</v>
      </c>
      <c r="L60" s="27" t="s">
        <v>747</v>
      </c>
      <c r="M60" s="32" t="str">
        <f>HYPERLINK("http://slimages.macys.com/is/image/MCY/3955897 ")</f>
        <v xml:space="preserve">http://slimages.macys.com/is/image/MCY/3955897 </v>
      </c>
    </row>
    <row r="61" spans="1:13" ht="15.2" customHeight="1" x14ac:dyDescent="0.2">
      <c r="A61" s="26" t="s">
        <v>5659</v>
      </c>
      <c r="B61" s="27" t="s">
        <v>5660</v>
      </c>
      <c r="C61" s="28">
        <v>1</v>
      </c>
      <c r="D61" s="29">
        <v>12.95</v>
      </c>
      <c r="E61" s="29">
        <v>12.95</v>
      </c>
      <c r="F61" s="30">
        <v>29.99</v>
      </c>
      <c r="G61" s="29">
        <v>29.99</v>
      </c>
      <c r="H61" s="28" t="s">
        <v>1019</v>
      </c>
      <c r="I61" s="27" t="s">
        <v>146</v>
      </c>
      <c r="J61" s="31" t="s">
        <v>234</v>
      </c>
      <c r="K61" s="27" t="s">
        <v>200</v>
      </c>
      <c r="L61" s="27" t="s">
        <v>201</v>
      </c>
      <c r="M61" s="32" t="str">
        <f>HYPERLINK("http://slimages.macys.com/is/image/MCY/3954387 ")</f>
        <v xml:space="preserve">http://slimages.macys.com/is/image/MCY/3954387 </v>
      </c>
    </row>
    <row r="62" spans="1:13" ht="15.2" customHeight="1" x14ac:dyDescent="0.2">
      <c r="A62" s="26" t="s">
        <v>2883</v>
      </c>
      <c r="B62" s="27" t="s">
        <v>2884</v>
      </c>
      <c r="C62" s="28">
        <v>3</v>
      </c>
      <c r="D62" s="29">
        <v>12.6</v>
      </c>
      <c r="E62" s="29">
        <v>37.799999999999997</v>
      </c>
      <c r="F62" s="30">
        <v>29.99</v>
      </c>
      <c r="G62" s="29">
        <v>89.97</v>
      </c>
      <c r="H62" s="28" t="s">
        <v>769</v>
      </c>
      <c r="I62" s="27" t="s">
        <v>146</v>
      </c>
      <c r="J62" s="31" t="s">
        <v>21</v>
      </c>
      <c r="K62" s="27" t="s">
        <v>159</v>
      </c>
      <c r="L62" s="27" t="s">
        <v>160</v>
      </c>
      <c r="M62" s="32" t="str">
        <f t="shared" ref="M62:M67" si="1">HYPERLINK("http://slimages.macys.com/is/image/MCY/3857674 ")</f>
        <v xml:space="preserve">http://slimages.macys.com/is/image/MCY/3857674 </v>
      </c>
    </row>
    <row r="63" spans="1:13" ht="15.2" customHeight="1" x14ac:dyDescent="0.2">
      <c r="A63" s="26" t="s">
        <v>2602</v>
      </c>
      <c r="B63" s="27" t="s">
        <v>2603</v>
      </c>
      <c r="C63" s="28">
        <v>1</v>
      </c>
      <c r="D63" s="29">
        <v>12.6</v>
      </c>
      <c r="E63" s="29">
        <v>12.6</v>
      </c>
      <c r="F63" s="30">
        <v>29.99</v>
      </c>
      <c r="G63" s="29">
        <v>29.99</v>
      </c>
      <c r="H63" s="28" t="s">
        <v>769</v>
      </c>
      <c r="I63" s="27" t="s">
        <v>4</v>
      </c>
      <c r="J63" s="31" t="s">
        <v>21</v>
      </c>
      <c r="K63" s="27" t="s">
        <v>159</v>
      </c>
      <c r="L63" s="27" t="s">
        <v>160</v>
      </c>
      <c r="M63" s="32" t="str">
        <f t="shared" si="1"/>
        <v xml:space="preserve">http://slimages.macys.com/is/image/MCY/3857674 </v>
      </c>
    </row>
    <row r="64" spans="1:13" ht="15.2" customHeight="1" x14ac:dyDescent="0.2">
      <c r="A64" s="26" t="s">
        <v>2600</v>
      </c>
      <c r="B64" s="27" t="s">
        <v>2601</v>
      </c>
      <c r="C64" s="28">
        <v>1</v>
      </c>
      <c r="D64" s="29">
        <v>12.6</v>
      </c>
      <c r="E64" s="29">
        <v>12.6</v>
      </c>
      <c r="F64" s="30">
        <v>29.99</v>
      </c>
      <c r="G64" s="29">
        <v>29.99</v>
      </c>
      <c r="H64" s="28" t="s">
        <v>769</v>
      </c>
      <c r="I64" s="27" t="s">
        <v>146</v>
      </c>
      <c r="J64" s="31" t="s">
        <v>5</v>
      </c>
      <c r="K64" s="27" t="s">
        <v>159</v>
      </c>
      <c r="L64" s="27" t="s">
        <v>160</v>
      </c>
      <c r="M64" s="32" t="str">
        <f t="shared" si="1"/>
        <v xml:space="preserve">http://slimages.macys.com/is/image/MCY/3857674 </v>
      </c>
    </row>
    <row r="65" spans="1:13" ht="15.2" customHeight="1" x14ac:dyDescent="0.2">
      <c r="A65" s="26" t="s">
        <v>2598</v>
      </c>
      <c r="B65" s="27" t="s">
        <v>2599</v>
      </c>
      <c r="C65" s="28">
        <v>1</v>
      </c>
      <c r="D65" s="29">
        <v>12.6</v>
      </c>
      <c r="E65" s="29">
        <v>12.6</v>
      </c>
      <c r="F65" s="30">
        <v>29.99</v>
      </c>
      <c r="G65" s="29">
        <v>29.99</v>
      </c>
      <c r="H65" s="28" t="s">
        <v>769</v>
      </c>
      <c r="I65" s="27" t="s">
        <v>4</v>
      </c>
      <c r="J65" s="31" t="s">
        <v>5</v>
      </c>
      <c r="K65" s="27" t="s">
        <v>159</v>
      </c>
      <c r="L65" s="27" t="s">
        <v>160</v>
      </c>
      <c r="M65" s="32" t="str">
        <f t="shared" si="1"/>
        <v xml:space="preserve">http://slimages.macys.com/is/image/MCY/3857674 </v>
      </c>
    </row>
    <row r="66" spans="1:13" ht="15.2" customHeight="1" x14ac:dyDescent="0.2">
      <c r="A66" s="26" t="s">
        <v>4755</v>
      </c>
      <c r="B66" s="27" t="s">
        <v>4756</v>
      </c>
      <c r="C66" s="28">
        <v>2</v>
      </c>
      <c r="D66" s="29">
        <v>12.6</v>
      </c>
      <c r="E66" s="29">
        <v>25.2</v>
      </c>
      <c r="F66" s="30">
        <v>29.99</v>
      </c>
      <c r="G66" s="29">
        <v>59.98</v>
      </c>
      <c r="H66" s="28" t="s">
        <v>769</v>
      </c>
      <c r="I66" s="27" t="s">
        <v>146</v>
      </c>
      <c r="J66" s="31" t="s">
        <v>65</v>
      </c>
      <c r="K66" s="27" t="s">
        <v>159</v>
      </c>
      <c r="L66" s="27" t="s">
        <v>160</v>
      </c>
      <c r="M66" s="32" t="str">
        <f t="shared" si="1"/>
        <v xml:space="preserve">http://slimages.macys.com/is/image/MCY/3857674 </v>
      </c>
    </row>
    <row r="67" spans="1:13" ht="15.2" customHeight="1" x14ac:dyDescent="0.2">
      <c r="A67" s="26" t="s">
        <v>1792</v>
      </c>
      <c r="B67" s="27" t="s">
        <v>1793</v>
      </c>
      <c r="C67" s="28">
        <v>1</v>
      </c>
      <c r="D67" s="29">
        <v>12.6</v>
      </c>
      <c r="E67" s="29">
        <v>12.6</v>
      </c>
      <c r="F67" s="30">
        <v>29.99</v>
      </c>
      <c r="G67" s="29">
        <v>29.99</v>
      </c>
      <c r="H67" s="28" t="s">
        <v>769</v>
      </c>
      <c r="I67" s="27" t="s">
        <v>146</v>
      </c>
      <c r="J67" s="31" t="s">
        <v>52</v>
      </c>
      <c r="K67" s="27" t="s">
        <v>159</v>
      </c>
      <c r="L67" s="27" t="s">
        <v>160</v>
      </c>
      <c r="M67" s="32" t="str">
        <f t="shared" si="1"/>
        <v xml:space="preserve">http://slimages.macys.com/is/image/MCY/3857674 </v>
      </c>
    </row>
    <row r="68" spans="1:13" ht="15.2" customHeight="1" x14ac:dyDescent="0.2">
      <c r="A68" s="26" t="s">
        <v>5661</v>
      </c>
      <c r="B68" s="27" t="s">
        <v>5662</v>
      </c>
      <c r="C68" s="28">
        <v>1</v>
      </c>
      <c r="D68" s="29">
        <v>12.5</v>
      </c>
      <c r="E68" s="29">
        <v>12.5</v>
      </c>
      <c r="F68" s="30">
        <v>44</v>
      </c>
      <c r="G68" s="29">
        <v>44</v>
      </c>
      <c r="H68" s="28" t="s">
        <v>3802</v>
      </c>
      <c r="I68" s="27" t="s">
        <v>4</v>
      </c>
      <c r="J68" s="31" t="s">
        <v>52</v>
      </c>
      <c r="K68" s="27" t="s">
        <v>42</v>
      </c>
      <c r="L68" s="27" t="s">
        <v>43</v>
      </c>
      <c r="M68" s="32" t="str">
        <f>HYPERLINK("http://slimages.macys.com/is/image/MCY/3611440 ")</f>
        <v xml:space="preserve">http://slimages.macys.com/is/image/MCY/3611440 </v>
      </c>
    </row>
    <row r="69" spans="1:13" ht="15.2" customHeight="1" x14ac:dyDescent="0.2">
      <c r="A69" s="26" t="s">
        <v>2173</v>
      </c>
      <c r="B69" s="27" t="s">
        <v>2174</v>
      </c>
      <c r="C69" s="28">
        <v>1</v>
      </c>
      <c r="D69" s="29">
        <v>12.5</v>
      </c>
      <c r="E69" s="29">
        <v>12.5</v>
      </c>
      <c r="F69" s="30">
        <v>29.99</v>
      </c>
      <c r="G69" s="29">
        <v>29.99</v>
      </c>
      <c r="H69" s="28" t="s">
        <v>772</v>
      </c>
      <c r="I69" s="27" t="s">
        <v>4</v>
      </c>
      <c r="J69" s="31" t="s">
        <v>210</v>
      </c>
      <c r="K69" s="27" t="s">
        <v>200</v>
      </c>
      <c r="L69" s="27" t="s">
        <v>133</v>
      </c>
      <c r="M69" s="32" t="str">
        <f>HYPERLINK("http://slimages.macys.com/is/image/MCY/3873065 ")</f>
        <v xml:space="preserve">http://slimages.macys.com/is/image/MCY/3873065 </v>
      </c>
    </row>
    <row r="70" spans="1:13" ht="15.2" customHeight="1" x14ac:dyDescent="0.2">
      <c r="A70" s="26" t="s">
        <v>773</v>
      </c>
      <c r="B70" s="27" t="s">
        <v>774</v>
      </c>
      <c r="C70" s="28">
        <v>1</v>
      </c>
      <c r="D70" s="29">
        <v>12.5</v>
      </c>
      <c r="E70" s="29">
        <v>12.5</v>
      </c>
      <c r="F70" s="30">
        <v>29.99</v>
      </c>
      <c r="G70" s="29">
        <v>29.99</v>
      </c>
      <c r="H70" s="28" t="s">
        <v>772</v>
      </c>
      <c r="I70" s="27" t="s">
        <v>4</v>
      </c>
      <c r="J70" s="31" t="s">
        <v>214</v>
      </c>
      <c r="K70" s="27" t="s">
        <v>200</v>
      </c>
      <c r="L70" s="27" t="s">
        <v>133</v>
      </c>
      <c r="M70" s="32" t="str">
        <f>HYPERLINK("http://slimages.macys.com/is/image/MCY/3873065 ")</f>
        <v xml:space="preserve">http://slimages.macys.com/is/image/MCY/3873065 </v>
      </c>
    </row>
    <row r="71" spans="1:13" ht="15.2" customHeight="1" x14ac:dyDescent="0.2">
      <c r="A71" s="26" t="s">
        <v>5663</v>
      </c>
      <c r="B71" s="27" t="s">
        <v>5664</v>
      </c>
      <c r="C71" s="28">
        <v>1</v>
      </c>
      <c r="D71" s="29">
        <v>12.5</v>
      </c>
      <c r="E71" s="29">
        <v>12.5</v>
      </c>
      <c r="F71" s="30">
        <v>39</v>
      </c>
      <c r="G71" s="29">
        <v>39</v>
      </c>
      <c r="H71" s="28" t="s">
        <v>206</v>
      </c>
      <c r="I71" s="27"/>
      <c r="J71" s="31" t="s">
        <v>71</v>
      </c>
      <c r="K71" s="27" t="s">
        <v>154</v>
      </c>
      <c r="L71" s="27" t="s">
        <v>155</v>
      </c>
      <c r="M71" s="32" t="str">
        <f>HYPERLINK("http://slimages.macys.com/is/image/MCY/3718873 ")</f>
        <v xml:space="preserve">http://slimages.macys.com/is/image/MCY/3718873 </v>
      </c>
    </row>
    <row r="72" spans="1:13" ht="15.2" customHeight="1" x14ac:dyDescent="0.2">
      <c r="A72" s="26" t="s">
        <v>5665</v>
      </c>
      <c r="B72" s="27" t="s">
        <v>5666</v>
      </c>
      <c r="C72" s="28">
        <v>1</v>
      </c>
      <c r="D72" s="29">
        <v>12</v>
      </c>
      <c r="E72" s="29">
        <v>12</v>
      </c>
      <c r="F72" s="30">
        <v>29.99</v>
      </c>
      <c r="G72" s="29">
        <v>29.99</v>
      </c>
      <c r="H72" s="28" t="s">
        <v>2608</v>
      </c>
      <c r="I72" s="27" t="s">
        <v>1</v>
      </c>
      <c r="J72" s="31" t="s">
        <v>52</v>
      </c>
      <c r="K72" s="27" t="s">
        <v>70</v>
      </c>
      <c r="L72" s="27" t="s">
        <v>128</v>
      </c>
      <c r="M72" s="32" t="str">
        <f>HYPERLINK("http://slimages.macys.com/is/image/MCY/3682473 ")</f>
        <v xml:space="preserve">http://slimages.macys.com/is/image/MCY/3682473 </v>
      </c>
    </row>
    <row r="73" spans="1:13" ht="15.2" customHeight="1" x14ac:dyDescent="0.2">
      <c r="A73" s="26" t="s">
        <v>5667</v>
      </c>
      <c r="B73" s="27" t="s">
        <v>5668</v>
      </c>
      <c r="C73" s="28">
        <v>1</v>
      </c>
      <c r="D73" s="29">
        <v>12</v>
      </c>
      <c r="E73" s="29">
        <v>12</v>
      </c>
      <c r="F73" s="30">
        <v>39</v>
      </c>
      <c r="G73" s="29">
        <v>39</v>
      </c>
      <c r="H73" s="28" t="s">
        <v>5532</v>
      </c>
      <c r="I73" s="27" t="s">
        <v>82</v>
      </c>
      <c r="J73" s="31" t="s">
        <v>52</v>
      </c>
      <c r="K73" s="27" t="s">
        <v>154</v>
      </c>
      <c r="L73" s="27" t="s">
        <v>155</v>
      </c>
      <c r="M73" s="32" t="str">
        <f>HYPERLINK("http://slimages.macys.com/is/image/MCY/3662763 ")</f>
        <v xml:space="preserve">http://slimages.macys.com/is/image/MCY/3662763 </v>
      </c>
    </row>
    <row r="74" spans="1:13" ht="15.2" customHeight="1" x14ac:dyDescent="0.2">
      <c r="A74" s="26" t="s">
        <v>5533</v>
      </c>
      <c r="B74" s="27" t="s">
        <v>5518</v>
      </c>
      <c r="C74" s="28">
        <v>1</v>
      </c>
      <c r="D74" s="29">
        <v>12</v>
      </c>
      <c r="E74" s="29">
        <v>12</v>
      </c>
      <c r="F74" s="30">
        <v>27.99</v>
      </c>
      <c r="G74" s="29">
        <v>27.99</v>
      </c>
      <c r="H74" s="28">
        <v>47730</v>
      </c>
      <c r="I74" s="27" t="s">
        <v>271</v>
      </c>
      <c r="J74" s="31" t="s">
        <v>21</v>
      </c>
      <c r="K74" s="27" t="s">
        <v>196</v>
      </c>
      <c r="L74" s="27" t="s">
        <v>1808</v>
      </c>
      <c r="M74" s="32" t="str">
        <f>HYPERLINK("http://slimages.macys.com/is/image/MCY/3787584 ")</f>
        <v xml:space="preserve">http://slimages.macys.com/is/image/MCY/3787584 </v>
      </c>
    </row>
    <row r="75" spans="1:13" ht="15.2" customHeight="1" x14ac:dyDescent="0.2">
      <c r="A75" s="26" t="s">
        <v>5669</v>
      </c>
      <c r="B75" s="27" t="s">
        <v>5670</v>
      </c>
      <c r="C75" s="28">
        <v>1</v>
      </c>
      <c r="D75" s="29">
        <v>12</v>
      </c>
      <c r="E75" s="29">
        <v>12</v>
      </c>
      <c r="F75" s="30">
        <v>25.99</v>
      </c>
      <c r="G75" s="29">
        <v>25.99</v>
      </c>
      <c r="H75" s="28" t="s">
        <v>1798</v>
      </c>
      <c r="I75" s="27" t="s">
        <v>4</v>
      </c>
      <c r="J75" s="31" t="s">
        <v>205</v>
      </c>
      <c r="K75" s="27" t="s">
        <v>200</v>
      </c>
      <c r="L75" s="27" t="s">
        <v>243</v>
      </c>
      <c r="M75" s="32" t="str">
        <f>HYPERLINK("http://slimages.macys.com/is/image/MCY/3832860 ")</f>
        <v xml:space="preserve">http://slimages.macys.com/is/image/MCY/3832860 </v>
      </c>
    </row>
    <row r="76" spans="1:13" ht="15.2" customHeight="1" x14ac:dyDescent="0.2">
      <c r="A76" s="26" t="s">
        <v>5671</v>
      </c>
      <c r="B76" s="27" t="s">
        <v>5672</v>
      </c>
      <c r="C76" s="28">
        <v>1</v>
      </c>
      <c r="D76" s="29">
        <v>12</v>
      </c>
      <c r="E76" s="29">
        <v>12</v>
      </c>
      <c r="F76" s="30">
        <v>29.99</v>
      </c>
      <c r="G76" s="29">
        <v>29.99</v>
      </c>
      <c r="H76" s="28" t="s">
        <v>1797</v>
      </c>
      <c r="I76" s="27" t="s">
        <v>1472</v>
      </c>
      <c r="J76" s="31" t="s">
        <v>69</v>
      </c>
      <c r="K76" s="27" t="s">
        <v>200</v>
      </c>
      <c r="L76" s="27" t="s">
        <v>765</v>
      </c>
      <c r="M76" s="32" t="str">
        <f>HYPERLINK("http://slimages.macys.com/is/image/MCY/3797822 ")</f>
        <v xml:space="preserve">http://slimages.macys.com/is/image/MCY/3797822 </v>
      </c>
    </row>
    <row r="77" spans="1:13" ht="15.2" customHeight="1" x14ac:dyDescent="0.2">
      <c r="A77" s="26" t="s">
        <v>5673</v>
      </c>
      <c r="B77" s="27" t="s">
        <v>5674</v>
      </c>
      <c r="C77" s="28">
        <v>1</v>
      </c>
      <c r="D77" s="29">
        <v>12</v>
      </c>
      <c r="E77" s="29">
        <v>12</v>
      </c>
      <c r="F77" s="30">
        <v>25.99</v>
      </c>
      <c r="G77" s="29">
        <v>25.99</v>
      </c>
      <c r="H77" s="28" t="s">
        <v>1798</v>
      </c>
      <c r="I77" s="27" t="s">
        <v>1472</v>
      </c>
      <c r="J77" s="31" t="s">
        <v>113</v>
      </c>
      <c r="K77" s="27" t="s">
        <v>200</v>
      </c>
      <c r="L77" s="27" t="s">
        <v>243</v>
      </c>
      <c r="M77" s="32" t="str">
        <f>HYPERLINK("http://slimages.macys.com/is/image/MCY/3832869 ")</f>
        <v xml:space="preserve">http://slimages.macys.com/is/image/MCY/3832869 </v>
      </c>
    </row>
    <row r="78" spans="1:13" ht="15.2" customHeight="1" x14ac:dyDescent="0.2">
      <c r="A78" s="26" t="s">
        <v>2180</v>
      </c>
      <c r="B78" s="27" t="s">
        <v>2181</v>
      </c>
      <c r="C78" s="28">
        <v>1</v>
      </c>
      <c r="D78" s="29">
        <v>12</v>
      </c>
      <c r="E78" s="29">
        <v>12</v>
      </c>
      <c r="F78" s="30">
        <v>44</v>
      </c>
      <c r="G78" s="29">
        <v>44</v>
      </c>
      <c r="H78" s="28" t="s">
        <v>2182</v>
      </c>
      <c r="I78" s="27" t="s">
        <v>144</v>
      </c>
      <c r="J78" s="31" t="s">
        <v>21</v>
      </c>
      <c r="K78" s="27" t="s">
        <v>37</v>
      </c>
      <c r="L78" s="27" t="s">
        <v>38</v>
      </c>
      <c r="M78" s="32" t="str">
        <f>HYPERLINK("http://slimages.macys.com/is/image/MCY/3590097 ")</f>
        <v xml:space="preserve">http://slimages.macys.com/is/image/MCY/3590097 </v>
      </c>
    </row>
    <row r="79" spans="1:13" ht="15.2" customHeight="1" x14ac:dyDescent="0.2">
      <c r="A79" s="26" t="s">
        <v>5675</v>
      </c>
      <c r="B79" s="27" t="s">
        <v>5676</v>
      </c>
      <c r="C79" s="28">
        <v>1</v>
      </c>
      <c r="D79" s="29">
        <v>12</v>
      </c>
      <c r="E79" s="29">
        <v>12</v>
      </c>
      <c r="F79" s="30">
        <v>49</v>
      </c>
      <c r="G79" s="29">
        <v>49</v>
      </c>
      <c r="H79" s="28" t="s">
        <v>1230</v>
      </c>
      <c r="I79" s="27" t="s">
        <v>215</v>
      </c>
      <c r="J79" s="31" t="s">
        <v>21</v>
      </c>
      <c r="K79" s="27" t="s">
        <v>154</v>
      </c>
      <c r="L79" s="27" t="s">
        <v>155</v>
      </c>
      <c r="M79" s="32" t="str">
        <f>HYPERLINK("http://slimages.macys.com/is/image/MCY/3877474 ")</f>
        <v xml:space="preserve">http://slimages.macys.com/is/image/MCY/3877474 </v>
      </c>
    </row>
    <row r="80" spans="1:13" ht="15.2" customHeight="1" x14ac:dyDescent="0.2">
      <c r="A80" s="26" t="s">
        <v>1244</v>
      </c>
      <c r="B80" s="27" t="s">
        <v>1245</v>
      </c>
      <c r="C80" s="28">
        <v>1</v>
      </c>
      <c r="D80" s="29">
        <v>11.89</v>
      </c>
      <c r="E80" s="29">
        <v>11.89</v>
      </c>
      <c r="F80" s="30">
        <v>27.99</v>
      </c>
      <c r="G80" s="29">
        <v>27.99</v>
      </c>
      <c r="H80" s="28" t="s">
        <v>778</v>
      </c>
      <c r="I80" s="27" t="s">
        <v>238</v>
      </c>
      <c r="J80" s="31" t="s">
        <v>21</v>
      </c>
      <c r="K80" s="27" t="s">
        <v>224</v>
      </c>
      <c r="L80" s="27" t="s">
        <v>237</v>
      </c>
      <c r="M80" s="32" t="str">
        <f>HYPERLINK("http://slimages.macys.com/is/image/MCY/3910851 ")</f>
        <v xml:space="preserve">http://slimages.macys.com/is/image/MCY/3910851 </v>
      </c>
    </row>
    <row r="81" spans="1:13" ht="15.2" customHeight="1" x14ac:dyDescent="0.2">
      <c r="A81" s="26" t="s">
        <v>1238</v>
      </c>
      <c r="B81" s="27" t="s">
        <v>1239</v>
      </c>
      <c r="C81" s="28">
        <v>1</v>
      </c>
      <c r="D81" s="29">
        <v>11.89</v>
      </c>
      <c r="E81" s="29">
        <v>11.89</v>
      </c>
      <c r="F81" s="30">
        <v>27.99</v>
      </c>
      <c r="G81" s="29">
        <v>27.99</v>
      </c>
      <c r="H81" s="28" t="s">
        <v>778</v>
      </c>
      <c r="I81" s="27" t="s">
        <v>238</v>
      </c>
      <c r="J81" s="31" t="s">
        <v>52</v>
      </c>
      <c r="K81" s="27" t="s">
        <v>224</v>
      </c>
      <c r="L81" s="27" t="s">
        <v>237</v>
      </c>
      <c r="M81" s="32" t="str">
        <f>HYPERLINK("http://slimages.macys.com/is/image/MCY/3910851 ")</f>
        <v xml:space="preserve">http://slimages.macys.com/is/image/MCY/3910851 </v>
      </c>
    </row>
    <row r="82" spans="1:13" ht="15.2" customHeight="1" x14ac:dyDescent="0.2">
      <c r="A82" s="26" t="s">
        <v>3278</v>
      </c>
      <c r="B82" s="27" t="s">
        <v>3279</v>
      </c>
      <c r="C82" s="28">
        <v>1</v>
      </c>
      <c r="D82" s="29">
        <v>11.89</v>
      </c>
      <c r="E82" s="29">
        <v>11.89</v>
      </c>
      <c r="F82" s="30">
        <v>27.99</v>
      </c>
      <c r="G82" s="29">
        <v>27.99</v>
      </c>
      <c r="H82" s="28" t="s">
        <v>778</v>
      </c>
      <c r="I82" s="27" t="s">
        <v>280</v>
      </c>
      <c r="J82" s="31" t="s">
        <v>71</v>
      </c>
      <c r="K82" s="27" t="s">
        <v>224</v>
      </c>
      <c r="L82" s="27" t="s">
        <v>237</v>
      </c>
      <c r="M82" s="32" t="str">
        <f>HYPERLINK("http://slimages.macys.com/is/image/MCY/3910851 ")</f>
        <v xml:space="preserve">http://slimages.macys.com/is/image/MCY/3910851 </v>
      </c>
    </row>
    <row r="83" spans="1:13" ht="15.2" customHeight="1" x14ac:dyDescent="0.2">
      <c r="A83" s="26" t="s">
        <v>5677</v>
      </c>
      <c r="B83" s="27" t="s">
        <v>5678</v>
      </c>
      <c r="C83" s="28">
        <v>1</v>
      </c>
      <c r="D83" s="29">
        <v>11.8</v>
      </c>
      <c r="E83" s="29">
        <v>11.8</v>
      </c>
      <c r="F83" s="30">
        <v>39</v>
      </c>
      <c r="G83" s="29">
        <v>39</v>
      </c>
      <c r="H83" s="28" t="s">
        <v>4824</v>
      </c>
      <c r="I83" s="27" t="s">
        <v>4</v>
      </c>
      <c r="J83" s="31" t="s">
        <v>40</v>
      </c>
      <c r="K83" s="27" t="s">
        <v>42</v>
      </c>
      <c r="L83" s="27" t="s">
        <v>43</v>
      </c>
      <c r="M83" s="32" t="str">
        <f>HYPERLINK("http://slimages.macys.com/is/image/MCY/3777289 ")</f>
        <v xml:space="preserve">http://slimages.macys.com/is/image/MCY/3777289 </v>
      </c>
    </row>
    <row r="84" spans="1:13" ht="15.2" customHeight="1" x14ac:dyDescent="0.2">
      <c r="A84" s="26" t="s">
        <v>1248</v>
      </c>
      <c r="B84" s="27" t="s">
        <v>1249</v>
      </c>
      <c r="C84" s="28">
        <v>1</v>
      </c>
      <c r="D84" s="29">
        <v>11.76</v>
      </c>
      <c r="E84" s="29">
        <v>11.76</v>
      </c>
      <c r="F84" s="30">
        <v>27.99</v>
      </c>
      <c r="G84" s="29">
        <v>27.99</v>
      </c>
      <c r="H84" s="28" t="s">
        <v>1250</v>
      </c>
      <c r="I84" s="27" t="s">
        <v>4</v>
      </c>
      <c r="J84" s="31" t="s">
        <v>71</v>
      </c>
      <c r="K84" s="27" t="s">
        <v>159</v>
      </c>
      <c r="L84" s="27" t="s">
        <v>160</v>
      </c>
      <c r="M84" s="32" t="str">
        <f>HYPERLINK("http://slimages.macys.com/is/image/MCY/3899763 ")</f>
        <v xml:space="preserve">http://slimages.macys.com/is/image/MCY/3899763 </v>
      </c>
    </row>
    <row r="85" spans="1:13" ht="15.2" customHeight="1" x14ac:dyDescent="0.2">
      <c r="A85" s="26" t="s">
        <v>5679</v>
      </c>
      <c r="B85" s="27" t="s">
        <v>5680</v>
      </c>
      <c r="C85" s="28">
        <v>1</v>
      </c>
      <c r="D85" s="29">
        <v>11.65</v>
      </c>
      <c r="E85" s="29">
        <v>11.65</v>
      </c>
      <c r="F85" s="30">
        <v>27.99</v>
      </c>
      <c r="G85" s="29">
        <v>27.99</v>
      </c>
      <c r="H85" s="28" t="s">
        <v>3282</v>
      </c>
      <c r="I85" s="27" t="s">
        <v>82</v>
      </c>
      <c r="J85" s="31" t="s">
        <v>71</v>
      </c>
      <c r="K85" s="27" t="s">
        <v>159</v>
      </c>
      <c r="L85" s="27" t="s">
        <v>160</v>
      </c>
      <c r="M85" s="32" t="str">
        <f>HYPERLINK("http://slimages.macys.com/is/image/MCY/3899787 ")</f>
        <v xml:space="preserve">http://slimages.macys.com/is/image/MCY/3899787 </v>
      </c>
    </row>
    <row r="86" spans="1:13" ht="15.2" customHeight="1" x14ac:dyDescent="0.2">
      <c r="A86" s="26" t="s">
        <v>1254</v>
      </c>
      <c r="B86" s="27" t="s">
        <v>1255</v>
      </c>
      <c r="C86" s="28">
        <v>1</v>
      </c>
      <c r="D86" s="29">
        <v>11.65</v>
      </c>
      <c r="E86" s="29">
        <v>11.65</v>
      </c>
      <c r="F86" s="30">
        <v>27.99</v>
      </c>
      <c r="G86" s="29">
        <v>27.99</v>
      </c>
      <c r="H86" s="28" t="s">
        <v>1256</v>
      </c>
      <c r="I86" s="27" t="s">
        <v>36</v>
      </c>
      <c r="J86" s="31" t="s">
        <v>21</v>
      </c>
      <c r="K86" s="27" t="s">
        <v>159</v>
      </c>
      <c r="L86" s="27" t="s">
        <v>160</v>
      </c>
      <c r="M86" s="32" t="str">
        <f>HYPERLINK("http://slimages.macys.com/is/image/MCY/3870613 ")</f>
        <v xml:space="preserve">http://slimages.macys.com/is/image/MCY/3870613 </v>
      </c>
    </row>
    <row r="87" spans="1:13" ht="15.2" customHeight="1" x14ac:dyDescent="0.2">
      <c r="A87" s="26" t="s">
        <v>5534</v>
      </c>
      <c r="B87" s="27" t="s">
        <v>5535</v>
      </c>
      <c r="C87" s="28">
        <v>1</v>
      </c>
      <c r="D87" s="29">
        <v>11.65</v>
      </c>
      <c r="E87" s="29">
        <v>11.65</v>
      </c>
      <c r="F87" s="30">
        <v>27.99</v>
      </c>
      <c r="G87" s="29">
        <v>27.99</v>
      </c>
      <c r="H87" s="28" t="s">
        <v>1256</v>
      </c>
      <c r="I87" s="27" t="s">
        <v>36</v>
      </c>
      <c r="J87" s="31" t="s">
        <v>52</v>
      </c>
      <c r="K87" s="27" t="s">
        <v>159</v>
      </c>
      <c r="L87" s="27" t="s">
        <v>160</v>
      </c>
      <c r="M87" s="32" t="str">
        <f>HYPERLINK("http://slimages.macys.com/is/image/MCY/3870613 ")</f>
        <v xml:space="preserve">http://slimages.macys.com/is/image/MCY/3870613 </v>
      </c>
    </row>
    <row r="88" spans="1:13" ht="15.2" customHeight="1" x14ac:dyDescent="0.2">
      <c r="A88" s="26" t="s">
        <v>5681</v>
      </c>
      <c r="B88" s="27" t="s">
        <v>5682</v>
      </c>
      <c r="C88" s="28">
        <v>1</v>
      </c>
      <c r="D88" s="29">
        <v>11.65</v>
      </c>
      <c r="E88" s="29">
        <v>11.65</v>
      </c>
      <c r="F88" s="30">
        <v>27.99</v>
      </c>
      <c r="G88" s="29">
        <v>27.99</v>
      </c>
      <c r="H88" s="28" t="s">
        <v>2610</v>
      </c>
      <c r="I88" s="27" t="s">
        <v>4</v>
      </c>
      <c r="J88" s="31" t="s">
        <v>40</v>
      </c>
      <c r="K88" s="27" t="s">
        <v>159</v>
      </c>
      <c r="L88" s="27" t="s">
        <v>160</v>
      </c>
      <c r="M88" s="32" t="str">
        <f>HYPERLINK("http://slimages.macys.com/is/image/MCY/3913107 ")</f>
        <v xml:space="preserve">http://slimages.macys.com/is/image/MCY/3913107 </v>
      </c>
    </row>
    <row r="89" spans="1:13" ht="15.2" customHeight="1" x14ac:dyDescent="0.2">
      <c r="A89" s="26" t="s">
        <v>2611</v>
      </c>
      <c r="B89" s="27" t="s">
        <v>2612</v>
      </c>
      <c r="C89" s="28">
        <v>1</v>
      </c>
      <c r="D89" s="29">
        <v>11.65</v>
      </c>
      <c r="E89" s="29">
        <v>11.65</v>
      </c>
      <c r="F89" s="30">
        <v>27.99</v>
      </c>
      <c r="G89" s="29">
        <v>27.99</v>
      </c>
      <c r="H89" s="28" t="s">
        <v>1806</v>
      </c>
      <c r="I89" s="27" t="s">
        <v>36</v>
      </c>
      <c r="J89" s="31" t="s">
        <v>21</v>
      </c>
      <c r="K89" s="27" t="s">
        <v>159</v>
      </c>
      <c r="L89" s="27" t="s">
        <v>160</v>
      </c>
      <c r="M89" s="32" t="str">
        <f>HYPERLINK("http://slimages.macys.com/is/image/MCY/3944667 ")</f>
        <v xml:space="preserve">http://slimages.macys.com/is/image/MCY/3944667 </v>
      </c>
    </row>
    <row r="90" spans="1:13" ht="15.2" customHeight="1" x14ac:dyDescent="0.2">
      <c r="A90" s="26" t="s">
        <v>5683</v>
      </c>
      <c r="B90" s="27" t="s">
        <v>5684</v>
      </c>
      <c r="C90" s="28">
        <v>3</v>
      </c>
      <c r="D90" s="29">
        <v>11.65</v>
      </c>
      <c r="E90" s="29">
        <v>34.950000000000003</v>
      </c>
      <c r="F90" s="30">
        <v>27.99</v>
      </c>
      <c r="G90" s="29">
        <v>83.97</v>
      </c>
      <c r="H90" s="28" t="s">
        <v>2610</v>
      </c>
      <c r="I90" s="27" t="s">
        <v>4</v>
      </c>
      <c r="J90" s="31" t="s">
        <v>52</v>
      </c>
      <c r="K90" s="27" t="s">
        <v>159</v>
      </c>
      <c r="L90" s="27" t="s">
        <v>160</v>
      </c>
      <c r="M90" s="32" t="str">
        <f>HYPERLINK("http://slimages.macys.com/is/image/MCY/3913107 ")</f>
        <v xml:space="preserve">http://slimages.macys.com/is/image/MCY/3913107 </v>
      </c>
    </row>
    <row r="91" spans="1:13" ht="15.2" customHeight="1" x14ac:dyDescent="0.2">
      <c r="A91" s="26" t="s">
        <v>5536</v>
      </c>
      <c r="B91" s="27" t="s">
        <v>5537</v>
      </c>
      <c r="C91" s="28">
        <v>1</v>
      </c>
      <c r="D91" s="29">
        <v>11.65</v>
      </c>
      <c r="E91" s="29">
        <v>11.65</v>
      </c>
      <c r="F91" s="30">
        <v>27.99</v>
      </c>
      <c r="G91" s="29">
        <v>27.99</v>
      </c>
      <c r="H91" s="28" t="s">
        <v>1256</v>
      </c>
      <c r="I91" s="27" t="s">
        <v>36</v>
      </c>
      <c r="J91" s="31" t="s">
        <v>71</v>
      </c>
      <c r="K91" s="27" t="s">
        <v>159</v>
      </c>
      <c r="L91" s="27" t="s">
        <v>160</v>
      </c>
      <c r="M91" s="32" t="str">
        <f>HYPERLINK("http://slimages.macys.com/is/image/MCY/3870613 ")</f>
        <v xml:space="preserve">http://slimages.macys.com/is/image/MCY/3870613 </v>
      </c>
    </row>
    <row r="92" spans="1:13" ht="15.2" customHeight="1" x14ac:dyDescent="0.2">
      <c r="A92" s="26" t="s">
        <v>3283</v>
      </c>
      <c r="B92" s="27" t="s">
        <v>3284</v>
      </c>
      <c r="C92" s="28">
        <v>1</v>
      </c>
      <c r="D92" s="29">
        <v>11.5</v>
      </c>
      <c r="E92" s="29">
        <v>11.5</v>
      </c>
      <c r="F92" s="30">
        <v>29.99</v>
      </c>
      <c r="G92" s="29">
        <v>29.99</v>
      </c>
      <c r="H92" s="28" t="s">
        <v>233</v>
      </c>
      <c r="I92" s="27" t="s">
        <v>26</v>
      </c>
      <c r="J92" s="31" t="s">
        <v>23</v>
      </c>
      <c r="K92" s="27" t="s">
        <v>200</v>
      </c>
      <c r="L92" s="27" t="s">
        <v>201</v>
      </c>
      <c r="M92" s="32" t="str">
        <f>HYPERLINK("http://slimages.macys.com/is/image/MCY/3899624 ")</f>
        <v xml:space="preserve">http://slimages.macys.com/is/image/MCY/3899624 </v>
      </c>
    </row>
    <row r="93" spans="1:13" ht="15.2" customHeight="1" x14ac:dyDescent="0.2">
      <c r="A93" s="26" t="s">
        <v>5685</v>
      </c>
      <c r="B93" s="27" t="s">
        <v>5686</v>
      </c>
      <c r="C93" s="28">
        <v>1</v>
      </c>
      <c r="D93" s="29">
        <v>11.5</v>
      </c>
      <c r="E93" s="29">
        <v>11.5</v>
      </c>
      <c r="F93" s="30">
        <v>29.99</v>
      </c>
      <c r="G93" s="29">
        <v>29.99</v>
      </c>
      <c r="H93" s="28" t="s">
        <v>3822</v>
      </c>
      <c r="I93" s="27" t="s">
        <v>1</v>
      </c>
      <c r="J93" s="31" t="s">
        <v>234</v>
      </c>
      <c r="K93" s="27" t="s">
        <v>200</v>
      </c>
      <c r="L93" s="27" t="s">
        <v>765</v>
      </c>
      <c r="M93" s="32" t="str">
        <f>HYPERLINK("http://slimages.macys.com/is/image/MCY/3581689 ")</f>
        <v xml:space="preserve">http://slimages.macys.com/is/image/MCY/3581689 </v>
      </c>
    </row>
    <row r="94" spans="1:13" ht="15.2" customHeight="1" x14ac:dyDescent="0.2">
      <c r="A94" s="26" t="s">
        <v>5687</v>
      </c>
      <c r="B94" s="27" t="s">
        <v>5688</v>
      </c>
      <c r="C94" s="28">
        <v>1</v>
      </c>
      <c r="D94" s="29">
        <v>11.5</v>
      </c>
      <c r="E94" s="29">
        <v>11.5</v>
      </c>
      <c r="F94" s="30">
        <v>39</v>
      </c>
      <c r="G94" s="29">
        <v>39</v>
      </c>
      <c r="H94" s="28" t="s">
        <v>782</v>
      </c>
      <c r="I94" s="27" t="s">
        <v>4</v>
      </c>
      <c r="J94" s="31" t="s">
        <v>23</v>
      </c>
      <c r="K94" s="27" t="s">
        <v>154</v>
      </c>
      <c r="L94" s="27" t="s">
        <v>155</v>
      </c>
      <c r="M94" s="32" t="str">
        <f>HYPERLINK("http://slimages.macys.com/is/image/MCY/3907754 ")</f>
        <v xml:space="preserve">http://slimages.macys.com/is/image/MCY/3907754 </v>
      </c>
    </row>
    <row r="95" spans="1:13" ht="15.2" customHeight="1" x14ac:dyDescent="0.2">
      <c r="A95" s="26" t="s">
        <v>5689</v>
      </c>
      <c r="B95" s="27" t="s">
        <v>5690</v>
      </c>
      <c r="C95" s="28">
        <v>1</v>
      </c>
      <c r="D95" s="29">
        <v>11.25</v>
      </c>
      <c r="E95" s="29">
        <v>11.25</v>
      </c>
      <c r="F95" s="30">
        <v>29.99</v>
      </c>
      <c r="G95" s="29">
        <v>29.99</v>
      </c>
      <c r="H95" s="28" t="s">
        <v>1272</v>
      </c>
      <c r="I95" s="27" t="s">
        <v>343</v>
      </c>
      <c r="J95" s="31" t="s">
        <v>234</v>
      </c>
      <c r="K95" s="27" t="s">
        <v>200</v>
      </c>
      <c r="L95" s="27" t="s">
        <v>201</v>
      </c>
      <c r="M95" s="32" t="str">
        <f>HYPERLINK("http://slimages.macys.com/is/image/MCY/3825803 ")</f>
        <v xml:space="preserve">http://slimages.macys.com/is/image/MCY/3825803 </v>
      </c>
    </row>
    <row r="96" spans="1:13" ht="15.2" customHeight="1" x14ac:dyDescent="0.2">
      <c r="A96" s="26" t="s">
        <v>1273</v>
      </c>
      <c r="B96" s="27" t="s">
        <v>1274</v>
      </c>
      <c r="C96" s="28">
        <v>1</v>
      </c>
      <c r="D96" s="29">
        <v>11.25</v>
      </c>
      <c r="E96" s="29">
        <v>11.25</v>
      </c>
      <c r="F96" s="30">
        <v>29.99</v>
      </c>
      <c r="G96" s="29">
        <v>29.99</v>
      </c>
      <c r="H96" s="28" t="s">
        <v>1272</v>
      </c>
      <c r="I96" s="27" t="s">
        <v>343</v>
      </c>
      <c r="J96" s="31" t="s">
        <v>69</v>
      </c>
      <c r="K96" s="27" t="s">
        <v>200</v>
      </c>
      <c r="L96" s="27" t="s">
        <v>201</v>
      </c>
      <c r="M96" s="32" t="str">
        <f>HYPERLINK("http://slimages.macys.com/is/image/MCY/3825803 ")</f>
        <v xml:space="preserve">http://slimages.macys.com/is/image/MCY/3825803 </v>
      </c>
    </row>
    <row r="97" spans="1:13" ht="15.2" customHeight="1" x14ac:dyDescent="0.2">
      <c r="A97" s="26" t="s">
        <v>5691</v>
      </c>
      <c r="B97" s="27" t="s">
        <v>5692</v>
      </c>
      <c r="C97" s="28">
        <v>1</v>
      </c>
      <c r="D97" s="29">
        <v>11.25</v>
      </c>
      <c r="E97" s="29">
        <v>11.25</v>
      </c>
      <c r="F97" s="30">
        <v>29.99</v>
      </c>
      <c r="G97" s="29">
        <v>29.99</v>
      </c>
      <c r="H97" s="28" t="s">
        <v>5693</v>
      </c>
      <c r="I97" s="27" t="s">
        <v>59</v>
      </c>
      <c r="J97" s="31" t="s">
        <v>214</v>
      </c>
      <c r="K97" s="27" t="s">
        <v>200</v>
      </c>
      <c r="L97" s="27" t="s">
        <v>201</v>
      </c>
      <c r="M97" s="32" t="str">
        <f>HYPERLINK("http://slimages.macys.com/is/image/MCY/3825657 ")</f>
        <v xml:space="preserve">http://slimages.macys.com/is/image/MCY/3825657 </v>
      </c>
    </row>
    <row r="98" spans="1:13" ht="15.2" customHeight="1" x14ac:dyDescent="0.2">
      <c r="A98" s="26" t="s">
        <v>5539</v>
      </c>
      <c r="B98" s="27" t="s">
        <v>5540</v>
      </c>
      <c r="C98" s="28">
        <v>1</v>
      </c>
      <c r="D98" s="29">
        <v>11.25</v>
      </c>
      <c r="E98" s="29">
        <v>11.25</v>
      </c>
      <c r="F98" s="30">
        <v>27.99</v>
      </c>
      <c r="G98" s="29">
        <v>27.99</v>
      </c>
      <c r="H98" s="28" t="s">
        <v>5541</v>
      </c>
      <c r="I98" s="27" t="s">
        <v>4</v>
      </c>
      <c r="J98" s="31" t="s">
        <v>40</v>
      </c>
      <c r="K98" s="27" t="s">
        <v>224</v>
      </c>
      <c r="L98" s="27" t="s">
        <v>260</v>
      </c>
      <c r="M98" s="32" t="str">
        <f>HYPERLINK("http://slimages.macys.com/is/image/MCY/3866148 ")</f>
        <v xml:space="preserve">http://slimages.macys.com/is/image/MCY/3866148 </v>
      </c>
    </row>
    <row r="99" spans="1:13" ht="15.2" customHeight="1" x14ac:dyDescent="0.2">
      <c r="A99" s="26" t="s">
        <v>5694</v>
      </c>
      <c r="B99" s="27" t="s">
        <v>5695</v>
      </c>
      <c r="C99" s="28">
        <v>1</v>
      </c>
      <c r="D99" s="29">
        <v>11.25</v>
      </c>
      <c r="E99" s="29">
        <v>11.25</v>
      </c>
      <c r="F99" s="30">
        <v>25.99</v>
      </c>
      <c r="G99" s="29">
        <v>25.99</v>
      </c>
      <c r="H99" s="28" t="s">
        <v>5538</v>
      </c>
      <c r="I99" s="27" t="s">
        <v>4</v>
      </c>
      <c r="J99" s="31" t="s">
        <v>113</v>
      </c>
      <c r="K99" s="27" t="s">
        <v>200</v>
      </c>
      <c r="L99" s="27" t="s">
        <v>552</v>
      </c>
      <c r="M99" s="32" t="str">
        <f>HYPERLINK("http://slimages.macys.com/is/image/MCY/3755250 ")</f>
        <v xml:space="preserve">http://slimages.macys.com/is/image/MCY/3755250 </v>
      </c>
    </row>
    <row r="100" spans="1:13" ht="15.2" customHeight="1" x14ac:dyDescent="0.2">
      <c r="A100" s="26" t="s">
        <v>4620</v>
      </c>
      <c r="B100" s="27" t="s">
        <v>4621</v>
      </c>
      <c r="C100" s="28">
        <v>1</v>
      </c>
      <c r="D100" s="29">
        <v>11.25</v>
      </c>
      <c r="E100" s="29">
        <v>11.25</v>
      </c>
      <c r="F100" s="30">
        <v>27.99</v>
      </c>
      <c r="G100" s="29">
        <v>27.99</v>
      </c>
      <c r="H100" s="28" t="s">
        <v>4213</v>
      </c>
      <c r="I100" s="27" t="s">
        <v>4</v>
      </c>
      <c r="J100" s="31" t="s">
        <v>5</v>
      </c>
      <c r="K100" s="27" t="s">
        <v>224</v>
      </c>
      <c r="L100" s="27" t="s">
        <v>260</v>
      </c>
      <c r="M100" s="32" t="str">
        <f>HYPERLINK("http://slimages.macys.com/is/image/MCY/3820992 ")</f>
        <v xml:space="preserve">http://slimages.macys.com/is/image/MCY/3820992 </v>
      </c>
    </row>
    <row r="101" spans="1:13" ht="15.2" customHeight="1" x14ac:dyDescent="0.2">
      <c r="A101" s="26" t="s">
        <v>5696</v>
      </c>
      <c r="B101" s="27" t="s">
        <v>5697</v>
      </c>
      <c r="C101" s="28">
        <v>1</v>
      </c>
      <c r="D101" s="29">
        <v>11</v>
      </c>
      <c r="E101" s="29">
        <v>11</v>
      </c>
      <c r="F101" s="30">
        <v>39</v>
      </c>
      <c r="G101" s="29">
        <v>39</v>
      </c>
      <c r="H101" s="28" t="s">
        <v>2204</v>
      </c>
      <c r="I101" s="27" t="s">
        <v>4</v>
      </c>
      <c r="J101" s="31" t="s">
        <v>52</v>
      </c>
      <c r="K101" s="27" t="s">
        <v>154</v>
      </c>
      <c r="L101" s="27" t="s">
        <v>155</v>
      </c>
      <c r="M101" s="32" t="str">
        <f>HYPERLINK("http://slimages.macys.com/is/image/MCY/3540985 ")</f>
        <v xml:space="preserve">http://slimages.macys.com/is/image/MCY/3540985 </v>
      </c>
    </row>
    <row r="102" spans="1:13" ht="15.2" customHeight="1" x14ac:dyDescent="0.2">
      <c r="A102" s="26" t="s">
        <v>5698</v>
      </c>
      <c r="B102" s="27" t="s">
        <v>5699</v>
      </c>
      <c r="C102" s="28">
        <v>1</v>
      </c>
      <c r="D102" s="29">
        <v>11</v>
      </c>
      <c r="E102" s="29">
        <v>11</v>
      </c>
      <c r="F102" s="30">
        <v>27.99</v>
      </c>
      <c r="G102" s="29">
        <v>27.99</v>
      </c>
      <c r="H102" s="28" t="s">
        <v>1807</v>
      </c>
      <c r="I102" s="27" t="s">
        <v>248</v>
      </c>
      <c r="J102" s="31" t="s">
        <v>71</v>
      </c>
      <c r="K102" s="27" t="s">
        <v>224</v>
      </c>
      <c r="L102" s="27" t="s">
        <v>254</v>
      </c>
      <c r="M102" s="32" t="str">
        <f>HYPERLINK("http://slimages.macys.com/is/image/MCY/3798041 ")</f>
        <v xml:space="preserve">http://slimages.macys.com/is/image/MCY/3798041 </v>
      </c>
    </row>
    <row r="103" spans="1:13" ht="15.2" customHeight="1" x14ac:dyDescent="0.2">
      <c r="A103" s="26" t="s">
        <v>5700</v>
      </c>
      <c r="B103" s="27" t="s">
        <v>5701</v>
      </c>
      <c r="C103" s="28">
        <v>1</v>
      </c>
      <c r="D103" s="29">
        <v>11</v>
      </c>
      <c r="E103" s="29">
        <v>11</v>
      </c>
      <c r="F103" s="30">
        <v>39</v>
      </c>
      <c r="G103" s="29">
        <v>39</v>
      </c>
      <c r="H103" s="28" t="s">
        <v>5702</v>
      </c>
      <c r="I103" s="27" t="s">
        <v>82</v>
      </c>
      <c r="J103" s="31" t="s">
        <v>21</v>
      </c>
      <c r="K103" s="27" t="s">
        <v>154</v>
      </c>
      <c r="L103" s="27" t="s">
        <v>155</v>
      </c>
      <c r="M103" s="32" t="str">
        <f>HYPERLINK("http://slimages.macys.com/is/image/MCY/3718912 ")</f>
        <v xml:space="preserve">http://slimages.macys.com/is/image/MCY/3718912 </v>
      </c>
    </row>
    <row r="104" spans="1:13" ht="15.2" customHeight="1" x14ac:dyDescent="0.2">
      <c r="A104" s="26" t="s">
        <v>5703</v>
      </c>
      <c r="B104" s="27" t="s">
        <v>5704</v>
      </c>
      <c r="C104" s="28">
        <v>1</v>
      </c>
      <c r="D104" s="29">
        <v>11</v>
      </c>
      <c r="E104" s="29">
        <v>11</v>
      </c>
      <c r="F104" s="30">
        <v>39</v>
      </c>
      <c r="G104" s="29">
        <v>39</v>
      </c>
      <c r="H104" s="28" t="s">
        <v>5705</v>
      </c>
      <c r="I104" s="27" t="s">
        <v>4</v>
      </c>
      <c r="J104" s="31" t="s">
        <v>69</v>
      </c>
      <c r="K104" s="27" t="s">
        <v>154</v>
      </c>
      <c r="L104" s="27" t="s">
        <v>155</v>
      </c>
      <c r="M104" s="32" t="str">
        <f>HYPERLINK("http://slimages.macys.com/is/image/MCY/3899512 ")</f>
        <v xml:space="preserve">http://slimages.macys.com/is/image/MCY/3899512 </v>
      </c>
    </row>
    <row r="105" spans="1:13" ht="15.2" customHeight="1" x14ac:dyDescent="0.2">
      <c r="A105" s="26" t="s">
        <v>5706</v>
      </c>
      <c r="B105" s="27" t="s">
        <v>5707</v>
      </c>
      <c r="C105" s="28">
        <v>1</v>
      </c>
      <c r="D105" s="29">
        <v>11</v>
      </c>
      <c r="E105" s="29">
        <v>11</v>
      </c>
      <c r="F105" s="30">
        <v>27.99</v>
      </c>
      <c r="G105" s="29">
        <v>27.99</v>
      </c>
      <c r="H105" s="28" t="s">
        <v>1807</v>
      </c>
      <c r="I105" s="27" t="s">
        <v>36</v>
      </c>
      <c r="J105" s="31" t="s">
        <v>40</v>
      </c>
      <c r="K105" s="27" t="s">
        <v>224</v>
      </c>
      <c r="L105" s="27" t="s">
        <v>254</v>
      </c>
      <c r="M105" s="32" t="str">
        <f>HYPERLINK("http://slimages.macys.com/is/image/MCY/3798041 ")</f>
        <v xml:space="preserve">http://slimages.macys.com/is/image/MCY/3798041 </v>
      </c>
    </row>
    <row r="106" spans="1:13" ht="15.2" customHeight="1" x14ac:dyDescent="0.2">
      <c r="A106" s="26" t="s">
        <v>5708</v>
      </c>
      <c r="B106" s="27" t="s">
        <v>5709</v>
      </c>
      <c r="C106" s="28">
        <v>1</v>
      </c>
      <c r="D106" s="29">
        <v>10.85</v>
      </c>
      <c r="E106" s="29">
        <v>10.85</v>
      </c>
      <c r="F106" s="30">
        <v>27.99</v>
      </c>
      <c r="G106" s="29">
        <v>27.99</v>
      </c>
      <c r="H106" s="28" t="s">
        <v>1289</v>
      </c>
      <c r="I106" s="27" t="s">
        <v>26</v>
      </c>
      <c r="J106" s="31" t="s">
        <v>52</v>
      </c>
      <c r="K106" s="27" t="s">
        <v>224</v>
      </c>
      <c r="L106" s="27" t="s">
        <v>197</v>
      </c>
      <c r="M106" s="32" t="str">
        <f>HYPERLINK("http://slimages.macys.com/is/image/MCY/3777915 ")</f>
        <v xml:space="preserve">http://slimages.macys.com/is/image/MCY/3777915 </v>
      </c>
    </row>
    <row r="107" spans="1:13" ht="15.2" customHeight="1" x14ac:dyDescent="0.2">
      <c r="A107" s="26" t="s">
        <v>5710</v>
      </c>
      <c r="B107" s="27" t="s">
        <v>5711</v>
      </c>
      <c r="C107" s="28">
        <v>1</v>
      </c>
      <c r="D107" s="29">
        <v>10.85</v>
      </c>
      <c r="E107" s="29">
        <v>10.85</v>
      </c>
      <c r="F107" s="30">
        <v>27.99</v>
      </c>
      <c r="G107" s="29">
        <v>27.99</v>
      </c>
      <c r="H107" s="28" t="s">
        <v>5712</v>
      </c>
      <c r="I107" s="27" t="s">
        <v>189</v>
      </c>
      <c r="J107" s="31" t="s">
        <v>52</v>
      </c>
      <c r="K107" s="27" t="s">
        <v>224</v>
      </c>
      <c r="L107" s="27" t="s">
        <v>197</v>
      </c>
      <c r="M107" s="32" t="str">
        <f>HYPERLINK("http://slimages.macys.com/is/image/MCY/3777906 ")</f>
        <v xml:space="preserve">http://slimages.macys.com/is/image/MCY/3777906 </v>
      </c>
    </row>
    <row r="108" spans="1:13" ht="15.2" customHeight="1" x14ac:dyDescent="0.2">
      <c r="A108" s="26" t="s">
        <v>5713</v>
      </c>
      <c r="B108" s="27" t="s">
        <v>5714</v>
      </c>
      <c r="C108" s="28">
        <v>1</v>
      </c>
      <c r="D108" s="29">
        <v>10.77</v>
      </c>
      <c r="E108" s="29">
        <v>10.77</v>
      </c>
      <c r="F108" s="30">
        <v>29.5</v>
      </c>
      <c r="G108" s="29">
        <v>29.5</v>
      </c>
      <c r="H108" s="28" t="s">
        <v>5715</v>
      </c>
      <c r="I108" s="27" t="s">
        <v>22</v>
      </c>
      <c r="J108" s="31" t="s">
        <v>52</v>
      </c>
      <c r="K108" s="27" t="s">
        <v>41</v>
      </c>
      <c r="L108" s="27" t="s">
        <v>51</v>
      </c>
      <c r="M108" s="32" t="str">
        <f>HYPERLINK("http://slimages.macys.com/is/image/MCY/3918885 ")</f>
        <v xml:space="preserve">http://slimages.macys.com/is/image/MCY/3918885 </v>
      </c>
    </row>
    <row r="109" spans="1:13" ht="15.2" customHeight="1" x14ac:dyDescent="0.2">
      <c r="A109" s="26" t="s">
        <v>4464</v>
      </c>
      <c r="B109" s="27" t="s">
        <v>4465</v>
      </c>
      <c r="C109" s="28">
        <v>1</v>
      </c>
      <c r="D109" s="29">
        <v>10.5</v>
      </c>
      <c r="E109" s="29">
        <v>10.5</v>
      </c>
      <c r="F109" s="30">
        <v>24.99</v>
      </c>
      <c r="G109" s="29">
        <v>24.99</v>
      </c>
      <c r="H109" s="28" t="s">
        <v>259</v>
      </c>
      <c r="I109" s="27" t="s">
        <v>36</v>
      </c>
      <c r="J109" s="31" t="s">
        <v>5</v>
      </c>
      <c r="K109" s="27" t="s">
        <v>224</v>
      </c>
      <c r="L109" s="27" t="s">
        <v>260</v>
      </c>
      <c r="M109" s="32" t="str">
        <f>HYPERLINK("http://slimages.macys.com/is/image/MCY/3832935 ")</f>
        <v xml:space="preserve">http://slimages.macys.com/is/image/MCY/3832935 </v>
      </c>
    </row>
    <row r="110" spans="1:13" ht="15.2" customHeight="1" x14ac:dyDescent="0.2">
      <c r="A110" s="26" t="s">
        <v>5716</v>
      </c>
      <c r="B110" s="27" t="s">
        <v>5717</v>
      </c>
      <c r="C110" s="28">
        <v>1</v>
      </c>
      <c r="D110" s="29">
        <v>10.5</v>
      </c>
      <c r="E110" s="29">
        <v>10.5</v>
      </c>
      <c r="F110" s="30">
        <v>24.99</v>
      </c>
      <c r="G110" s="29">
        <v>24.99</v>
      </c>
      <c r="H110" s="28" t="s">
        <v>259</v>
      </c>
      <c r="I110" s="27" t="s">
        <v>189</v>
      </c>
      <c r="J110" s="31" t="s">
        <v>40</v>
      </c>
      <c r="K110" s="27" t="s">
        <v>224</v>
      </c>
      <c r="L110" s="27" t="s">
        <v>260</v>
      </c>
      <c r="M110" s="32" t="str">
        <f>HYPERLINK("http://slimages.macys.com/is/image/MCY/3832929 ")</f>
        <v xml:space="preserve">http://slimages.macys.com/is/image/MCY/3832929 </v>
      </c>
    </row>
    <row r="111" spans="1:13" ht="15.2" customHeight="1" x14ac:dyDescent="0.2">
      <c r="A111" s="26" t="s">
        <v>3336</v>
      </c>
      <c r="B111" s="27" t="s">
        <v>3337</v>
      </c>
      <c r="C111" s="28">
        <v>1</v>
      </c>
      <c r="D111" s="29">
        <v>10.5</v>
      </c>
      <c r="E111" s="29">
        <v>10.5</v>
      </c>
      <c r="F111" s="30">
        <v>27.99</v>
      </c>
      <c r="G111" s="29">
        <v>27.99</v>
      </c>
      <c r="H111" s="28" t="s">
        <v>790</v>
      </c>
      <c r="I111" s="27" t="s">
        <v>189</v>
      </c>
      <c r="J111" s="31" t="s">
        <v>40</v>
      </c>
      <c r="K111" s="27" t="s">
        <v>224</v>
      </c>
      <c r="L111" s="27" t="s">
        <v>239</v>
      </c>
      <c r="M111" s="32" t="str">
        <f>HYPERLINK("http://slimages.macys.com/is/image/MCY/3910853 ")</f>
        <v xml:space="preserve">http://slimages.macys.com/is/image/MCY/3910853 </v>
      </c>
    </row>
    <row r="112" spans="1:13" ht="15.2" customHeight="1" x14ac:dyDescent="0.2">
      <c r="A112" s="26" t="s">
        <v>1297</v>
      </c>
      <c r="B112" s="27" t="s">
        <v>1298</v>
      </c>
      <c r="C112" s="28">
        <v>1</v>
      </c>
      <c r="D112" s="29">
        <v>10.5</v>
      </c>
      <c r="E112" s="29">
        <v>10.5</v>
      </c>
      <c r="F112" s="30">
        <v>24.99</v>
      </c>
      <c r="G112" s="29">
        <v>24.99</v>
      </c>
      <c r="H112" s="28" t="s">
        <v>259</v>
      </c>
      <c r="I112" s="27" t="s">
        <v>36</v>
      </c>
      <c r="J112" s="31" t="s">
        <v>21</v>
      </c>
      <c r="K112" s="27" t="s">
        <v>224</v>
      </c>
      <c r="L112" s="27" t="s">
        <v>260</v>
      </c>
      <c r="M112" s="32" t="str">
        <f>HYPERLINK("http://slimages.macys.com/is/image/MCY/3832935 ")</f>
        <v xml:space="preserve">http://slimages.macys.com/is/image/MCY/3832935 </v>
      </c>
    </row>
    <row r="113" spans="1:13" ht="15.2" customHeight="1" x14ac:dyDescent="0.2">
      <c r="A113" s="26" t="s">
        <v>3831</v>
      </c>
      <c r="B113" s="27" t="s">
        <v>3832</v>
      </c>
      <c r="C113" s="28">
        <v>1</v>
      </c>
      <c r="D113" s="29">
        <v>10.5</v>
      </c>
      <c r="E113" s="29">
        <v>10.5</v>
      </c>
      <c r="F113" s="30">
        <v>25.99</v>
      </c>
      <c r="G113" s="29">
        <v>25.99</v>
      </c>
      <c r="H113" s="28" t="s">
        <v>1305</v>
      </c>
      <c r="I113" s="27" t="s">
        <v>94</v>
      </c>
      <c r="J113" s="31" t="s">
        <v>210</v>
      </c>
      <c r="K113" s="27" t="s">
        <v>200</v>
      </c>
      <c r="L113" s="27" t="s">
        <v>133</v>
      </c>
      <c r="M113" s="32" t="str">
        <f>HYPERLINK("http://slimages.macys.com/is/image/MCY/3773860 ")</f>
        <v xml:space="preserve">http://slimages.macys.com/is/image/MCY/3773860 </v>
      </c>
    </row>
    <row r="114" spans="1:13" ht="15.2" customHeight="1" x14ac:dyDescent="0.2">
      <c r="A114" s="26" t="s">
        <v>3332</v>
      </c>
      <c r="B114" s="27" t="s">
        <v>3333</v>
      </c>
      <c r="C114" s="28">
        <v>1</v>
      </c>
      <c r="D114" s="29">
        <v>10.5</v>
      </c>
      <c r="E114" s="29">
        <v>10.5</v>
      </c>
      <c r="F114" s="30">
        <v>27.99</v>
      </c>
      <c r="G114" s="29">
        <v>27.99</v>
      </c>
      <c r="H114" s="28" t="s">
        <v>790</v>
      </c>
      <c r="I114" s="27" t="s">
        <v>189</v>
      </c>
      <c r="J114" s="31" t="s">
        <v>40</v>
      </c>
      <c r="K114" s="27" t="s">
        <v>224</v>
      </c>
      <c r="L114" s="27" t="s">
        <v>239</v>
      </c>
      <c r="M114" s="32" t="str">
        <f>HYPERLINK("http://slimages.macys.com/is/image/MCY/3910858 ")</f>
        <v xml:space="preserve">http://slimages.macys.com/is/image/MCY/3910858 </v>
      </c>
    </row>
    <row r="115" spans="1:13" ht="15.2" customHeight="1" x14ac:dyDescent="0.2">
      <c r="A115" s="26" t="s">
        <v>1317</v>
      </c>
      <c r="B115" s="27" t="s">
        <v>1318</v>
      </c>
      <c r="C115" s="28">
        <v>1</v>
      </c>
      <c r="D115" s="29">
        <v>10.49</v>
      </c>
      <c r="E115" s="29">
        <v>10.49</v>
      </c>
      <c r="F115" s="30">
        <v>29.5</v>
      </c>
      <c r="G115" s="29">
        <v>29.5</v>
      </c>
      <c r="H115" s="28" t="s">
        <v>261</v>
      </c>
      <c r="I115" s="27" t="s">
        <v>4</v>
      </c>
      <c r="J115" s="31" t="s">
        <v>5</v>
      </c>
      <c r="K115" s="27" t="s">
        <v>53</v>
      </c>
      <c r="L115" s="27" t="s">
        <v>165</v>
      </c>
      <c r="M115" s="32" t="str">
        <f>HYPERLINK("http://slimages.macys.com/is/image/MCY/3789872 ")</f>
        <v xml:space="preserve">http://slimages.macys.com/is/image/MCY/3789872 </v>
      </c>
    </row>
    <row r="116" spans="1:13" ht="15.2" customHeight="1" x14ac:dyDescent="0.2">
      <c r="A116" s="26" t="s">
        <v>4836</v>
      </c>
      <c r="B116" s="27" t="s">
        <v>4837</v>
      </c>
      <c r="C116" s="28">
        <v>1</v>
      </c>
      <c r="D116" s="29">
        <v>10.49</v>
      </c>
      <c r="E116" s="29">
        <v>10.49</v>
      </c>
      <c r="F116" s="30">
        <v>29.5</v>
      </c>
      <c r="G116" s="29">
        <v>29.5</v>
      </c>
      <c r="H116" s="28" t="s">
        <v>261</v>
      </c>
      <c r="I116" s="27" t="s">
        <v>4</v>
      </c>
      <c r="J116" s="31" t="s">
        <v>172</v>
      </c>
      <c r="K116" s="27" t="s">
        <v>53</v>
      </c>
      <c r="L116" s="27" t="s">
        <v>165</v>
      </c>
      <c r="M116" s="32" t="str">
        <f>HYPERLINK("http://slimages.macys.com/is/image/MCY/3789872 ")</f>
        <v xml:space="preserve">http://slimages.macys.com/is/image/MCY/3789872 </v>
      </c>
    </row>
    <row r="117" spans="1:13" ht="15.2" customHeight="1" x14ac:dyDescent="0.2">
      <c r="A117" s="26" t="s">
        <v>4216</v>
      </c>
      <c r="B117" s="27" t="s">
        <v>4217</v>
      </c>
      <c r="C117" s="28">
        <v>1</v>
      </c>
      <c r="D117" s="29">
        <v>10.49</v>
      </c>
      <c r="E117" s="29">
        <v>10.49</v>
      </c>
      <c r="F117" s="30">
        <v>29.5</v>
      </c>
      <c r="G117" s="29">
        <v>29.5</v>
      </c>
      <c r="H117" s="28" t="s">
        <v>261</v>
      </c>
      <c r="I117" s="27" t="s">
        <v>4</v>
      </c>
      <c r="J117" s="31" t="s">
        <v>71</v>
      </c>
      <c r="K117" s="27" t="s">
        <v>53</v>
      </c>
      <c r="L117" s="27" t="s">
        <v>165</v>
      </c>
      <c r="M117" s="32" t="str">
        <f>HYPERLINK("http://slimages.macys.com/is/image/MCY/3789872 ")</f>
        <v xml:space="preserve">http://slimages.macys.com/is/image/MCY/3789872 </v>
      </c>
    </row>
    <row r="118" spans="1:13" ht="15.2" customHeight="1" x14ac:dyDescent="0.2">
      <c r="A118" s="26" t="s">
        <v>3342</v>
      </c>
      <c r="B118" s="27" t="s">
        <v>3343</v>
      </c>
      <c r="C118" s="28">
        <v>1</v>
      </c>
      <c r="D118" s="29">
        <v>10</v>
      </c>
      <c r="E118" s="29">
        <v>10</v>
      </c>
      <c r="F118" s="30">
        <v>24.99</v>
      </c>
      <c r="G118" s="29">
        <v>24.99</v>
      </c>
      <c r="H118" s="28" t="s">
        <v>270</v>
      </c>
      <c r="I118" s="27" t="s">
        <v>274</v>
      </c>
      <c r="J118" s="31" t="s">
        <v>5</v>
      </c>
      <c r="K118" s="27" t="s">
        <v>224</v>
      </c>
      <c r="L118" s="27" t="s">
        <v>260</v>
      </c>
      <c r="M118" s="32" t="str">
        <f>HYPERLINK("http://slimages.macys.com/is/image/MCY/3931167 ")</f>
        <v xml:space="preserve">http://slimages.macys.com/is/image/MCY/3931167 </v>
      </c>
    </row>
    <row r="119" spans="1:13" ht="15.2" customHeight="1" x14ac:dyDescent="0.2">
      <c r="A119" s="26" t="s">
        <v>5056</v>
      </c>
      <c r="B119" s="27" t="s">
        <v>5057</v>
      </c>
      <c r="C119" s="28">
        <v>1</v>
      </c>
      <c r="D119" s="29">
        <v>10</v>
      </c>
      <c r="E119" s="29">
        <v>10</v>
      </c>
      <c r="F119" s="30">
        <v>39</v>
      </c>
      <c r="G119" s="29">
        <v>39</v>
      </c>
      <c r="H119" s="28" t="s">
        <v>5058</v>
      </c>
      <c r="I119" s="27" t="s">
        <v>4</v>
      </c>
      <c r="J119" s="31" t="s">
        <v>230</v>
      </c>
      <c r="K119" s="27" t="s">
        <v>154</v>
      </c>
      <c r="L119" s="27" t="s">
        <v>155</v>
      </c>
      <c r="M119" s="32" t="str">
        <f>HYPERLINK("http://slimages.macys.com/is/image/MCY/3667611 ")</f>
        <v xml:space="preserve">http://slimages.macys.com/is/image/MCY/3667611 </v>
      </c>
    </row>
    <row r="120" spans="1:13" ht="15.2" customHeight="1" x14ac:dyDescent="0.2">
      <c r="A120" s="26" t="s">
        <v>4344</v>
      </c>
      <c r="B120" s="27" t="s">
        <v>4345</v>
      </c>
      <c r="C120" s="28">
        <v>1</v>
      </c>
      <c r="D120" s="29">
        <v>10</v>
      </c>
      <c r="E120" s="29">
        <v>10</v>
      </c>
      <c r="F120" s="30">
        <v>39</v>
      </c>
      <c r="G120" s="29">
        <v>39</v>
      </c>
      <c r="H120" s="28" t="s">
        <v>4346</v>
      </c>
      <c r="I120" s="27" t="s">
        <v>4</v>
      </c>
      <c r="J120" s="31" t="s">
        <v>234</v>
      </c>
      <c r="K120" s="27" t="s">
        <v>154</v>
      </c>
      <c r="L120" s="27" t="s">
        <v>155</v>
      </c>
      <c r="M120" s="32" t="str">
        <f>HYPERLINK("http://slimages.macys.com/is/image/MCY/3667530 ")</f>
        <v xml:space="preserve">http://slimages.macys.com/is/image/MCY/3667530 </v>
      </c>
    </row>
    <row r="121" spans="1:13" ht="15.2" customHeight="1" x14ac:dyDescent="0.2">
      <c r="A121" s="26" t="s">
        <v>5718</v>
      </c>
      <c r="B121" s="27" t="s">
        <v>5719</v>
      </c>
      <c r="C121" s="28">
        <v>1</v>
      </c>
      <c r="D121" s="29">
        <v>10</v>
      </c>
      <c r="E121" s="29">
        <v>10</v>
      </c>
      <c r="F121" s="30">
        <v>22.99</v>
      </c>
      <c r="G121" s="29">
        <v>22.99</v>
      </c>
      <c r="H121" s="28" t="s">
        <v>2914</v>
      </c>
      <c r="I121" s="27" t="s">
        <v>20</v>
      </c>
      <c r="J121" s="31" t="s">
        <v>52</v>
      </c>
      <c r="K121" s="27" t="s">
        <v>208</v>
      </c>
      <c r="L121" s="27" t="s">
        <v>197</v>
      </c>
      <c r="M121" s="32" t="str">
        <f>HYPERLINK("http://slimages.macys.com/is/image/MCY/3687920 ")</f>
        <v xml:space="preserve">http://slimages.macys.com/is/image/MCY/3687920 </v>
      </c>
    </row>
    <row r="122" spans="1:13" ht="15.2" customHeight="1" x14ac:dyDescent="0.2">
      <c r="A122" s="26" t="s">
        <v>5720</v>
      </c>
      <c r="B122" s="27" t="s">
        <v>5721</v>
      </c>
      <c r="C122" s="28">
        <v>1</v>
      </c>
      <c r="D122" s="29">
        <v>9.75</v>
      </c>
      <c r="E122" s="29">
        <v>9.75</v>
      </c>
      <c r="F122" s="30">
        <v>22.99</v>
      </c>
      <c r="G122" s="29">
        <v>22.99</v>
      </c>
      <c r="H122" s="28" t="s">
        <v>797</v>
      </c>
      <c r="I122" s="27" t="s">
        <v>1</v>
      </c>
      <c r="J122" s="31" t="s">
        <v>71</v>
      </c>
      <c r="K122" s="27" t="s">
        <v>200</v>
      </c>
      <c r="L122" s="27" t="s">
        <v>239</v>
      </c>
      <c r="M122" s="32" t="str">
        <f>HYPERLINK("http://slimages.macys.com/is/image/MCY/3954002 ")</f>
        <v xml:space="preserve">http://slimages.macys.com/is/image/MCY/3954002 </v>
      </c>
    </row>
    <row r="123" spans="1:13" ht="15.2" customHeight="1" x14ac:dyDescent="0.2">
      <c r="A123" s="26" t="s">
        <v>5722</v>
      </c>
      <c r="B123" s="27" t="s">
        <v>5723</v>
      </c>
      <c r="C123" s="28">
        <v>1</v>
      </c>
      <c r="D123" s="29">
        <v>9.5</v>
      </c>
      <c r="E123" s="29">
        <v>9.5</v>
      </c>
      <c r="F123" s="30">
        <v>24.99</v>
      </c>
      <c r="G123" s="29">
        <v>24.99</v>
      </c>
      <c r="H123" s="28" t="s">
        <v>284</v>
      </c>
      <c r="I123" s="27" t="s">
        <v>94</v>
      </c>
      <c r="J123" s="31" t="s">
        <v>5</v>
      </c>
      <c r="K123" s="27" t="s">
        <v>224</v>
      </c>
      <c r="L123" s="27" t="s">
        <v>239</v>
      </c>
      <c r="M123" s="32" t="str">
        <f>HYPERLINK("http://slimages.macys.com/is/image/MCY/3734881 ")</f>
        <v xml:space="preserve">http://slimages.macys.com/is/image/MCY/3734881 </v>
      </c>
    </row>
    <row r="124" spans="1:13" ht="15.2" customHeight="1" x14ac:dyDescent="0.2">
      <c r="A124" s="26" t="s">
        <v>5724</v>
      </c>
      <c r="B124" s="27" t="s">
        <v>5725</v>
      </c>
      <c r="C124" s="28">
        <v>1</v>
      </c>
      <c r="D124" s="29">
        <v>9.24</v>
      </c>
      <c r="E124" s="29">
        <v>9.24</v>
      </c>
      <c r="F124" s="30">
        <v>21.99</v>
      </c>
      <c r="G124" s="29">
        <v>21.99</v>
      </c>
      <c r="H124" s="28" t="s">
        <v>5072</v>
      </c>
      <c r="I124" s="27" t="s">
        <v>4</v>
      </c>
      <c r="J124" s="31" t="s">
        <v>65</v>
      </c>
      <c r="K124" s="27" t="s">
        <v>159</v>
      </c>
      <c r="L124" s="27" t="s">
        <v>160</v>
      </c>
      <c r="M124" s="32" t="str">
        <f>HYPERLINK("http://slimages.macys.com/is/image/MCY/3813783 ")</f>
        <v xml:space="preserve">http://slimages.macys.com/is/image/MCY/3813783 </v>
      </c>
    </row>
    <row r="125" spans="1:13" ht="15.2" customHeight="1" x14ac:dyDescent="0.2">
      <c r="A125" s="26" t="s">
        <v>2233</v>
      </c>
      <c r="B125" s="27" t="s">
        <v>2234</v>
      </c>
      <c r="C125" s="28">
        <v>2</v>
      </c>
      <c r="D125" s="29">
        <v>9.2200000000000006</v>
      </c>
      <c r="E125" s="29">
        <v>18.440000000000001</v>
      </c>
      <c r="F125" s="30">
        <v>21.99</v>
      </c>
      <c r="G125" s="29">
        <v>43.98</v>
      </c>
      <c r="H125" s="28" t="s">
        <v>294</v>
      </c>
      <c r="I125" s="27" t="s">
        <v>4</v>
      </c>
      <c r="J125" s="31" t="s">
        <v>65</v>
      </c>
      <c r="K125" s="27" t="s">
        <v>159</v>
      </c>
      <c r="L125" s="27" t="s">
        <v>160</v>
      </c>
      <c r="M125" s="32" t="str">
        <f>HYPERLINK("http://slimages.macys.com/is/image/MCY/3857709 ")</f>
        <v xml:space="preserve">http://slimages.macys.com/is/image/MCY/3857709 </v>
      </c>
    </row>
    <row r="126" spans="1:13" ht="15.2" customHeight="1" x14ac:dyDescent="0.2">
      <c r="A126" s="26" t="s">
        <v>1827</v>
      </c>
      <c r="B126" s="27" t="s">
        <v>1828</v>
      </c>
      <c r="C126" s="28">
        <v>2</v>
      </c>
      <c r="D126" s="29">
        <v>9.2200000000000006</v>
      </c>
      <c r="E126" s="29">
        <v>18.440000000000001</v>
      </c>
      <c r="F126" s="30">
        <v>21.99</v>
      </c>
      <c r="G126" s="29">
        <v>43.98</v>
      </c>
      <c r="H126" s="28" t="s">
        <v>296</v>
      </c>
      <c r="I126" s="27" t="s">
        <v>36</v>
      </c>
      <c r="J126" s="31" t="s">
        <v>5</v>
      </c>
      <c r="K126" s="27" t="s">
        <v>159</v>
      </c>
      <c r="L126" s="27" t="s">
        <v>160</v>
      </c>
      <c r="M126" s="32" t="str">
        <f>HYPERLINK("http://slimages.macys.com/is/image/MCY/3857710 ")</f>
        <v xml:space="preserve">http://slimages.macys.com/is/image/MCY/3857710 </v>
      </c>
    </row>
    <row r="127" spans="1:13" ht="15.2" customHeight="1" x14ac:dyDescent="0.2">
      <c r="A127" s="26" t="s">
        <v>3361</v>
      </c>
      <c r="B127" s="27" t="s">
        <v>3362</v>
      </c>
      <c r="C127" s="28">
        <v>2</v>
      </c>
      <c r="D127" s="29">
        <v>9.2200000000000006</v>
      </c>
      <c r="E127" s="29">
        <v>18.440000000000001</v>
      </c>
      <c r="F127" s="30">
        <v>21.99</v>
      </c>
      <c r="G127" s="29">
        <v>43.98</v>
      </c>
      <c r="H127" s="28" t="s">
        <v>296</v>
      </c>
      <c r="I127" s="27" t="s">
        <v>36</v>
      </c>
      <c r="J127" s="31" t="s">
        <v>52</v>
      </c>
      <c r="K127" s="27" t="s">
        <v>159</v>
      </c>
      <c r="L127" s="27" t="s">
        <v>160</v>
      </c>
      <c r="M127" s="32" t="str">
        <f>HYPERLINK("http://slimages.macys.com/is/image/MCY/3857710 ")</f>
        <v xml:space="preserve">http://slimages.macys.com/is/image/MCY/3857710 </v>
      </c>
    </row>
    <row r="128" spans="1:13" ht="15.2" customHeight="1" x14ac:dyDescent="0.2">
      <c r="A128" s="26" t="s">
        <v>1831</v>
      </c>
      <c r="B128" s="27" t="s">
        <v>1832</v>
      </c>
      <c r="C128" s="28">
        <v>3</v>
      </c>
      <c r="D128" s="29">
        <v>9.2200000000000006</v>
      </c>
      <c r="E128" s="29">
        <v>27.66</v>
      </c>
      <c r="F128" s="30">
        <v>21.99</v>
      </c>
      <c r="G128" s="29">
        <v>65.97</v>
      </c>
      <c r="H128" s="28" t="s">
        <v>294</v>
      </c>
      <c r="I128" s="27" t="s">
        <v>4</v>
      </c>
      <c r="J128" s="31" t="s">
        <v>21</v>
      </c>
      <c r="K128" s="27" t="s">
        <v>159</v>
      </c>
      <c r="L128" s="27" t="s">
        <v>160</v>
      </c>
      <c r="M128" s="32" t="str">
        <f>HYPERLINK("http://slimages.macys.com/is/image/MCY/3857709 ")</f>
        <v xml:space="preserve">http://slimages.macys.com/is/image/MCY/3857709 </v>
      </c>
    </row>
    <row r="129" spans="1:13" ht="15.2" customHeight="1" x14ac:dyDescent="0.2">
      <c r="A129" s="26" t="s">
        <v>1345</v>
      </c>
      <c r="B129" s="27" t="s">
        <v>1346</v>
      </c>
      <c r="C129" s="28">
        <v>1</v>
      </c>
      <c r="D129" s="29">
        <v>9.2200000000000006</v>
      </c>
      <c r="E129" s="29">
        <v>9.2200000000000006</v>
      </c>
      <c r="F129" s="30">
        <v>21.99</v>
      </c>
      <c r="G129" s="29">
        <v>21.99</v>
      </c>
      <c r="H129" s="28" t="s">
        <v>1347</v>
      </c>
      <c r="I129" s="27" t="s">
        <v>4</v>
      </c>
      <c r="J129" s="31" t="s">
        <v>52</v>
      </c>
      <c r="K129" s="27" t="s">
        <v>159</v>
      </c>
      <c r="L129" s="27" t="s">
        <v>160</v>
      </c>
      <c r="M129" s="32" t="str">
        <f>HYPERLINK("http://slimages.macys.com/is/image/MCY/3870610 ")</f>
        <v xml:space="preserve">http://slimages.macys.com/is/image/MCY/3870610 </v>
      </c>
    </row>
    <row r="130" spans="1:13" ht="15.2" customHeight="1" x14ac:dyDescent="0.2">
      <c r="A130" s="26" t="s">
        <v>1343</v>
      </c>
      <c r="B130" s="27" t="s">
        <v>1344</v>
      </c>
      <c r="C130" s="28">
        <v>8</v>
      </c>
      <c r="D130" s="29">
        <v>9.2200000000000006</v>
      </c>
      <c r="E130" s="29">
        <v>73.760000000000005</v>
      </c>
      <c r="F130" s="30">
        <v>21.99</v>
      </c>
      <c r="G130" s="29">
        <v>175.92</v>
      </c>
      <c r="H130" s="28" t="s">
        <v>294</v>
      </c>
      <c r="I130" s="27" t="s">
        <v>4</v>
      </c>
      <c r="J130" s="31" t="s">
        <v>5</v>
      </c>
      <c r="K130" s="27" t="s">
        <v>159</v>
      </c>
      <c r="L130" s="27" t="s">
        <v>160</v>
      </c>
      <c r="M130" s="32" t="str">
        <f>HYPERLINK("http://slimages.macys.com/is/image/MCY/3857709 ")</f>
        <v xml:space="preserve">http://slimages.macys.com/is/image/MCY/3857709 </v>
      </c>
    </row>
    <row r="131" spans="1:13" ht="15.2" customHeight="1" x14ac:dyDescent="0.2">
      <c r="A131" s="26" t="s">
        <v>1820</v>
      </c>
      <c r="B131" s="27" t="s">
        <v>1821</v>
      </c>
      <c r="C131" s="28">
        <v>1</v>
      </c>
      <c r="D131" s="29">
        <v>9.2200000000000006</v>
      </c>
      <c r="E131" s="29">
        <v>9.2200000000000006</v>
      </c>
      <c r="F131" s="30">
        <v>21.99</v>
      </c>
      <c r="G131" s="29">
        <v>21.99</v>
      </c>
      <c r="H131" s="28" t="s">
        <v>1822</v>
      </c>
      <c r="I131" s="27" t="s">
        <v>36</v>
      </c>
      <c r="J131" s="31" t="s">
        <v>65</v>
      </c>
      <c r="K131" s="27" t="s">
        <v>159</v>
      </c>
      <c r="L131" s="27" t="s">
        <v>160</v>
      </c>
      <c r="M131" s="32" t="str">
        <f>HYPERLINK("http://slimages.macys.com/is/image/MCY/3857708 ")</f>
        <v xml:space="preserve">http://slimages.macys.com/is/image/MCY/3857708 </v>
      </c>
    </row>
    <row r="132" spans="1:13" ht="15.2" customHeight="1" x14ac:dyDescent="0.2">
      <c r="A132" s="26" t="s">
        <v>5726</v>
      </c>
      <c r="B132" s="27" t="s">
        <v>5727</v>
      </c>
      <c r="C132" s="28">
        <v>1</v>
      </c>
      <c r="D132" s="29">
        <v>9.2200000000000006</v>
      </c>
      <c r="E132" s="29">
        <v>9.2200000000000006</v>
      </c>
      <c r="F132" s="30">
        <v>21.99</v>
      </c>
      <c r="G132" s="29">
        <v>21.99</v>
      </c>
      <c r="H132" s="28" t="s">
        <v>1347</v>
      </c>
      <c r="I132" s="27" t="s">
        <v>4</v>
      </c>
      <c r="J132" s="31" t="s">
        <v>65</v>
      </c>
      <c r="K132" s="27" t="s">
        <v>159</v>
      </c>
      <c r="L132" s="27" t="s">
        <v>160</v>
      </c>
      <c r="M132" s="32" t="str">
        <f>HYPERLINK("http://slimages.macys.com/is/image/MCY/3870610 ")</f>
        <v xml:space="preserve">http://slimages.macys.com/is/image/MCY/3870610 </v>
      </c>
    </row>
    <row r="133" spans="1:13" ht="15.2" customHeight="1" x14ac:dyDescent="0.2">
      <c r="A133" s="26" t="s">
        <v>1349</v>
      </c>
      <c r="B133" s="27" t="s">
        <v>1350</v>
      </c>
      <c r="C133" s="28">
        <v>3</v>
      </c>
      <c r="D133" s="29">
        <v>9.1999999999999993</v>
      </c>
      <c r="E133" s="29">
        <v>27.6</v>
      </c>
      <c r="F133" s="30">
        <v>21.99</v>
      </c>
      <c r="G133" s="29">
        <v>65.97</v>
      </c>
      <c r="H133" s="28" t="s">
        <v>815</v>
      </c>
      <c r="I133" s="27" t="s">
        <v>4</v>
      </c>
      <c r="J133" s="31" t="s">
        <v>21</v>
      </c>
      <c r="K133" s="27" t="s">
        <v>159</v>
      </c>
      <c r="L133" s="27" t="s">
        <v>160</v>
      </c>
      <c r="M133" s="32" t="str">
        <f>HYPERLINK("http://slimages.macys.com/is/image/MCY/3857655 ")</f>
        <v xml:space="preserve">http://slimages.macys.com/is/image/MCY/3857655 </v>
      </c>
    </row>
    <row r="134" spans="1:13" ht="15.2" customHeight="1" x14ac:dyDescent="0.2">
      <c r="A134" s="26" t="s">
        <v>4761</v>
      </c>
      <c r="B134" s="27" t="s">
        <v>4762</v>
      </c>
      <c r="C134" s="28">
        <v>1</v>
      </c>
      <c r="D134" s="29">
        <v>9.1999999999999993</v>
      </c>
      <c r="E134" s="29">
        <v>9.1999999999999993</v>
      </c>
      <c r="F134" s="30">
        <v>21.99</v>
      </c>
      <c r="G134" s="29">
        <v>21.99</v>
      </c>
      <c r="H134" s="28" t="s">
        <v>815</v>
      </c>
      <c r="I134" s="27" t="s">
        <v>4</v>
      </c>
      <c r="J134" s="31" t="s">
        <v>52</v>
      </c>
      <c r="K134" s="27" t="s">
        <v>159</v>
      </c>
      <c r="L134" s="27" t="s">
        <v>160</v>
      </c>
      <c r="M134" s="32" t="str">
        <f>HYPERLINK("http://slimages.macys.com/is/image/MCY/3857655 ")</f>
        <v xml:space="preserve">http://slimages.macys.com/is/image/MCY/3857655 </v>
      </c>
    </row>
    <row r="135" spans="1:13" ht="15.2" customHeight="1" x14ac:dyDescent="0.2">
      <c r="A135" s="26" t="s">
        <v>813</v>
      </c>
      <c r="B135" s="27" t="s">
        <v>814</v>
      </c>
      <c r="C135" s="28">
        <v>1</v>
      </c>
      <c r="D135" s="29">
        <v>9.1999999999999993</v>
      </c>
      <c r="E135" s="29">
        <v>9.1999999999999993</v>
      </c>
      <c r="F135" s="30">
        <v>21.99</v>
      </c>
      <c r="G135" s="29">
        <v>21.99</v>
      </c>
      <c r="H135" s="28" t="s">
        <v>815</v>
      </c>
      <c r="I135" s="27" t="s">
        <v>4</v>
      </c>
      <c r="J135" s="31" t="s">
        <v>5</v>
      </c>
      <c r="K135" s="27" t="s">
        <v>159</v>
      </c>
      <c r="L135" s="27" t="s">
        <v>160</v>
      </c>
      <c r="M135" s="32" t="str">
        <f>HYPERLINK("http://slimages.macys.com/is/image/MCY/3857655 ")</f>
        <v xml:space="preserve">http://slimages.macys.com/is/image/MCY/3857655 </v>
      </c>
    </row>
    <row r="136" spans="1:13" ht="15.2" customHeight="1" x14ac:dyDescent="0.2">
      <c r="A136" s="26" t="s">
        <v>1845</v>
      </c>
      <c r="B136" s="27" t="s">
        <v>1846</v>
      </c>
      <c r="C136" s="28">
        <v>1</v>
      </c>
      <c r="D136" s="29">
        <v>9.1</v>
      </c>
      <c r="E136" s="29">
        <v>9.1</v>
      </c>
      <c r="F136" s="30">
        <v>19.989999999999998</v>
      </c>
      <c r="G136" s="29">
        <v>19.989999999999998</v>
      </c>
      <c r="H136" s="28" t="s">
        <v>305</v>
      </c>
      <c r="I136" s="27" t="s">
        <v>189</v>
      </c>
      <c r="J136" s="31" t="s">
        <v>52</v>
      </c>
      <c r="K136" s="27" t="s">
        <v>224</v>
      </c>
      <c r="L136" s="27" t="s">
        <v>276</v>
      </c>
      <c r="M136" s="32" t="str">
        <f>HYPERLINK("http://slimages.macys.com/is/image/MCY/3820952 ")</f>
        <v xml:space="preserve">http://slimages.macys.com/is/image/MCY/3820952 </v>
      </c>
    </row>
    <row r="137" spans="1:13" ht="15.2" customHeight="1" x14ac:dyDescent="0.2">
      <c r="A137" s="26" t="s">
        <v>1841</v>
      </c>
      <c r="B137" s="27" t="s">
        <v>1842</v>
      </c>
      <c r="C137" s="28">
        <v>2</v>
      </c>
      <c r="D137" s="29">
        <v>9.1</v>
      </c>
      <c r="E137" s="29">
        <v>18.2</v>
      </c>
      <c r="F137" s="30">
        <v>19.989999999999998</v>
      </c>
      <c r="G137" s="29">
        <v>39.979999999999997</v>
      </c>
      <c r="H137" s="28" t="s">
        <v>305</v>
      </c>
      <c r="I137" s="27" t="s">
        <v>189</v>
      </c>
      <c r="J137" s="31" t="s">
        <v>5</v>
      </c>
      <c r="K137" s="27" t="s">
        <v>224</v>
      </c>
      <c r="L137" s="27" t="s">
        <v>276</v>
      </c>
      <c r="M137" s="32" t="str">
        <f>HYPERLINK("http://slimages.macys.com/is/image/MCY/3820952 ")</f>
        <v xml:space="preserve">http://slimages.macys.com/is/image/MCY/3820952 </v>
      </c>
    </row>
    <row r="138" spans="1:13" ht="15.2" customHeight="1" x14ac:dyDescent="0.2">
      <c r="A138" s="26" t="s">
        <v>1843</v>
      </c>
      <c r="B138" s="27" t="s">
        <v>1844</v>
      </c>
      <c r="C138" s="28">
        <v>1</v>
      </c>
      <c r="D138" s="29">
        <v>9.1</v>
      </c>
      <c r="E138" s="29">
        <v>9.1</v>
      </c>
      <c r="F138" s="30">
        <v>19.989999999999998</v>
      </c>
      <c r="G138" s="29">
        <v>19.989999999999998</v>
      </c>
      <c r="H138" s="28" t="s">
        <v>305</v>
      </c>
      <c r="I138" s="27" t="s">
        <v>189</v>
      </c>
      <c r="J138" s="31" t="s">
        <v>40</v>
      </c>
      <c r="K138" s="27" t="s">
        <v>224</v>
      </c>
      <c r="L138" s="27" t="s">
        <v>276</v>
      </c>
      <c r="M138" s="32" t="str">
        <f>HYPERLINK("http://slimages.macys.com/is/image/MCY/3821780 ")</f>
        <v xml:space="preserve">http://slimages.macys.com/is/image/MCY/3821780 </v>
      </c>
    </row>
    <row r="139" spans="1:13" ht="15.2" customHeight="1" x14ac:dyDescent="0.2">
      <c r="A139" s="26" t="s">
        <v>1849</v>
      </c>
      <c r="B139" s="27" t="s">
        <v>1850</v>
      </c>
      <c r="C139" s="28">
        <v>1</v>
      </c>
      <c r="D139" s="29">
        <v>9.1</v>
      </c>
      <c r="E139" s="29">
        <v>9.1</v>
      </c>
      <c r="F139" s="30">
        <v>19.989999999999998</v>
      </c>
      <c r="G139" s="29">
        <v>19.989999999999998</v>
      </c>
      <c r="H139" s="28" t="s">
        <v>305</v>
      </c>
      <c r="I139" s="27" t="s">
        <v>189</v>
      </c>
      <c r="J139" s="31" t="s">
        <v>52</v>
      </c>
      <c r="K139" s="27" t="s">
        <v>224</v>
      </c>
      <c r="L139" s="27" t="s">
        <v>276</v>
      </c>
      <c r="M139" s="32" t="str">
        <f>HYPERLINK("http://slimages.macys.com/is/image/MCY/3821780 ")</f>
        <v xml:space="preserve">http://slimages.macys.com/is/image/MCY/3821780 </v>
      </c>
    </row>
    <row r="140" spans="1:13" ht="15.2" customHeight="1" x14ac:dyDescent="0.2">
      <c r="A140" s="26" t="s">
        <v>2241</v>
      </c>
      <c r="B140" s="27" t="s">
        <v>2242</v>
      </c>
      <c r="C140" s="28">
        <v>1</v>
      </c>
      <c r="D140" s="29">
        <v>9.1</v>
      </c>
      <c r="E140" s="29">
        <v>9.1</v>
      </c>
      <c r="F140" s="30">
        <v>19.989999999999998</v>
      </c>
      <c r="G140" s="29">
        <v>19.989999999999998</v>
      </c>
      <c r="H140" s="28" t="s">
        <v>1353</v>
      </c>
      <c r="I140" s="27" t="s">
        <v>215</v>
      </c>
      <c r="J140" s="31" t="s">
        <v>40</v>
      </c>
      <c r="K140" s="27" t="s">
        <v>224</v>
      </c>
      <c r="L140" s="27" t="s">
        <v>276</v>
      </c>
      <c r="M140" s="32" t="str">
        <f>HYPERLINK("http://slimages.macys.com/is/image/MCY/3821784 ")</f>
        <v xml:space="preserve">http://slimages.macys.com/is/image/MCY/3821784 </v>
      </c>
    </row>
    <row r="141" spans="1:13" ht="15.2" customHeight="1" x14ac:dyDescent="0.2">
      <c r="A141" s="26" t="s">
        <v>5542</v>
      </c>
      <c r="B141" s="27" t="s">
        <v>5543</v>
      </c>
      <c r="C141" s="28">
        <v>1</v>
      </c>
      <c r="D141" s="29">
        <v>9</v>
      </c>
      <c r="E141" s="29">
        <v>9</v>
      </c>
      <c r="F141" s="30">
        <v>19.989999999999998</v>
      </c>
      <c r="G141" s="29">
        <v>19.989999999999998</v>
      </c>
      <c r="H141" s="28" t="s">
        <v>311</v>
      </c>
      <c r="I141" s="27" t="s">
        <v>1</v>
      </c>
      <c r="J141" s="31" t="s">
        <v>21</v>
      </c>
      <c r="K141" s="27" t="s">
        <v>196</v>
      </c>
      <c r="L141" s="27" t="s">
        <v>239</v>
      </c>
      <c r="M141" s="32" t="str">
        <f>HYPERLINK("http://slimages.macys.com/is/image/MCY/3890895 ")</f>
        <v xml:space="preserve">http://slimages.macys.com/is/image/MCY/3890895 </v>
      </c>
    </row>
    <row r="142" spans="1:13" ht="15.2" customHeight="1" x14ac:dyDescent="0.2">
      <c r="A142" s="26" t="s">
        <v>3384</v>
      </c>
      <c r="B142" s="27" t="s">
        <v>3385</v>
      </c>
      <c r="C142" s="28">
        <v>1</v>
      </c>
      <c r="D142" s="29">
        <v>9</v>
      </c>
      <c r="E142" s="29">
        <v>9</v>
      </c>
      <c r="F142" s="30">
        <v>19.989999999999998</v>
      </c>
      <c r="G142" s="29">
        <v>19.989999999999998</v>
      </c>
      <c r="H142" s="28" t="s">
        <v>2243</v>
      </c>
      <c r="I142" s="27" t="s">
        <v>146</v>
      </c>
      <c r="J142" s="31" t="s">
        <v>40</v>
      </c>
      <c r="K142" s="27" t="s">
        <v>196</v>
      </c>
      <c r="L142" s="27" t="s">
        <v>804</v>
      </c>
      <c r="M142" s="32" t="str">
        <f>HYPERLINK("http://slimages.macys.com/is/image/MCY/3207034 ")</f>
        <v xml:space="preserve">http://slimages.macys.com/is/image/MCY/3207034 </v>
      </c>
    </row>
    <row r="143" spans="1:13" ht="15.2" customHeight="1" x14ac:dyDescent="0.2">
      <c r="A143" s="26" t="s">
        <v>5728</v>
      </c>
      <c r="B143" s="27" t="s">
        <v>5729</v>
      </c>
      <c r="C143" s="28">
        <v>1</v>
      </c>
      <c r="D143" s="29">
        <v>9</v>
      </c>
      <c r="E143" s="29">
        <v>9</v>
      </c>
      <c r="F143" s="30">
        <v>19.989999999999998</v>
      </c>
      <c r="G143" s="29">
        <v>19.989999999999998</v>
      </c>
      <c r="H143" s="28" t="s">
        <v>311</v>
      </c>
      <c r="I143" s="27" t="s">
        <v>1</v>
      </c>
      <c r="J143" s="31" t="s">
        <v>71</v>
      </c>
      <c r="K143" s="27" t="s">
        <v>196</v>
      </c>
      <c r="L143" s="27" t="s">
        <v>239</v>
      </c>
      <c r="M143" s="32" t="str">
        <f>HYPERLINK("http://slimages.macys.com/is/image/MCY/3890895 ")</f>
        <v xml:space="preserve">http://slimages.macys.com/is/image/MCY/3890895 </v>
      </c>
    </row>
    <row r="144" spans="1:13" ht="15.2" customHeight="1" x14ac:dyDescent="0.2">
      <c r="A144" s="26" t="s">
        <v>5730</v>
      </c>
      <c r="B144" s="27" t="s">
        <v>5731</v>
      </c>
      <c r="C144" s="28">
        <v>1</v>
      </c>
      <c r="D144" s="29">
        <v>8.69</v>
      </c>
      <c r="E144" s="29">
        <v>8.69</v>
      </c>
      <c r="F144" s="30">
        <v>16.989999999999998</v>
      </c>
      <c r="G144" s="29">
        <v>16.989999999999998</v>
      </c>
      <c r="H144" s="28">
        <v>60446927</v>
      </c>
      <c r="I144" s="27" t="s">
        <v>4</v>
      </c>
      <c r="J144" s="31" t="s">
        <v>21</v>
      </c>
      <c r="K144" s="27" t="s">
        <v>208</v>
      </c>
      <c r="L144" s="27" t="s">
        <v>255</v>
      </c>
      <c r="M144" s="32" t="str">
        <f>HYPERLINK("http://slimages.macys.com/is/image/MCY/3927792 ")</f>
        <v xml:space="preserve">http://slimages.macys.com/is/image/MCY/3927792 </v>
      </c>
    </row>
    <row r="145" spans="1:13" ht="15.2" customHeight="1" x14ac:dyDescent="0.2">
      <c r="A145" s="26" t="s">
        <v>5732</v>
      </c>
      <c r="B145" s="27" t="s">
        <v>5733</v>
      </c>
      <c r="C145" s="28">
        <v>1</v>
      </c>
      <c r="D145" s="29">
        <v>8.69</v>
      </c>
      <c r="E145" s="29">
        <v>8.69</v>
      </c>
      <c r="F145" s="30">
        <v>16.989999999999998</v>
      </c>
      <c r="G145" s="29">
        <v>16.989999999999998</v>
      </c>
      <c r="H145" s="28">
        <v>60446928</v>
      </c>
      <c r="I145" s="27" t="s">
        <v>75</v>
      </c>
      <c r="J145" s="31" t="s">
        <v>71</v>
      </c>
      <c r="K145" s="27" t="s">
        <v>208</v>
      </c>
      <c r="L145" s="27" t="s">
        <v>255</v>
      </c>
      <c r="M145" s="32" t="str">
        <f>HYPERLINK("http://slimages.macys.com/is/image/MCY/3927792 ")</f>
        <v xml:space="preserve">http://slimages.macys.com/is/image/MCY/3927792 </v>
      </c>
    </row>
    <row r="146" spans="1:13" ht="15.2" customHeight="1" x14ac:dyDescent="0.2">
      <c r="A146" s="26" t="s">
        <v>5734</v>
      </c>
      <c r="B146" s="27" t="s">
        <v>5735</v>
      </c>
      <c r="C146" s="28">
        <v>1</v>
      </c>
      <c r="D146" s="29">
        <v>8.69</v>
      </c>
      <c r="E146" s="29">
        <v>8.69</v>
      </c>
      <c r="F146" s="30">
        <v>16.989999999999998</v>
      </c>
      <c r="G146" s="29">
        <v>16.989999999999998</v>
      </c>
      <c r="H146" s="28">
        <v>60433928</v>
      </c>
      <c r="I146" s="27" t="s">
        <v>4</v>
      </c>
      <c r="J146" s="31" t="s">
        <v>21</v>
      </c>
      <c r="K146" s="27" t="s">
        <v>208</v>
      </c>
      <c r="L146" s="27" t="s">
        <v>255</v>
      </c>
      <c r="M146" s="32" t="str">
        <f>HYPERLINK("http://slimages.macys.com/is/image/MCY/3623246 ")</f>
        <v xml:space="preserve">http://slimages.macys.com/is/image/MCY/3623246 </v>
      </c>
    </row>
    <row r="147" spans="1:13" ht="15.2" customHeight="1" x14ac:dyDescent="0.2">
      <c r="A147" s="26" t="s">
        <v>4840</v>
      </c>
      <c r="B147" s="27" t="s">
        <v>4841</v>
      </c>
      <c r="C147" s="28">
        <v>1</v>
      </c>
      <c r="D147" s="29">
        <v>8.5500000000000007</v>
      </c>
      <c r="E147" s="29">
        <v>8.5500000000000007</v>
      </c>
      <c r="F147" s="30">
        <v>19.989999999999998</v>
      </c>
      <c r="G147" s="29">
        <v>19.989999999999998</v>
      </c>
      <c r="H147" s="28" t="s">
        <v>3398</v>
      </c>
      <c r="I147" s="27" t="s">
        <v>1</v>
      </c>
      <c r="J147" s="31" t="s">
        <v>71</v>
      </c>
      <c r="K147" s="27" t="s">
        <v>224</v>
      </c>
      <c r="L147" s="27" t="s">
        <v>254</v>
      </c>
      <c r="M147" s="32" t="str">
        <f>HYPERLINK("http://slimages.macys.com/is/image/MCY/3931020 ")</f>
        <v xml:space="preserve">http://slimages.macys.com/is/image/MCY/3931020 </v>
      </c>
    </row>
    <row r="148" spans="1:13" ht="15.2" customHeight="1" x14ac:dyDescent="0.2">
      <c r="A148" s="26" t="s">
        <v>5736</v>
      </c>
      <c r="B148" s="27" t="s">
        <v>5737</v>
      </c>
      <c r="C148" s="28">
        <v>1</v>
      </c>
      <c r="D148" s="29">
        <v>8.5500000000000007</v>
      </c>
      <c r="E148" s="29">
        <v>8.5500000000000007</v>
      </c>
      <c r="F148" s="30">
        <v>19.989999999999998</v>
      </c>
      <c r="G148" s="29">
        <v>19.989999999999998</v>
      </c>
      <c r="H148" s="28" t="s">
        <v>3398</v>
      </c>
      <c r="I148" s="27" t="s">
        <v>82</v>
      </c>
      <c r="J148" s="31" t="s">
        <v>71</v>
      </c>
      <c r="K148" s="27" t="s">
        <v>224</v>
      </c>
      <c r="L148" s="27" t="s">
        <v>254</v>
      </c>
      <c r="M148" s="32" t="str">
        <f>HYPERLINK("http://slimages.macys.com/is/image/MCY/3931020 ")</f>
        <v xml:space="preserve">http://slimages.macys.com/is/image/MCY/3931020 </v>
      </c>
    </row>
    <row r="149" spans="1:13" ht="15.2" customHeight="1" x14ac:dyDescent="0.2">
      <c r="A149" s="26" t="s">
        <v>4763</v>
      </c>
      <c r="B149" s="27" t="s">
        <v>4764</v>
      </c>
      <c r="C149" s="28">
        <v>1</v>
      </c>
      <c r="D149" s="29">
        <v>8.5</v>
      </c>
      <c r="E149" s="29">
        <v>8.5</v>
      </c>
      <c r="F149" s="30">
        <v>19.989999999999998</v>
      </c>
      <c r="G149" s="29">
        <v>19.989999999999998</v>
      </c>
      <c r="H149" s="28" t="s">
        <v>321</v>
      </c>
      <c r="I149" s="27" t="s">
        <v>75</v>
      </c>
      <c r="J149" s="31" t="s">
        <v>40</v>
      </c>
      <c r="K149" s="27" t="s">
        <v>196</v>
      </c>
      <c r="L149" s="27" t="s">
        <v>322</v>
      </c>
      <c r="M149" s="32" t="str">
        <f>HYPERLINK("http://slimages.macys.com/is/image/MCY/3910788 ")</f>
        <v xml:space="preserve">http://slimages.macys.com/is/image/MCY/3910788 </v>
      </c>
    </row>
    <row r="150" spans="1:13" ht="15.2" customHeight="1" x14ac:dyDescent="0.2">
      <c r="A150" s="26" t="s">
        <v>2659</v>
      </c>
      <c r="B150" s="27" t="s">
        <v>2660</v>
      </c>
      <c r="C150" s="28">
        <v>1</v>
      </c>
      <c r="D150" s="29">
        <v>8.5</v>
      </c>
      <c r="E150" s="29">
        <v>8.5</v>
      </c>
      <c r="F150" s="30">
        <v>19.989999999999998</v>
      </c>
      <c r="G150" s="29">
        <v>19.989999999999998</v>
      </c>
      <c r="H150" s="28" t="s">
        <v>334</v>
      </c>
      <c r="I150" s="27" t="s">
        <v>33</v>
      </c>
      <c r="J150" s="31" t="s">
        <v>21</v>
      </c>
      <c r="K150" s="27" t="s">
        <v>196</v>
      </c>
      <c r="L150" s="27" t="s">
        <v>239</v>
      </c>
      <c r="M150" s="32" t="str">
        <f>HYPERLINK("http://slimages.macys.com/is/image/MCY/3890886 ")</f>
        <v xml:space="preserve">http://slimages.macys.com/is/image/MCY/3890886 </v>
      </c>
    </row>
    <row r="151" spans="1:13" ht="15.2" customHeight="1" x14ac:dyDescent="0.2">
      <c r="A151" s="26" t="s">
        <v>5738</v>
      </c>
      <c r="B151" s="27" t="s">
        <v>5739</v>
      </c>
      <c r="C151" s="28">
        <v>1</v>
      </c>
      <c r="D151" s="29">
        <v>8.5</v>
      </c>
      <c r="E151" s="29">
        <v>8.5</v>
      </c>
      <c r="F151" s="30">
        <v>19.989999999999998</v>
      </c>
      <c r="G151" s="29">
        <v>19.989999999999998</v>
      </c>
      <c r="H151" s="28" t="s">
        <v>2272</v>
      </c>
      <c r="I151" s="27" t="s">
        <v>4</v>
      </c>
      <c r="J151" s="31" t="s">
        <v>5</v>
      </c>
      <c r="K151" s="27" t="s">
        <v>196</v>
      </c>
      <c r="L151" s="27" t="s">
        <v>1329</v>
      </c>
      <c r="M151" s="32" t="str">
        <f>HYPERLINK("http://slimages.macys.com/is/image/MCY/3947075 ")</f>
        <v xml:space="preserve">http://slimages.macys.com/is/image/MCY/3947075 </v>
      </c>
    </row>
    <row r="152" spans="1:13" ht="15.2" customHeight="1" x14ac:dyDescent="0.2">
      <c r="A152" s="26" t="s">
        <v>4844</v>
      </c>
      <c r="B152" s="27" t="s">
        <v>4845</v>
      </c>
      <c r="C152" s="28">
        <v>2</v>
      </c>
      <c r="D152" s="29">
        <v>8.5</v>
      </c>
      <c r="E152" s="29">
        <v>17</v>
      </c>
      <c r="F152" s="30">
        <v>19.989999999999998</v>
      </c>
      <c r="G152" s="29">
        <v>39.979999999999997</v>
      </c>
      <c r="H152" s="28" t="s">
        <v>2272</v>
      </c>
      <c r="I152" s="27" t="s">
        <v>4</v>
      </c>
      <c r="J152" s="31" t="s">
        <v>40</v>
      </c>
      <c r="K152" s="27" t="s">
        <v>196</v>
      </c>
      <c r="L152" s="27" t="s">
        <v>1329</v>
      </c>
      <c r="M152" s="32" t="str">
        <f>HYPERLINK("http://slimages.macys.com/is/image/MCY/3947075 ")</f>
        <v xml:space="preserve">http://slimages.macys.com/is/image/MCY/3947075 </v>
      </c>
    </row>
    <row r="153" spans="1:13" ht="15.2" customHeight="1" x14ac:dyDescent="0.2">
      <c r="A153" s="26" t="s">
        <v>5740</v>
      </c>
      <c r="B153" s="27" t="s">
        <v>5741</v>
      </c>
      <c r="C153" s="28">
        <v>1</v>
      </c>
      <c r="D153" s="29">
        <v>8.5</v>
      </c>
      <c r="E153" s="29">
        <v>8.5</v>
      </c>
      <c r="F153" s="30">
        <v>19.989999999999998</v>
      </c>
      <c r="G153" s="29">
        <v>19.989999999999998</v>
      </c>
      <c r="H153" s="28">
        <v>60433871</v>
      </c>
      <c r="I153" s="27" t="s">
        <v>4</v>
      </c>
      <c r="J153" s="31" t="s">
        <v>21</v>
      </c>
      <c r="K153" s="27" t="s">
        <v>224</v>
      </c>
      <c r="L153" s="27" t="s">
        <v>255</v>
      </c>
      <c r="M153" s="32" t="str">
        <f>HYPERLINK("http://slimages.macys.com/is/image/MCY/3910875 ")</f>
        <v xml:space="preserve">http://slimages.macys.com/is/image/MCY/3910875 </v>
      </c>
    </row>
    <row r="154" spans="1:13" ht="15.2" customHeight="1" x14ac:dyDescent="0.2">
      <c r="A154" s="26" t="s">
        <v>329</v>
      </c>
      <c r="B154" s="27" t="s">
        <v>330</v>
      </c>
      <c r="C154" s="28">
        <v>1</v>
      </c>
      <c r="D154" s="29">
        <v>8.5</v>
      </c>
      <c r="E154" s="29">
        <v>8.5</v>
      </c>
      <c r="F154" s="30">
        <v>19.989999999999998</v>
      </c>
      <c r="G154" s="29">
        <v>19.989999999999998</v>
      </c>
      <c r="H154" s="28" t="s">
        <v>321</v>
      </c>
      <c r="I154" s="27" t="s">
        <v>280</v>
      </c>
      <c r="J154" s="31" t="s">
        <v>40</v>
      </c>
      <c r="K154" s="27" t="s">
        <v>196</v>
      </c>
      <c r="L154" s="27" t="s">
        <v>322</v>
      </c>
      <c r="M154" s="32" t="str">
        <f>HYPERLINK("http://slimages.macys.com/is/image/MCY/3910788 ")</f>
        <v xml:space="preserve">http://slimages.macys.com/is/image/MCY/3910788 </v>
      </c>
    </row>
    <row r="155" spans="1:13" ht="15.2" customHeight="1" x14ac:dyDescent="0.2">
      <c r="A155" s="26" t="s">
        <v>3873</v>
      </c>
      <c r="B155" s="27" t="s">
        <v>3874</v>
      </c>
      <c r="C155" s="28">
        <v>1</v>
      </c>
      <c r="D155" s="29">
        <v>8.5</v>
      </c>
      <c r="E155" s="29">
        <v>8.5</v>
      </c>
      <c r="F155" s="30">
        <v>19.989999999999998</v>
      </c>
      <c r="G155" s="29">
        <v>19.989999999999998</v>
      </c>
      <c r="H155" s="28">
        <v>60433871</v>
      </c>
      <c r="I155" s="27" t="s">
        <v>215</v>
      </c>
      <c r="J155" s="31" t="s">
        <v>40</v>
      </c>
      <c r="K155" s="27" t="s">
        <v>224</v>
      </c>
      <c r="L155" s="27" t="s">
        <v>255</v>
      </c>
      <c r="M155" s="32" t="str">
        <f>HYPERLINK("http://slimages.macys.com/is/image/MCY/3910875 ")</f>
        <v xml:space="preserve">http://slimages.macys.com/is/image/MCY/3910875 </v>
      </c>
    </row>
    <row r="156" spans="1:13" ht="15.2" customHeight="1" x14ac:dyDescent="0.2">
      <c r="A156" s="26" t="s">
        <v>5742</v>
      </c>
      <c r="B156" s="27" t="s">
        <v>5743</v>
      </c>
      <c r="C156" s="28">
        <v>1</v>
      </c>
      <c r="D156" s="29">
        <v>8.4499999999999993</v>
      </c>
      <c r="E156" s="29">
        <v>8.4499999999999993</v>
      </c>
      <c r="F156" s="30">
        <v>19.989999999999998</v>
      </c>
      <c r="G156" s="29">
        <v>19.989999999999998</v>
      </c>
      <c r="H156" s="28" t="s">
        <v>3424</v>
      </c>
      <c r="I156" s="27" t="s">
        <v>4</v>
      </c>
      <c r="J156" s="31" t="s">
        <v>40</v>
      </c>
      <c r="K156" s="27" t="s">
        <v>196</v>
      </c>
      <c r="L156" s="27" t="s">
        <v>322</v>
      </c>
      <c r="M156" s="32" t="str">
        <f>HYPERLINK("http://slimages.macys.com/is/image/MCY/3947122 ")</f>
        <v xml:space="preserve">http://slimages.macys.com/is/image/MCY/3947122 </v>
      </c>
    </row>
    <row r="157" spans="1:13" ht="15.2" customHeight="1" x14ac:dyDescent="0.2">
      <c r="A157" s="26" t="s">
        <v>5744</v>
      </c>
      <c r="B157" s="27" t="s">
        <v>5745</v>
      </c>
      <c r="C157" s="28">
        <v>1</v>
      </c>
      <c r="D157" s="29">
        <v>8.4499999999999993</v>
      </c>
      <c r="E157" s="29">
        <v>8.4499999999999993</v>
      </c>
      <c r="F157" s="30">
        <v>19.989999999999998</v>
      </c>
      <c r="G157" s="29">
        <v>19.989999999999998</v>
      </c>
      <c r="H157" s="28" t="s">
        <v>5746</v>
      </c>
      <c r="I157" s="27" t="s">
        <v>4</v>
      </c>
      <c r="J157" s="31" t="s">
        <v>21</v>
      </c>
      <c r="K157" s="27" t="s">
        <v>196</v>
      </c>
      <c r="L157" s="27" t="s">
        <v>322</v>
      </c>
      <c r="M157" s="32" t="str">
        <f>HYPERLINK("http://slimages.macys.com/is/image/MCY/3947128 ")</f>
        <v xml:space="preserve">http://slimages.macys.com/is/image/MCY/3947128 </v>
      </c>
    </row>
    <row r="158" spans="1:13" ht="15.2" customHeight="1" x14ac:dyDescent="0.2">
      <c r="A158" s="26" t="s">
        <v>5747</v>
      </c>
      <c r="B158" s="27" t="s">
        <v>5748</v>
      </c>
      <c r="C158" s="28">
        <v>1</v>
      </c>
      <c r="D158" s="29">
        <v>8.4499999999999993</v>
      </c>
      <c r="E158" s="29">
        <v>8.4499999999999993</v>
      </c>
      <c r="F158" s="30">
        <v>19.989999999999998</v>
      </c>
      <c r="G158" s="29">
        <v>19.989999999999998</v>
      </c>
      <c r="H158" s="28" t="s">
        <v>5746</v>
      </c>
      <c r="I158" s="27" t="s">
        <v>4</v>
      </c>
      <c r="J158" s="31" t="s">
        <v>5</v>
      </c>
      <c r="K158" s="27" t="s">
        <v>196</v>
      </c>
      <c r="L158" s="27" t="s">
        <v>322</v>
      </c>
      <c r="M158" s="32" t="str">
        <f>HYPERLINK("http://slimages.macys.com/is/image/MCY/3947128 ")</f>
        <v xml:space="preserve">http://slimages.macys.com/is/image/MCY/3947128 </v>
      </c>
    </row>
    <row r="159" spans="1:13" ht="15.2" customHeight="1" x14ac:dyDescent="0.2">
      <c r="A159" s="26" t="s">
        <v>5749</v>
      </c>
      <c r="B159" s="27" t="s">
        <v>5750</v>
      </c>
      <c r="C159" s="28">
        <v>1</v>
      </c>
      <c r="D159" s="29">
        <v>8.4499999999999993</v>
      </c>
      <c r="E159" s="29">
        <v>8.4499999999999993</v>
      </c>
      <c r="F159" s="30">
        <v>19.989999999999998</v>
      </c>
      <c r="G159" s="29">
        <v>19.989999999999998</v>
      </c>
      <c r="H159" s="28" t="s">
        <v>3424</v>
      </c>
      <c r="I159" s="27" t="s">
        <v>4</v>
      </c>
      <c r="J159" s="31" t="s">
        <v>71</v>
      </c>
      <c r="K159" s="27" t="s">
        <v>196</v>
      </c>
      <c r="L159" s="27" t="s">
        <v>322</v>
      </c>
      <c r="M159" s="32" t="str">
        <f>HYPERLINK("http://slimages.macys.com/is/image/MCY/3947122 ")</f>
        <v xml:space="preserve">http://slimages.macys.com/is/image/MCY/3947122 </v>
      </c>
    </row>
    <row r="160" spans="1:13" ht="15.2" customHeight="1" x14ac:dyDescent="0.2">
      <c r="A160" s="26" t="s">
        <v>1385</v>
      </c>
      <c r="B160" s="27" t="s">
        <v>1386</v>
      </c>
      <c r="C160" s="28">
        <v>1</v>
      </c>
      <c r="D160" s="29">
        <v>8.4</v>
      </c>
      <c r="E160" s="29">
        <v>8.4</v>
      </c>
      <c r="F160" s="30">
        <v>12.99</v>
      </c>
      <c r="G160" s="29">
        <v>12.99</v>
      </c>
      <c r="H160" s="28" t="s">
        <v>1387</v>
      </c>
      <c r="I160" s="27" t="s">
        <v>39</v>
      </c>
      <c r="J160" s="31" t="s">
        <v>21</v>
      </c>
      <c r="K160" s="27" t="s">
        <v>200</v>
      </c>
      <c r="L160" s="27" t="s">
        <v>260</v>
      </c>
      <c r="M160" s="32" t="str">
        <f>HYPERLINK("http://slimages.macys.com/is/image/MCY/3755683 ")</f>
        <v xml:space="preserve">http://slimages.macys.com/is/image/MCY/3755683 </v>
      </c>
    </row>
    <row r="161" spans="1:13" ht="15.2" customHeight="1" x14ac:dyDescent="0.2">
      <c r="A161" s="26" t="s">
        <v>3891</v>
      </c>
      <c r="B161" s="27" t="s">
        <v>3892</v>
      </c>
      <c r="C161" s="28">
        <v>1</v>
      </c>
      <c r="D161" s="29">
        <v>8.1</v>
      </c>
      <c r="E161" s="29">
        <v>8.1</v>
      </c>
      <c r="F161" s="30">
        <v>19.989999999999998</v>
      </c>
      <c r="G161" s="29">
        <v>19.989999999999998</v>
      </c>
      <c r="H161" s="28">
        <v>60449400</v>
      </c>
      <c r="I161" s="27" t="s">
        <v>39</v>
      </c>
      <c r="J161" s="31" t="s">
        <v>52</v>
      </c>
      <c r="K161" s="27" t="s">
        <v>208</v>
      </c>
      <c r="L161" s="27" t="s">
        <v>255</v>
      </c>
      <c r="M161" s="32" t="str">
        <f>HYPERLINK("http://slimages.macys.com/is/image/MCY/3940667 ")</f>
        <v xml:space="preserve">http://slimages.macys.com/is/image/MCY/3940667 </v>
      </c>
    </row>
    <row r="162" spans="1:13" ht="15.2" customHeight="1" x14ac:dyDescent="0.2">
      <c r="A162" s="26" t="s">
        <v>4846</v>
      </c>
      <c r="B162" s="27" t="s">
        <v>4847</v>
      </c>
      <c r="C162" s="28">
        <v>1</v>
      </c>
      <c r="D162" s="29">
        <v>8.1</v>
      </c>
      <c r="E162" s="29">
        <v>8.1</v>
      </c>
      <c r="F162" s="30">
        <v>19.989999999999998</v>
      </c>
      <c r="G162" s="29">
        <v>19.989999999999998</v>
      </c>
      <c r="H162" s="28">
        <v>60449400</v>
      </c>
      <c r="I162" s="27" t="s">
        <v>33</v>
      </c>
      <c r="J162" s="31" t="s">
        <v>21</v>
      </c>
      <c r="K162" s="27" t="s">
        <v>208</v>
      </c>
      <c r="L162" s="27" t="s">
        <v>255</v>
      </c>
      <c r="M162" s="32" t="str">
        <f>HYPERLINK("http://slimages.macys.com/is/image/MCY/3940667 ")</f>
        <v xml:space="preserve">http://slimages.macys.com/is/image/MCY/3940667 </v>
      </c>
    </row>
    <row r="163" spans="1:13" ht="15.2" customHeight="1" x14ac:dyDescent="0.2">
      <c r="A163" s="26" t="s">
        <v>4229</v>
      </c>
      <c r="B163" s="27" t="s">
        <v>4230</v>
      </c>
      <c r="C163" s="28">
        <v>1</v>
      </c>
      <c r="D163" s="29">
        <v>8.1</v>
      </c>
      <c r="E163" s="29">
        <v>8.1</v>
      </c>
      <c r="F163" s="30">
        <v>19.989999999999998</v>
      </c>
      <c r="G163" s="29">
        <v>19.989999999999998</v>
      </c>
      <c r="H163" s="28">
        <v>60449400</v>
      </c>
      <c r="I163" s="27" t="s">
        <v>33</v>
      </c>
      <c r="J163" s="31" t="s">
        <v>5</v>
      </c>
      <c r="K163" s="27" t="s">
        <v>208</v>
      </c>
      <c r="L163" s="27" t="s">
        <v>255</v>
      </c>
      <c r="M163" s="32" t="str">
        <f>HYPERLINK("http://slimages.macys.com/is/image/MCY/3940667 ")</f>
        <v xml:space="preserve">http://slimages.macys.com/is/image/MCY/3940667 </v>
      </c>
    </row>
    <row r="164" spans="1:13" ht="15.2" customHeight="1" x14ac:dyDescent="0.2">
      <c r="A164" s="26" t="s">
        <v>5096</v>
      </c>
      <c r="B164" s="27" t="s">
        <v>5097</v>
      </c>
      <c r="C164" s="28">
        <v>2</v>
      </c>
      <c r="D164" s="29">
        <v>8.1</v>
      </c>
      <c r="E164" s="29">
        <v>16.2</v>
      </c>
      <c r="F164" s="30">
        <v>19.989999999999998</v>
      </c>
      <c r="G164" s="29">
        <v>39.979999999999997</v>
      </c>
      <c r="H164" s="28">
        <v>60449400</v>
      </c>
      <c r="I164" s="27" t="s">
        <v>33</v>
      </c>
      <c r="J164" s="31" t="s">
        <v>52</v>
      </c>
      <c r="K164" s="27" t="s">
        <v>208</v>
      </c>
      <c r="L164" s="27" t="s">
        <v>255</v>
      </c>
      <c r="M164" s="32" t="str">
        <f>HYPERLINK("http://slimages.macys.com/is/image/MCY/3940667 ")</f>
        <v xml:space="preserve">http://slimages.macys.com/is/image/MCY/3940667 </v>
      </c>
    </row>
    <row r="165" spans="1:13" ht="15.2" customHeight="1" x14ac:dyDescent="0.2">
      <c r="A165" s="26" t="s">
        <v>4481</v>
      </c>
      <c r="B165" s="27" t="s">
        <v>4482</v>
      </c>
      <c r="C165" s="28">
        <v>3</v>
      </c>
      <c r="D165" s="29">
        <v>8</v>
      </c>
      <c r="E165" s="29">
        <v>24</v>
      </c>
      <c r="F165" s="30">
        <v>19.989999999999998</v>
      </c>
      <c r="G165" s="29">
        <v>59.97</v>
      </c>
      <c r="H165" s="28" t="s">
        <v>1362</v>
      </c>
      <c r="I165" s="27" t="s">
        <v>661</v>
      </c>
      <c r="J165" s="31" t="s">
        <v>5</v>
      </c>
      <c r="K165" s="27" t="s">
        <v>224</v>
      </c>
      <c r="L165" s="27" t="s">
        <v>276</v>
      </c>
      <c r="M165" s="32" t="str">
        <f>HYPERLINK("http://slimages.macys.com/is/image/MCY/3814584 ")</f>
        <v xml:space="preserve">http://slimages.macys.com/is/image/MCY/3814584 </v>
      </c>
    </row>
    <row r="166" spans="1:13" ht="15.2" customHeight="1" x14ac:dyDescent="0.2">
      <c r="A166" s="26" t="s">
        <v>5751</v>
      </c>
      <c r="B166" s="27" t="s">
        <v>5752</v>
      </c>
      <c r="C166" s="28">
        <v>1</v>
      </c>
      <c r="D166" s="29">
        <v>8</v>
      </c>
      <c r="E166" s="29">
        <v>8</v>
      </c>
      <c r="F166" s="30">
        <v>19.989999999999998</v>
      </c>
      <c r="G166" s="29">
        <v>19.989999999999998</v>
      </c>
      <c r="H166" s="28" t="s">
        <v>1885</v>
      </c>
      <c r="I166" s="27" t="s">
        <v>94</v>
      </c>
      <c r="J166" s="31" t="s">
        <v>52</v>
      </c>
      <c r="K166" s="27" t="s">
        <v>196</v>
      </c>
      <c r="L166" s="27" t="s">
        <v>239</v>
      </c>
      <c r="M166" s="32" t="str">
        <f>HYPERLINK("http://slimages.macys.com/is/image/MCY/3834521 ")</f>
        <v xml:space="preserve">http://slimages.macys.com/is/image/MCY/3834521 </v>
      </c>
    </row>
    <row r="167" spans="1:13" ht="15.2" customHeight="1" x14ac:dyDescent="0.2">
      <c r="A167" s="26" t="s">
        <v>5753</v>
      </c>
      <c r="B167" s="27" t="s">
        <v>5754</v>
      </c>
      <c r="C167" s="28">
        <v>1</v>
      </c>
      <c r="D167" s="29">
        <v>8</v>
      </c>
      <c r="E167" s="29">
        <v>8</v>
      </c>
      <c r="F167" s="30">
        <v>19.989999999999998</v>
      </c>
      <c r="G167" s="29">
        <v>19.989999999999998</v>
      </c>
      <c r="H167" s="28" t="s">
        <v>2309</v>
      </c>
      <c r="I167" s="27" t="s">
        <v>215</v>
      </c>
      <c r="J167" s="31" t="s">
        <v>21</v>
      </c>
      <c r="K167" s="27" t="s">
        <v>196</v>
      </c>
      <c r="L167" s="27" t="s">
        <v>239</v>
      </c>
      <c r="M167" s="32" t="str">
        <f>HYPERLINK("http://slimages.macys.com/is/image/MCY/3719772 ")</f>
        <v xml:space="preserve">http://slimages.macys.com/is/image/MCY/3719772 </v>
      </c>
    </row>
    <row r="168" spans="1:13" ht="15.2" customHeight="1" x14ac:dyDescent="0.2">
      <c r="A168" s="26" t="s">
        <v>5755</v>
      </c>
      <c r="B168" s="27" t="s">
        <v>5756</v>
      </c>
      <c r="C168" s="28">
        <v>1</v>
      </c>
      <c r="D168" s="29">
        <v>7.95</v>
      </c>
      <c r="E168" s="29">
        <v>7.95</v>
      </c>
      <c r="F168" s="30">
        <v>19.989999999999998</v>
      </c>
      <c r="G168" s="29">
        <v>19.989999999999998</v>
      </c>
      <c r="H168" s="28" t="s">
        <v>5757</v>
      </c>
      <c r="I168" s="27" t="s">
        <v>4</v>
      </c>
      <c r="J168" s="31" t="s">
        <v>21</v>
      </c>
      <c r="K168" s="27" t="s">
        <v>196</v>
      </c>
      <c r="L168" s="27" t="s">
        <v>256</v>
      </c>
      <c r="M168" s="32" t="str">
        <f>HYPERLINK("http://slimages.macys.com/is/image/MCY/3532479 ")</f>
        <v xml:space="preserve">http://slimages.macys.com/is/image/MCY/3532479 </v>
      </c>
    </row>
    <row r="169" spans="1:13" ht="15.2" customHeight="1" x14ac:dyDescent="0.2">
      <c r="A169" s="26" t="s">
        <v>5758</v>
      </c>
      <c r="B169" s="27" t="s">
        <v>5759</v>
      </c>
      <c r="C169" s="28">
        <v>1</v>
      </c>
      <c r="D169" s="29">
        <v>7.85</v>
      </c>
      <c r="E169" s="29">
        <v>7.85</v>
      </c>
      <c r="F169" s="30">
        <v>27.99</v>
      </c>
      <c r="G169" s="29">
        <v>27.99</v>
      </c>
      <c r="H169" s="28" t="s">
        <v>1419</v>
      </c>
      <c r="I169" s="27" t="s">
        <v>39</v>
      </c>
      <c r="J169" s="31" t="s">
        <v>21</v>
      </c>
      <c r="K169" s="27" t="s">
        <v>224</v>
      </c>
      <c r="L169" s="27" t="s">
        <v>260</v>
      </c>
      <c r="M169" s="32" t="str">
        <f>HYPERLINK("http://slimages.macys.com/is/image/MCY/3798032 ")</f>
        <v xml:space="preserve">http://slimages.macys.com/is/image/MCY/3798032 </v>
      </c>
    </row>
    <row r="170" spans="1:13" ht="15.2" customHeight="1" x14ac:dyDescent="0.2">
      <c r="A170" s="26" t="s">
        <v>2345</v>
      </c>
      <c r="B170" s="27" t="s">
        <v>2346</v>
      </c>
      <c r="C170" s="28">
        <v>1</v>
      </c>
      <c r="D170" s="29">
        <v>7.63</v>
      </c>
      <c r="E170" s="29">
        <v>7.63</v>
      </c>
      <c r="F170" s="30">
        <v>22.5</v>
      </c>
      <c r="G170" s="29">
        <v>22.5</v>
      </c>
      <c r="H170" s="28" t="s">
        <v>2331</v>
      </c>
      <c r="I170" s="27" t="s">
        <v>4</v>
      </c>
      <c r="J170" s="31" t="s">
        <v>40</v>
      </c>
      <c r="K170" s="27" t="s">
        <v>53</v>
      </c>
      <c r="L170" s="27" t="s">
        <v>372</v>
      </c>
      <c r="M170" s="32" t="str">
        <f>HYPERLINK("http://slimages.macys.com/is/image/MCY/2217104 ")</f>
        <v xml:space="preserve">http://slimages.macys.com/is/image/MCY/2217104 </v>
      </c>
    </row>
    <row r="171" spans="1:13" ht="15.2" customHeight="1" x14ac:dyDescent="0.2">
      <c r="A171" s="26" t="s">
        <v>2343</v>
      </c>
      <c r="B171" s="27" t="s">
        <v>2344</v>
      </c>
      <c r="C171" s="28">
        <v>1</v>
      </c>
      <c r="D171" s="29">
        <v>7.63</v>
      </c>
      <c r="E171" s="29">
        <v>7.63</v>
      </c>
      <c r="F171" s="30">
        <v>22.5</v>
      </c>
      <c r="G171" s="29">
        <v>22.5</v>
      </c>
      <c r="H171" s="28" t="s">
        <v>2331</v>
      </c>
      <c r="I171" s="27" t="s">
        <v>4</v>
      </c>
      <c r="J171" s="31" t="s">
        <v>52</v>
      </c>
      <c r="K171" s="27" t="s">
        <v>53</v>
      </c>
      <c r="L171" s="27" t="s">
        <v>372</v>
      </c>
      <c r="M171" s="32" t="str">
        <f>HYPERLINK("http://slimages.macys.com/is/image/MCY/2217104 ")</f>
        <v xml:space="preserve">http://slimages.macys.com/is/image/MCY/2217104 </v>
      </c>
    </row>
    <row r="172" spans="1:13" ht="15.2" customHeight="1" x14ac:dyDescent="0.2">
      <c r="A172" s="26" t="s">
        <v>2337</v>
      </c>
      <c r="B172" s="27" t="s">
        <v>2338</v>
      </c>
      <c r="C172" s="28">
        <v>1</v>
      </c>
      <c r="D172" s="29">
        <v>7.63</v>
      </c>
      <c r="E172" s="29">
        <v>7.63</v>
      </c>
      <c r="F172" s="30">
        <v>22.5</v>
      </c>
      <c r="G172" s="29">
        <v>22.5</v>
      </c>
      <c r="H172" s="28" t="s">
        <v>2334</v>
      </c>
      <c r="I172" s="27" t="s">
        <v>4</v>
      </c>
      <c r="J172" s="31" t="s">
        <v>21</v>
      </c>
      <c r="K172" s="27" t="s">
        <v>53</v>
      </c>
      <c r="L172" s="27" t="s">
        <v>372</v>
      </c>
      <c r="M172" s="32" t="str">
        <f>HYPERLINK("http://slimages.macys.com/is/image/MCY/2217105 ")</f>
        <v xml:space="preserve">http://slimages.macys.com/is/image/MCY/2217105 </v>
      </c>
    </row>
    <row r="173" spans="1:13" ht="15.2" customHeight="1" x14ac:dyDescent="0.2">
      <c r="A173" s="26" t="s">
        <v>2329</v>
      </c>
      <c r="B173" s="27" t="s">
        <v>2330</v>
      </c>
      <c r="C173" s="28">
        <v>1</v>
      </c>
      <c r="D173" s="29">
        <v>7.63</v>
      </c>
      <c r="E173" s="29">
        <v>7.63</v>
      </c>
      <c r="F173" s="30">
        <v>22.5</v>
      </c>
      <c r="G173" s="29">
        <v>22.5</v>
      </c>
      <c r="H173" s="28" t="s">
        <v>2331</v>
      </c>
      <c r="I173" s="27" t="s">
        <v>4</v>
      </c>
      <c r="J173" s="31" t="s">
        <v>5</v>
      </c>
      <c r="K173" s="27" t="s">
        <v>53</v>
      </c>
      <c r="L173" s="27" t="s">
        <v>372</v>
      </c>
      <c r="M173" s="32" t="str">
        <f>HYPERLINK("http://slimages.macys.com/is/image/MCY/2217104 ")</f>
        <v xml:space="preserve">http://slimages.macys.com/is/image/MCY/2217104 </v>
      </c>
    </row>
    <row r="174" spans="1:13" ht="15.2" customHeight="1" x14ac:dyDescent="0.2">
      <c r="A174" s="26" t="s">
        <v>2341</v>
      </c>
      <c r="B174" s="27" t="s">
        <v>2342</v>
      </c>
      <c r="C174" s="28">
        <v>1</v>
      </c>
      <c r="D174" s="29">
        <v>7.63</v>
      </c>
      <c r="E174" s="29">
        <v>7.63</v>
      </c>
      <c r="F174" s="30">
        <v>22.5</v>
      </c>
      <c r="G174" s="29">
        <v>22.5</v>
      </c>
      <c r="H174" s="28" t="s">
        <v>2334</v>
      </c>
      <c r="I174" s="27" t="s">
        <v>4</v>
      </c>
      <c r="J174" s="31" t="s">
        <v>5</v>
      </c>
      <c r="K174" s="27" t="s">
        <v>53</v>
      </c>
      <c r="L174" s="27" t="s">
        <v>372</v>
      </c>
      <c r="M174" s="32" t="str">
        <f>HYPERLINK("http://slimages.macys.com/is/image/MCY/2217105 ")</f>
        <v xml:space="preserve">http://slimages.macys.com/is/image/MCY/2217105 </v>
      </c>
    </row>
    <row r="175" spans="1:13" ht="15.2" customHeight="1" x14ac:dyDescent="0.2">
      <c r="A175" s="26" t="s">
        <v>2339</v>
      </c>
      <c r="B175" s="27" t="s">
        <v>2340</v>
      </c>
      <c r="C175" s="28">
        <v>3</v>
      </c>
      <c r="D175" s="29">
        <v>7.63</v>
      </c>
      <c r="E175" s="29">
        <v>22.89</v>
      </c>
      <c r="F175" s="30">
        <v>22.5</v>
      </c>
      <c r="G175" s="29">
        <v>67.5</v>
      </c>
      <c r="H175" s="28" t="s">
        <v>2331</v>
      </c>
      <c r="I175" s="27" t="s">
        <v>4</v>
      </c>
      <c r="J175" s="31" t="s">
        <v>21</v>
      </c>
      <c r="K175" s="27" t="s">
        <v>53</v>
      </c>
      <c r="L175" s="27" t="s">
        <v>372</v>
      </c>
      <c r="M175" s="32" t="str">
        <f>HYPERLINK("http://slimages.macys.com/is/image/MCY/2217104 ")</f>
        <v xml:space="preserve">http://slimages.macys.com/is/image/MCY/2217104 </v>
      </c>
    </row>
    <row r="176" spans="1:13" ht="15.2" customHeight="1" x14ac:dyDescent="0.2">
      <c r="A176" s="26" t="s">
        <v>2979</v>
      </c>
      <c r="B176" s="27" t="s">
        <v>2980</v>
      </c>
      <c r="C176" s="28">
        <v>2</v>
      </c>
      <c r="D176" s="29">
        <v>7.55</v>
      </c>
      <c r="E176" s="29">
        <v>15.1</v>
      </c>
      <c r="F176" s="30">
        <v>22.5</v>
      </c>
      <c r="G176" s="29">
        <v>45</v>
      </c>
      <c r="H176" s="28" t="s">
        <v>1423</v>
      </c>
      <c r="I176" s="27" t="s">
        <v>4</v>
      </c>
      <c r="J176" s="31"/>
      <c r="K176" s="27" t="s">
        <v>53</v>
      </c>
      <c r="L176" s="27" t="s">
        <v>372</v>
      </c>
      <c r="M176" s="32" t="str">
        <f>HYPERLINK("http://slimages.macys.com/is/image/MCY/1506837 ")</f>
        <v xml:space="preserve">http://slimages.macys.com/is/image/MCY/1506837 </v>
      </c>
    </row>
    <row r="177" spans="1:13" ht="15.2" customHeight="1" x14ac:dyDescent="0.2">
      <c r="A177" s="26" t="s">
        <v>1421</v>
      </c>
      <c r="B177" s="27" t="s">
        <v>1422</v>
      </c>
      <c r="C177" s="28">
        <v>5</v>
      </c>
      <c r="D177" s="29">
        <v>7.55</v>
      </c>
      <c r="E177" s="29">
        <v>37.75</v>
      </c>
      <c r="F177" s="30">
        <v>22.5</v>
      </c>
      <c r="G177" s="29">
        <v>112.5</v>
      </c>
      <c r="H177" s="28" t="s">
        <v>1423</v>
      </c>
      <c r="I177" s="27" t="s">
        <v>4</v>
      </c>
      <c r="J177" s="31"/>
      <c r="K177" s="27" t="s">
        <v>53</v>
      </c>
      <c r="L177" s="27" t="s">
        <v>372</v>
      </c>
      <c r="M177" s="32" t="str">
        <f>HYPERLINK("http://slimages.macys.com/is/image/MCY/1506837 ")</f>
        <v xml:space="preserve">http://slimages.macys.com/is/image/MCY/1506837 </v>
      </c>
    </row>
    <row r="178" spans="1:13" ht="15.2" customHeight="1" x14ac:dyDescent="0.2">
      <c r="A178" s="26" t="s">
        <v>4353</v>
      </c>
      <c r="B178" s="27" t="s">
        <v>4354</v>
      </c>
      <c r="C178" s="28">
        <v>1</v>
      </c>
      <c r="D178" s="29">
        <v>7.5</v>
      </c>
      <c r="E178" s="29">
        <v>7.5</v>
      </c>
      <c r="F178" s="30">
        <v>19.989999999999998</v>
      </c>
      <c r="G178" s="29">
        <v>19.989999999999998</v>
      </c>
      <c r="H178" s="28" t="s">
        <v>3438</v>
      </c>
      <c r="I178" s="27" t="s">
        <v>59</v>
      </c>
      <c r="J178" s="31" t="s">
        <v>5</v>
      </c>
      <c r="K178" s="27" t="s">
        <v>196</v>
      </c>
      <c r="L178" s="27" t="s">
        <v>336</v>
      </c>
      <c r="M178" s="32" t="str">
        <f>HYPERLINK("http://slimages.macys.com/is/image/MCY/3660171 ")</f>
        <v xml:space="preserve">http://slimages.macys.com/is/image/MCY/3660171 </v>
      </c>
    </row>
    <row r="179" spans="1:13" ht="15.2" customHeight="1" x14ac:dyDescent="0.2">
      <c r="A179" s="26" t="s">
        <v>5760</v>
      </c>
      <c r="B179" s="27" t="s">
        <v>5761</v>
      </c>
      <c r="C179" s="28">
        <v>1</v>
      </c>
      <c r="D179" s="29">
        <v>7.5</v>
      </c>
      <c r="E179" s="29">
        <v>7.5</v>
      </c>
      <c r="F179" s="30">
        <v>19.989999999999998</v>
      </c>
      <c r="G179" s="29">
        <v>19.989999999999998</v>
      </c>
      <c r="H179" s="28" t="s">
        <v>1900</v>
      </c>
      <c r="I179" s="27" t="s">
        <v>189</v>
      </c>
      <c r="J179" s="31" t="s">
        <v>21</v>
      </c>
      <c r="K179" s="27" t="s">
        <v>196</v>
      </c>
      <c r="L179" s="27" t="s">
        <v>225</v>
      </c>
      <c r="M179" s="32" t="str">
        <f>HYPERLINK("http://slimages.macys.com/is/image/MCY/3953461 ")</f>
        <v xml:space="preserve">http://slimages.macys.com/is/image/MCY/3953461 </v>
      </c>
    </row>
    <row r="180" spans="1:13" ht="15.2" customHeight="1" x14ac:dyDescent="0.2">
      <c r="A180" s="26" t="s">
        <v>2349</v>
      </c>
      <c r="B180" s="27" t="s">
        <v>2350</v>
      </c>
      <c r="C180" s="28">
        <v>1</v>
      </c>
      <c r="D180" s="29">
        <v>7.5</v>
      </c>
      <c r="E180" s="29">
        <v>7.5</v>
      </c>
      <c r="F180" s="30">
        <v>19.989999999999998</v>
      </c>
      <c r="G180" s="29">
        <v>19.989999999999998</v>
      </c>
      <c r="H180" s="28" t="s">
        <v>1427</v>
      </c>
      <c r="I180" s="27" t="s">
        <v>26</v>
      </c>
      <c r="J180" s="31" t="s">
        <v>40</v>
      </c>
      <c r="K180" s="27" t="s">
        <v>196</v>
      </c>
      <c r="L180" s="27" t="s">
        <v>336</v>
      </c>
      <c r="M180" s="32" t="str">
        <f>HYPERLINK("http://slimages.macys.com/is/image/MCY/3852983 ")</f>
        <v xml:space="preserve">http://slimages.macys.com/is/image/MCY/3852983 </v>
      </c>
    </row>
    <row r="181" spans="1:13" ht="15.2" customHeight="1" x14ac:dyDescent="0.2">
      <c r="A181" s="26" t="s">
        <v>1431</v>
      </c>
      <c r="B181" s="27" t="s">
        <v>1432</v>
      </c>
      <c r="C181" s="28">
        <v>1</v>
      </c>
      <c r="D181" s="29">
        <v>7.5</v>
      </c>
      <c r="E181" s="29">
        <v>7.5</v>
      </c>
      <c r="F181" s="30">
        <v>19.989999999999998</v>
      </c>
      <c r="G181" s="29">
        <v>19.989999999999998</v>
      </c>
      <c r="H181" s="28" t="s">
        <v>1433</v>
      </c>
      <c r="I181" s="27" t="s">
        <v>690</v>
      </c>
      <c r="J181" s="31" t="s">
        <v>40</v>
      </c>
      <c r="K181" s="27" t="s">
        <v>196</v>
      </c>
      <c r="L181" s="27" t="s">
        <v>336</v>
      </c>
      <c r="M181" s="32" t="str">
        <f>HYPERLINK("http://slimages.macys.com/is/image/MCY/3821001 ")</f>
        <v xml:space="preserve">http://slimages.macys.com/is/image/MCY/3821001 </v>
      </c>
    </row>
    <row r="182" spans="1:13" ht="15.2" customHeight="1" x14ac:dyDescent="0.2">
      <c r="A182" s="26" t="s">
        <v>5762</v>
      </c>
      <c r="B182" s="27" t="s">
        <v>5763</v>
      </c>
      <c r="C182" s="28">
        <v>1</v>
      </c>
      <c r="D182" s="29">
        <v>7.5</v>
      </c>
      <c r="E182" s="29">
        <v>7.5</v>
      </c>
      <c r="F182" s="30">
        <v>19.989999999999998</v>
      </c>
      <c r="G182" s="29">
        <v>19.989999999999998</v>
      </c>
      <c r="H182" s="28" t="s">
        <v>1427</v>
      </c>
      <c r="I182" s="27" t="s">
        <v>144</v>
      </c>
      <c r="J182" s="31" t="s">
        <v>40</v>
      </c>
      <c r="K182" s="27" t="s">
        <v>196</v>
      </c>
      <c r="L182" s="27" t="s">
        <v>336</v>
      </c>
      <c r="M182" s="32" t="str">
        <f>HYPERLINK("http://slimages.macys.com/is/image/MCY/3852983 ")</f>
        <v xml:space="preserve">http://slimages.macys.com/is/image/MCY/3852983 </v>
      </c>
    </row>
    <row r="183" spans="1:13" ht="15.2" customHeight="1" x14ac:dyDescent="0.2">
      <c r="A183" s="26" t="s">
        <v>5764</v>
      </c>
      <c r="B183" s="27" t="s">
        <v>5765</v>
      </c>
      <c r="C183" s="28">
        <v>1</v>
      </c>
      <c r="D183" s="29">
        <v>7.5</v>
      </c>
      <c r="E183" s="29">
        <v>7.5</v>
      </c>
      <c r="F183" s="30">
        <v>19.989999999999998</v>
      </c>
      <c r="G183" s="29">
        <v>19.989999999999998</v>
      </c>
      <c r="H183" s="28" t="s">
        <v>1427</v>
      </c>
      <c r="I183" s="27" t="s">
        <v>144</v>
      </c>
      <c r="J183" s="31" t="s">
        <v>21</v>
      </c>
      <c r="K183" s="27" t="s">
        <v>196</v>
      </c>
      <c r="L183" s="27" t="s">
        <v>336</v>
      </c>
      <c r="M183" s="32" t="str">
        <f>HYPERLINK("http://slimages.macys.com/is/image/MCY/3852983 ")</f>
        <v xml:space="preserve">http://slimages.macys.com/is/image/MCY/3852983 </v>
      </c>
    </row>
    <row r="184" spans="1:13" ht="15.2" customHeight="1" x14ac:dyDescent="0.2">
      <c r="A184" s="26" t="s">
        <v>5766</v>
      </c>
      <c r="B184" s="27" t="s">
        <v>5767</v>
      </c>
      <c r="C184" s="28">
        <v>2</v>
      </c>
      <c r="D184" s="29">
        <v>7.5</v>
      </c>
      <c r="E184" s="29">
        <v>15</v>
      </c>
      <c r="F184" s="30">
        <v>19.989999999999998</v>
      </c>
      <c r="G184" s="29">
        <v>39.979999999999997</v>
      </c>
      <c r="H184" s="28" t="s">
        <v>1427</v>
      </c>
      <c r="I184" s="27" t="s">
        <v>144</v>
      </c>
      <c r="J184" s="31" t="s">
        <v>5</v>
      </c>
      <c r="K184" s="27" t="s">
        <v>196</v>
      </c>
      <c r="L184" s="27" t="s">
        <v>336</v>
      </c>
      <c r="M184" s="32" t="str">
        <f>HYPERLINK("http://slimages.macys.com/is/image/MCY/3852983 ")</f>
        <v xml:space="preserve">http://slimages.macys.com/is/image/MCY/3852983 </v>
      </c>
    </row>
    <row r="185" spans="1:13" ht="15.2" customHeight="1" x14ac:dyDescent="0.2">
      <c r="A185" s="26" t="s">
        <v>1896</v>
      </c>
      <c r="B185" s="27" t="s">
        <v>1897</v>
      </c>
      <c r="C185" s="28">
        <v>1</v>
      </c>
      <c r="D185" s="29">
        <v>7.5</v>
      </c>
      <c r="E185" s="29">
        <v>7.5</v>
      </c>
      <c r="F185" s="30">
        <v>19.989999999999998</v>
      </c>
      <c r="G185" s="29">
        <v>19.989999999999998</v>
      </c>
      <c r="H185" s="28" t="s">
        <v>1427</v>
      </c>
      <c r="I185" s="27" t="s">
        <v>4</v>
      </c>
      <c r="J185" s="31" t="s">
        <v>21</v>
      </c>
      <c r="K185" s="27" t="s">
        <v>196</v>
      </c>
      <c r="L185" s="27" t="s">
        <v>336</v>
      </c>
      <c r="M185" s="32" t="str">
        <f>HYPERLINK("http://slimages.macys.com/is/image/MCY/3852983 ")</f>
        <v xml:space="preserve">http://slimages.macys.com/is/image/MCY/3852983 </v>
      </c>
    </row>
    <row r="186" spans="1:13" ht="15.2" customHeight="1" x14ac:dyDescent="0.2">
      <c r="A186" s="26" t="s">
        <v>5768</v>
      </c>
      <c r="B186" s="27" t="s">
        <v>5769</v>
      </c>
      <c r="C186" s="28">
        <v>1</v>
      </c>
      <c r="D186" s="29">
        <v>7.48</v>
      </c>
      <c r="E186" s="29">
        <v>7.48</v>
      </c>
      <c r="F186" s="30">
        <v>22.5</v>
      </c>
      <c r="G186" s="29">
        <v>22.5</v>
      </c>
      <c r="H186" s="28" t="s">
        <v>863</v>
      </c>
      <c r="I186" s="27" t="s">
        <v>207</v>
      </c>
      <c r="J186" s="31" t="s">
        <v>40</v>
      </c>
      <c r="K186" s="27" t="s">
        <v>53</v>
      </c>
      <c r="L186" s="27" t="s">
        <v>123</v>
      </c>
      <c r="M186" s="32" t="str">
        <f>HYPERLINK("http://slimages.macys.com/is/image/MCY/3061030 ")</f>
        <v xml:space="preserve">http://slimages.macys.com/is/image/MCY/3061030 </v>
      </c>
    </row>
    <row r="187" spans="1:13" ht="15.2" customHeight="1" x14ac:dyDescent="0.2">
      <c r="A187" s="26" t="s">
        <v>5770</v>
      </c>
      <c r="B187" s="27" t="s">
        <v>5771</v>
      </c>
      <c r="C187" s="28">
        <v>1</v>
      </c>
      <c r="D187" s="29">
        <v>7.25</v>
      </c>
      <c r="E187" s="29">
        <v>7.25</v>
      </c>
      <c r="F187" s="30">
        <v>16.989999999999998</v>
      </c>
      <c r="G187" s="29">
        <v>16.989999999999998</v>
      </c>
      <c r="H187" s="28" t="s">
        <v>2351</v>
      </c>
      <c r="I187" s="27" t="s">
        <v>4</v>
      </c>
      <c r="J187" s="31" t="s">
        <v>21</v>
      </c>
      <c r="K187" s="27" t="s">
        <v>196</v>
      </c>
      <c r="L187" s="27" t="s">
        <v>239</v>
      </c>
      <c r="M187" s="32" t="str">
        <f>HYPERLINK("http://slimages.macys.com/is/image/MCY/3614757 ")</f>
        <v xml:space="preserve">http://slimages.macys.com/is/image/MCY/3614757 </v>
      </c>
    </row>
    <row r="188" spans="1:13" ht="15.2" customHeight="1" x14ac:dyDescent="0.2">
      <c r="A188" s="26" t="s">
        <v>3904</v>
      </c>
      <c r="B188" s="27" t="s">
        <v>3905</v>
      </c>
      <c r="C188" s="28">
        <v>1</v>
      </c>
      <c r="D188" s="29">
        <v>7</v>
      </c>
      <c r="E188" s="29">
        <v>7</v>
      </c>
      <c r="F188" s="30">
        <v>19.989999999999998</v>
      </c>
      <c r="G188" s="29">
        <v>19.989999999999998</v>
      </c>
      <c r="H188" s="28" t="s">
        <v>380</v>
      </c>
      <c r="I188" s="27" t="s">
        <v>8</v>
      </c>
      <c r="J188" s="31" t="s">
        <v>21</v>
      </c>
      <c r="K188" s="27" t="s">
        <v>196</v>
      </c>
      <c r="L188" s="27" t="s">
        <v>260</v>
      </c>
      <c r="M188" s="32" t="str">
        <f>HYPERLINK("http://slimages.macys.com/is/image/MCY/3910801 ")</f>
        <v xml:space="preserve">http://slimages.macys.com/is/image/MCY/3910801 </v>
      </c>
    </row>
    <row r="189" spans="1:13" ht="15.2" customHeight="1" x14ac:dyDescent="0.2">
      <c r="A189" s="26" t="s">
        <v>4358</v>
      </c>
      <c r="B189" s="27" t="s">
        <v>4359</v>
      </c>
      <c r="C189" s="28">
        <v>1</v>
      </c>
      <c r="D189" s="29">
        <v>7</v>
      </c>
      <c r="E189" s="29">
        <v>7</v>
      </c>
      <c r="F189" s="30">
        <v>19.989999999999998</v>
      </c>
      <c r="G189" s="29">
        <v>19.989999999999998</v>
      </c>
      <c r="H189" s="28" t="s">
        <v>1909</v>
      </c>
      <c r="I189" s="27" t="s">
        <v>82</v>
      </c>
      <c r="J189" s="31" t="s">
        <v>21</v>
      </c>
      <c r="K189" s="27" t="s">
        <v>282</v>
      </c>
      <c r="L189" s="27" t="s">
        <v>358</v>
      </c>
      <c r="M189" s="32" t="str">
        <f>HYPERLINK("http://slimages.macys.com/is/image/MCY/3773262 ")</f>
        <v xml:space="preserve">http://slimages.macys.com/is/image/MCY/3773262 </v>
      </c>
    </row>
    <row r="190" spans="1:13" ht="15.2" customHeight="1" x14ac:dyDescent="0.2">
      <c r="A190" s="26" t="s">
        <v>1907</v>
      </c>
      <c r="B190" s="27" t="s">
        <v>1908</v>
      </c>
      <c r="C190" s="28">
        <v>1</v>
      </c>
      <c r="D190" s="29">
        <v>7</v>
      </c>
      <c r="E190" s="29">
        <v>7</v>
      </c>
      <c r="F190" s="30">
        <v>19.989999999999998</v>
      </c>
      <c r="G190" s="29">
        <v>19.989999999999998</v>
      </c>
      <c r="H190" s="28" t="s">
        <v>1909</v>
      </c>
      <c r="I190" s="27" t="s">
        <v>82</v>
      </c>
      <c r="J190" s="31" t="s">
        <v>71</v>
      </c>
      <c r="K190" s="27" t="s">
        <v>282</v>
      </c>
      <c r="L190" s="27" t="s">
        <v>358</v>
      </c>
      <c r="M190" s="32" t="str">
        <f>HYPERLINK("http://slimages.macys.com/is/image/MCY/3773262 ")</f>
        <v xml:space="preserve">http://slimages.macys.com/is/image/MCY/3773262 </v>
      </c>
    </row>
    <row r="191" spans="1:13" ht="15.2" customHeight="1" x14ac:dyDescent="0.2">
      <c r="A191" s="26" t="s">
        <v>5772</v>
      </c>
      <c r="B191" s="27" t="s">
        <v>5773</v>
      </c>
      <c r="C191" s="28">
        <v>1</v>
      </c>
      <c r="D191" s="29">
        <v>7</v>
      </c>
      <c r="E191" s="29">
        <v>7</v>
      </c>
      <c r="F191" s="30">
        <v>19.989999999999998</v>
      </c>
      <c r="G191" s="29">
        <v>19.989999999999998</v>
      </c>
      <c r="H191" s="28" t="s">
        <v>2984</v>
      </c>
      <c r="I191" s="27" t="s">
        <v>189</v>
      </c>
      <c r="J191" s="31" t="s">
        <v>5</v>
      </c>
      <c r="K191" s="27" t="s">
        <v>196</v>
      </c>
      <c r="L191" s="27" t="s">
        <v>239</v>
      </c>
      <c r="M191" s="32" t="str">
        <f>HYPERLINK("http://slimages.macys.com/is/image/MCY/3685480 ")</f>
        <v xml:space="preserve">http://slimages.macys.com/is/image/MCY/3685480 </v>
      </c>
    </row>
    <row r="192" spans="1:13" ht="15.2" customHeight="1" x14ac:dyDescent="0.2">
      <c r="A192" s="26" t="s">
        <v>384</v>
      </c>
      <c r="B192" s="27" t="s">
        <v>385</v>
      </c>
      <c r="C192" s="28">
        <v>1</v>
      </c>
      <c r="D192" s="29">
        <v>7</v>
      </c>
      <c r="E192" s="29">
        <v>7</v>
      </c>
      <c r="F192" s="30">
        <v>19.989999999999998</v>
      </c>
      <c r="G192" s="29">
        <v>19.989999999999998</v>
      </c>
      <c r="H192" s="28" t="s">
        <v>380</v>
      </c>
      <c r="I192" s="27" t="s">
        <v>189</v>
      </c>
      <c r="J192" s="31" t="s">
        <v>5</v>
      </c>
      <c r="K192" s="27" t="s">
        <v>196</v>
      </c>
      <c r="L192" s="27" t="s">
        <v>260</v>
      </c>
      <c r="M192" s="32" t="str">
        <f>HYPERLINK("http://slimages.macys.com/is/image/MCY/3910801 ")</f>
        <v xml:space="preserve">http://slimages.macys.com/is/image/MCY/3910801 </v>
      </c>
    </row>
    <row r="193" spans="1:13" ht="15.2" customHeight="1" x14ac:dyDescent="0.2">
      <c r="A193" s="26" t="s">
        <v>5774</v>
      </c>
      <c r="B193" s="27" t="s">
        <v>5775</v>
      </c>
      <c r="C193" s="28">
        <v>1</v>
      </c>
      <c r="D193" s="29">
        <v>7</v>
      </c>
      <c r="E193" s="29">
        <v>7</v>
      </c>
      <c r="F193" s="30">
        <v>19.989999999999998</v>
      </c>
      <c r="G193" s="29">
        <v>19.989999999999998</v>
      </c>
      <c r="H193" s="28" t="s">
        <v>380</v>
      </c>
      <c r="I193" s="27" t="s">
        <v>39</v>
      </c>
      <c r="J193" s="31" t="s">
        <v>40</v>
      </c>
      <c r="K193" s="27" t="s">
        <v>196</v>
      </c>
      <c r="L193" s="27" t="s">
        <v>260</v>
      </c>
      <c r="M193" s="32" t="str">
        <f>HYPERLINK("http://slimages.macys.com/is/image/MCY/3910801 ")</f>
        <v xml:space="preserve">http://slimages.macys.com/is/image/MCY/3910801 </v>
      </c>
    </row>
    <row r="194" spans="1:13" ht="15.2" customHeight="1" x14ac:dyDescent="0.2">
      <c r="A194" s="26" t="s">
        <v>5776</v>
      </c>
      <c r="B194" s="27" t="s">
        <v>5777</v>
      </c>
      <c r="C194" s="28">
        <v>2</v>
      </c>
      <c r="D194" s="29">
        <v>6.75</v>
      </c>
      <c r="E194" s="29">
        <v>13.5</v>
      </c>
      <c r="F194" s="30">
        <v>16.989999999999998</v>
      </c>
      <c r="G194" s="29">
        <v>33.979999999999997</v>
      </c>
      <c r="H194" s="28" t="s">
        <v>1917</v>
      </c>
      <c r="I194" s="27" t="s">
        <v>306</v>
      </c>
      <c r="J194" s="31" t="s">
        <v>21</v>
      </c>
      <c r="K194" s="27" t="s">
        <v>196</v>
      </c>
      <c r="L194" s="27" t="s">
        <v>239</v>
      </c>
      <c r="M194" s="32" t="str">
        <f>HYPERLINK("http://slimages.macys.com/is/image/MCY/3606639 ")</f>
        <v xml:space="preserve">http://slimages.macys.com/is/image/MCY/3606639 </v>
      </c>
    </row>
    <row r="195" spans="1:13" ht="15.2" customHeight="1" x14ac:dyDescent="0.2">
      <c r="A195" s="26" t="s">
        <v>5778</v>
      </c>
      <c r="B195" s="27" t="s">
        <v>5779</v>
      </c>
      <c r="C195" s="28">
        <v>1</v>
      </c>
      <c r="D195" s="29">
        <v>6.75</v>
      </c>
      <c r="E195" s="29">
        <v>6.75</v>
      </c>
      <c r="F195" s="30">
        <v>12.99</v>
      </c>
      <c r="G195" s="29">
        <v>12.99</v>
      </c>
      <c r="H195" s="28" t="s">
        <v>4360</v>
      </c>
      <c r="I195" s="27" t="s">
        <v>215</v>
      </c>
      <c r="J195" s="31" t="s">
        <v>71</v>
      </c>
      <c r="K195" s="27" t="s">
        <v>282</v>
      </c>
      <c r="L195" s="27" t="s">
        <v>225</v>
      </c>
      <c r="M195" s="32" t="str">
        <f>HYPERLINK("http://slimages.macys.com/is/image/MCY/3859753 ")</f>
        <v xml:space="preserve">http://slimages.macys.com/is/image/MCY/3859753 </v>
      </c>
    </row>
    <row r="196" spans="1:13" ht="15.2" customHeight="1" x14ac:dyDescent="0.2">
      <c r="A196" s="26" t="s">
        <v>5546</v>
      </c>
      <c r="B196" s="27" t="s">
        <v>5547</v>
      </c>
      <c r="C196" s="28">
        <v>2</v>
      </c>
      <c r="D196" s="29">
        <v>6.75</v>
      </c>
      <c r="E196" s="29">
        <v>13.5</v>
      </c>
      <c r="F196" s="30">
        <v>12.99</v>
      </c>
      <c r="G196" s="29">
        <v>25.98</v>
      </c>
      <c r="H196" s="28" t="s">
        <v>4360</v>
      </c>
      <c r="I196" s="27" t="s">
        <v>215</v>
      </c>
      <c r="J196" s="31" t="s">
        <v>5</v>
      </c>
      <c r="K196" s="27" t="s">
        <v>282</v>
      </c>
      <c r="L196" s="27" t="s">
        <v>225</v>
      </c>
      <c r="M196" s="32" t="str">
        <f>HYPERLINK("http://slimages.macys.com/is/image/MCY/3859753 ")</f>
        <v xml:space="preserve">http://slimages.macys.com/is/image/MCY/3859753 </v>
      </c>
    </row>
    <row r="197" spans="1:13" ht="15.2" customHeight="1" x14ac:dyDescent="0.2">
      <c r="A197" s="26" t="s">
        <v>5780</v>
      </c>
      <c r="B197" s="27" t="s">
        <v>5781</v>
      </c>
      <c r="C197" s="28">
        <v>1</v>
      </c>
      <c r="D197" s="29">
        <v>6.3</v>
      </c>
      <c r="E197" s="29">
        <v>6.3</v>
      </c>
      <c r="F197" s="30">
        <v>14.99</v>
      </c>
      <c r="G197" s="29">
        <v>14.99</v>
      </c>
      <c r="H197" s="28" t="s">
        <v>1925</v>
      </c>
      <c r="I197" s="27" t="s">
        <v>82</v>
      </c>
      <c r="J197" s="31" t="s">
        <v>71</v>
      </c>
      <c r="K197" s="27" t="s">
        <v>159</v>
      </c>
      <c r="L197" s="27" t="s">
        <v>160</v>
      </c>
      <c r="M197" s="32" t="str">
        <f>HYPERLINK("http://slimages.macys.com/is/image/MCY/3953479 ")</f>
        <v xml:space="preserve">http://slimages.macys.com/is/image/MCY/3953479 </v>
      </c>
    </row>
    <row r="198" spans="1:13" ht="15.2" customHeight="1" x14ac:dyDescent="0.2">
      <c r="A198" s="26" t="s">
        <v>2677</v>
      </c>
      <c r="B198" s="27" t="s">
        <v>2678</v>
      </c>
      <c r="C198" s="28">
        <v>1</v>
      </c>
      <c r="D198" s="29">
        <v>6.3</v>
      </c>
      <c r="E198" s="29">
        <v>6.3</v>
      </c>
      <c r="F198" s="30">
        <v>14.99</v>
      </c>
      <c r="G198" s="29">
        <v>14.99</v>
      </c>
      <c r="H198" s="28" t="s">
        <v>2679</v>
      </c>
      <c r="I198" s="27" t="s">
        <v>4</v>
      </c>
      <c r="J198" s="31" t="s">
        <v>40</v>
      </c>
      <c r="K198" s="27" t="s">
        <v>159</v>
      </c>
      <c r="L198" s="27" t="s">
        <v>160</v>
      </c>
      <c r="M198" s="32" t="str">
        <f>HYPERLINK("http://slimages.macys.com/is/image/MCY/3876250 ")</f>
        <v xml:space="preserve">http://slimages.macys.com/is/image/MCY/3876250 </v>
      </c>
    </row>
    <row r="199" spans="1:13" ht="15.2" customHeight="1" x14ac:dyDescent="0.2">
      <c r="A199" s="26" t="s">
        <v>880</v>
      </c>
      <c r="B199" s="27" t="s">
        <v>881</v>
      </c>
      <c r="C199" s="28">
        <v>1</v>
      </c>
      <c r="D199" s="29">
        <v>6.3</v>
      </c>
      <c r="E199" s="29">
        <v>6.3</v>
      </c>
      <c r="F199" s="30">
        <v>14.99</v>
      </c>
      <c r="G199" s="29">
        <v>14.99</v>
      </c>
      <c r="H199" s="28" t="s">
        <v>397</v>
      </c>
      <c r="I199" s="27" t="s">
        <v>36</v>
      </c>
      <c r="J199" s="31" t="s">
        <v>71</v>
      </c>
      <c r="K199" s="27" t="s">
        <v>159</v>
      </c>
      <c r="L199" s="27" t="s">
        <v>160</v>
      </c>
      <c r="M199" s="32" t="str">
        <f>HYPERLINK("http://slimages.macys.com/is/image/MCY/3876250 ")</f>
        <v xml:space="preserve">http://slimages.macys.com/is/image/MCY/3876250 </v>
      </c>
    </row>
    <row r="200" spans="1:13" ht="15.2" customHeight="1" x14ac:dyDescent="0.2">
      <c r="A200" s="26" t="s">
        <v>5782</v>
      </c>
      <c r="B200" s="27" t="s">
        <v>5783</v>
      </c>
      <c r="C200" s="28">
        <v>1</v>
      </c>
      <c r="D200" s="29">
        <v>6.3</v>
      </c>
      <c r="E200" s="29">
        <v>6.3</v>
      </c>
      <c r="F200" s="30">
        <v>14.99</v>
      </c>
      <c r="G200" s="29">
        <v>14.99</v>
      </c>
      <c r="H200" s="28" t="s">
        <v>2684</v>
      </c>
      <c r="I200" s="27" t="s">
        <v>291</v>
      </c>
      <c r="J200" s="31" t="s">
        <v>5</v>
      </c>
      <c r="K200" s="27" t="s">
        <v>159</v>
      </c>
      <c r="L200" s="27" t="s">
        <v>160</v>
      </c>
      <c r="M200" s="32" t="str">
        <f>HYPERLINK("http://slimages.macys.com/is/image/MCY/3722527 ")</f>
        <v xml:space="preserve">http://slimages.macys.com/is/image/MCY/3722527 </v>
      </c>
    </row>
    <row r="201" spans="1:13" ht="15.2" customHeight="1" x14ac:dyDescent="0.2">
      <c r="A201" s="26" t="s">
        <v>2680</v>
      </c>
      <c r="B201" s="27" t="s">
        <v>2681</v>
      </c>
      <c r="C201" s="28">
        <v>1</v>
      </c>
      <c r="D201" s="29">
        <v>6.3</v>
      </c>
      <c r="E201" s="29">
        <v>6.3</v>
      </c>
      <c r="F201" s="30">
        <v>14.99</v>
      </c>
      <c r="G201" s="29">
        <v>14.99</v>
      </c>
      <c r="H201" s="28" t="s">
        <v>2679</v>
      </c>
      <c r="I201" s="27" t="s">
        <v>4</v>
      </c>
      <c r="J201" s="31" t="s">
        <v>71</v>
      </c>
      <c r="K201" s="27" t="s">
        <v>159</v>
      </c>
      <c r="L201" s="27" t="s">
        <v>160</v>
      </c>
      <c r="M201" s="32" t="str">
        <f>HYPERLINK("http://slimages.macys.com/is/image/MCY/3876250 ")</f>
        <v xml:space="preserve">http://slimages.macys.com/is/image/MCY/3876250 </v>
      </c>
    </row>
    <row r="202" spans="1:13" ht="15.2" customHeight="1" x14ac:dyDescent="0.2">
      <c r="A202" s="26" t="s">
        <v>5784</v>
      </c>
      <c r="B202" s="27" t="s">
        <v>5785</v>
      </c>
      <c r="C202" s="28">
        <v>1</v>
      </c>
      <c r="D202" s="29">
        <v>6.3</v>
      </c>
      <c r="E202" s="29">
        <v>6.3</v>
      </c>
      <c r="F202" s="30">
        <v>14.99</v>
      </c>
      <c r="G202" s="29">
        <v>14.99</v>
      </c>
      <c r="H202" s="28" t="s">
        <v>4361</v>
      </c>
      <c r="I202" s="27" t="s">
        <v>82</v>
      </c>
      <c r="J202" s="31" t="s">
        <v>21</v>
      </c>
      <c r="K202" s="27" t="s">
        <v>159</v>
      </c>
      <c r="L202" s="27" t="s">
        <v>160</v>
      </c>
      <c r="M202" s="32" t="str">
        <f>HYPERLINK("http://slimages.macys.com/is/image/MCY/3722527 ")</f>
        <v xml:space="preserve">http://slimages.macys.com/is/image/MCY/3722527 </v>
      </c>
    </row>
    <row r="203" spans="1:13" ht="15.2" customHeight="1" x14ac:dyDescent="0.2">
      <c r="A203" s="26" t="s">
        <v>398</v>
      </c>
      <c r="B203" s="27" t="s">
        <v>399</v>
      </c>
      <c r="C203" s="28">
        <v>1</v>
      </c>
      <c r="D203" s="29">
        <v>6.3</v>
      </c>
      <c r="E203" s="29">
        <v>6.3</v>
      </c>
      <c r="F203" s="30">
        <v>14.99</v>
      </c>
      <c r="G203" s="29">
        <v>14.99</v>
      </c>
      <c r="H203" s="28" t="s">
        <v>397</v>
      </c>
      <c r="I203" s="27" t="s">
        <v>36</v>
      </c>
      <c r="J203" s="31" t="s">
        <v>40</v>
      </c>
      <c r="K203" s="27" t="s">
        <v>159</v>
      </c>
      <c r="L203" s="27" t="s">
        <v>160</v>
      </c>
      <c r="M203" s="32" t="str">
        <f>HYPERLINK("http://slimages.macys.com/is/image/MCY/3876250 ")</f>
        <v xml:space="preserve">http://slimages.macys.com/is/image/MCY/3876250 </v>
      </c>
    </row>
    <row r="204" spans="1:13" ht="15.2" customHeight="1" x14ac:dyDescent="0.2">
      <c r="A204" s="26" t="s">
        <v>5786</v>
      </c>
      <c r="B204" s="27" t="s">
        <v>5787</v>
      </c>
      <c r="C204" s="28">
        <v>1</v>
      </c>
      <c r="D204" s="29">
        <v>6.3</v>
      </c>
      <c r="E204" s="29">
        <v>6.3</v>
      </c>
      <c r="F204" s="30">
        <v>14.99</v>
      </c>
      <c r="G204" s="29">
        <v>14.99</v>
      </c>
      <c r="H204" s="28" t="s">
        <v>882</v>
      </c>
      <c r="I204" s="27" t="s">
        <v>302</v>
      </c>
      <c r="J204" s="31" t="s">
        <v>5</v>
      </c>
      <c r="K204" s="27" t="s">
        <v>159</v>
      </c>
      <c r="L204" s="27" t="s">
        <v>160</v>
      </c>
      <c r="M204" s="32" t="str">
        <f>HYPERLINK("http://slimages.macys.com/is/image/MCY/3579794 ")</f>
        <v xml:space="preserve">http://slimages.macys.com/is/image/MCY/3579794 </v>
      </c>
    </row>
    <row r="205" spans="1:13" ht="15.2" customHeight="1" x14ac:dyDescent="0.2">
      <c r="A205" s="26" t="s">
        <v>5788</v>
      </c>
      <c r="B205" s="27" t="s">
        <v>5789</v>
      </c>
      <c r="C205" s="28">
        <v>1</v>
      </c>
      <c r="D205" s="29">
        <v>6.25</v>
      </c>
      <c r="E205" s="29">
        <v>6.25</v>
      </c>
      <c r="F205" s="30">
        <v>12.99</v>
      </c>
      <c r="G205" s="29">
        <v>12.99</v>
      </c>
      <c r="H205" s="28" t="s">
        <v>2373</v>
      </c>
      <c r="I205" s="27" t="s">
        <v>82</v>
      </c>
      <c r="J205" s="31" t="s">
        <v>21</v>
      </c>
      <c r="K205" s="27" t="s">
        <v>282</v>
      </c>
      <c r="L205" s="27" t="s">
        <v>283</v>
      </c>
      <c r="M205" s="32" t="str">
        <f>HYPERLINK("http://slimages.macys.com/is/image/MCY/3773475 ")</f>
        <v xml:space="preserve">http://slimages.macys.com/is/image/MCY/3773475 </v>
      </c>
    </row>
    <row r="206" spans="1:13" ht="15.2" customHeight="1" x14ac:dyDescent="0.2">
      <c r="A206" s="26" t="s">
        <v>1478</v>
      </c>
      <c r="B206" s="27" t="s">
        <v>1479</v>
      </c>
      <c r="C206" s="28">
        <v>1</v>
      </c>
      <c r="D206" s="29">
        <v>6.15</v>
      </c>
      <c r="E206" s="29">
        <v>6.15</v>
      </c>
      <c r="F206" s="30">
        <v>14.99</v>
      </c>
      <c r="G206" s="29">
        <v>14.99</v>
      </c>
      <c r="H206" s="28" t="s">
        <v>403</v>
      </c>
      <c r="I206" s="27" t="s">
        <v>207</v>
      </c>
      <c r="J206" s="31" t="s">
        <v>71</v>
      </c>
      <c r="K206" s="27" t="s">
        <v>159</v>
      </c>
      <c r="L206" s="27" t="s">
        <v>160</v>
      </c>
      <c r="M206" s="32" t="str">
        <f>HYPERLINK("http://slimages.macys.com/is/image/MCY/3899765 ")</f>
        <v xml:space="preserve">http://slimages.macys.com/is/image/MCY/3899765 </v>
      </c>
    </row>
    <row r="207" spans="1:13" ht="15.2" customHeight="1" x14ac:dyDescent="0.2">
      <c r="A207" s="26" t="s">
        <v>1475</v>
      </c>
      <c r="B207" s="27" t="s">
        <v>1476</v>
      </c>
      <c r="C207" s="28">
        <v>4</v>
      </c>
      <c r="D207" s="29">
        <v>6.15</v>
      </c>
      <c r="E207" s="29">
        <v>24.6</v>
      </c>
      <c r="F207" s="30">
        <v>14.99</v>
      </c>
      <c r="G207" s="29">
        <v>59.96</v>
      </c>
      <c r="H207" s="28" t="s">
        <v>403</v>
      </c>
      <c r="I207" s="27" t="s">
        <v>207</v>
      </c>
      <c r="J207" s="31" t="s">
        <v>21</v>
      </c>
      <c r="K207" s="27" t="s">
        <v>159</v>
      </c>
      <c r="L207" s="27" t="s">
        <v>160</v>
      </c>
      <c r="M207" s="32" t="str">
        <f>HYPERLINK("http://slimages.macys.com/is/image/MCY/3899765 ")</f>
        <v xml:space="preserve">http://slimages.macys.com/is/image/MCY/3899765 </v>
      </c>
    </row>
    <row r="208" spans="1:13" ht="15.2" customHeight="1" x14ac:dyDescent="0.2">
      <c r="A208" s="26" t="s">
        <v>401</v>
      </c>
      <c r="B208" s="27" t="s">
        <v>402</v>
      </c>
      <c r="C208" s="28">
        <v>1</v>
      </c>
      <c r="D208" s="29">
        <v>6.15</v>
      </c>
      <c r="E208" s="29">
        <v>6.15</v>
      </c>
      <c r="F208" s="30">
        <v>14.99</v>
      </c>
      <c r="G208" s="29">
        <v>14.99</v>
      </c>
      <c r="H208" s="28" t="s">
        <v>403</v>
      </c>
      <c r="I208" s="27" t="s">
        <v>207</v>
      </c>
      <c r="J208" s="31" t="s">
        <v>40</v>
      </c>
      <c r="K208" s="27" t="s">
        <v>159</v>
      </c>
      <c r="L208" s="27" t="s">
        <v>160</v>
      </c>
      <c r="M208" s="32" t="str">
        <f>HYPERLINK("http://slimages.macys.com/is/image/MCY/3899765 ")</f>
        <v xml:space="preserve">http://slimages.macys.com/is/image/MCY/3899765 </v>
      </c>
    </row>
    <row r="209" spans="1:13" ht="15.2" customHeight="1" x14ac:dyDescent="0.2">
      <c r="A209" s="26" t="s">
        <v>5790</v>
      </c>
      <c r="B209" s="27" t="s">
        <v>5791</v>
      </c>
      <c r="C209" s="28">
        <v>1</v>
      </c>
      <c r="D209" s="29">
        <v>6</v>
      </c>
      <c r="E209" s="29">
        <v>6</v>
      </c>
      <c r="F209" s="30">
        <v>13.99</v>
      </c>
      <c r="G209" s="29">
        <v>13.99</v>
      </c>
      <c r="H209" s="28" t="s">
        <v>407</v>
      </c>
      <c r="I209" s="27" t="s">
        <v>8</v>
      </c>
      <c r="J209" s="31" t="s">
        <v>52</v>
      </c>
      <c r="K209" s="27" t="s">
        <v>282</v>
      </c>
      <c r="L209" s="27" t="s">
        <v>260</v>
      </c>
      <c r="M209" s="32" t="str">
        <f>HYPERLINK("http://slimages.macys.com/is/image/MCY/3910835 ")</f>
        <v xml:space="preserve">http://slimages.macys.com/is/image/MCY/3910835 </v>
      </c>
    </row>
    <row r="210" spans="1:13" ht="15.2" customHeight="1" x14ac:dyDescent="0.2">
      <c r="A210" s="26" t="s">
        <v>5792</v>
      </c>
      <c r="B210" s="27" t="s">
        <v>5793</v>
      </c>
      <c r="C210" s="28">
        <v>1</v>
      </c>
      <c r="D210" s="29">
        <v>6</v>
      </c>
      <c r="E210" s="29">
        <v>6</v>
      </c>
      <c r="F210" s="30">
        <v>12.99</v>
      </c>
      <c r="G210" s="29">
        <v>12.99</v>
      </c>
      <c r="H210" s="28" t="s">
        <v>890</v>
      </c>
      <c r="I210" s="27" t="s">
        <v>82</v>
      </c>
      <c r="J210" s="31" t="s">
        <v>71</v>
      </c>
      <c r="K210" s="27" t="s">
        <v>282</v>
      </c>
      <c r="L210" s="27" t="s">
        <v>283</v>
      </c>
      <c r="M210" s="32" t="str">
        <f>HYPERLINK("http://slimages.macys.com/is/image/MCY/3875958 ")</f>
        <v xml:space="preserve">http://slimages.macys.com/is/image/MCY/3875958 </v>
      </c>
    </row>
    <row r="211" spans="1:13" ht="15.2" customHeight="1" x14ac:dyDescent="0.2">
      <c r="A211" s="26" t="s">
        <v>5794</v>
      </c>
      <c r="B211" s="27" t="s">
        <v>5795</v>
      </c>
      <c r="C211" s="28">
        <v>4</v>
      </c>
      <c r="D211" s="29">
        <v>6</v>
      </c>
      <c r="E211" s="29">
        <v>24</v>
      </c>
      <c r="F211" s="30">
        <v>12.99</v>
      </c>
      <c r="G211" s="29">
        <v>51.96</v>
      </c>
      <c r="H211" s="28" t="s">
        <v>5796</v>
      </c>
      <c r="I211" s="27" t="s">
        <v>189</v>
      </c>
      <c r="J211" s="31" t="s">
        <v>40</v>
      </c>
      <c r="K211" s="27" t="s">
        <v>282</v>
      </c>
      <c r="L211" s="27" t="s">
        <v>327</v>
      </c>
      <c r="M211" s="32" t="str">
        <f>HYPERLINK("http://slimages.macys.com/is/image/MCY/3915550 ")</f>
        <v xml:space="preserve">http://slimages.macys.com/is/image/MCY/3915550 </v>
      </c>
    </row>
    <row r="212" spans="1:13" ht="15.2" customHeight="1" x14ac:dyDescent="0.2">
      <c r="A212" s="26" t="s">
        <v>414</v>
      </c>
      <c r="B212" s="27" t="s">
        <v>415</v>
      </c>
      <c r="C212" s="28">
        <v>1</v>
      </c>
      <c r="D212" s="29">
        <v>5.95</v>
      </c>
      <c r="E212" s="29">
        <v>5.95</v>
      </c>
      <c r="F212" s="30">
        <v>12.99</v>
      </c>
      <c r="G212" s="29">
        <v>12.99</v>
      </c>
      <c r="H212" s="28" t="s">
        <v>416</v>
      </c>
      <c r="I212" s="27" t="s">
        <v>82</v>
      </c>
      <c r="J212" s="31" t="s">
        <v>52</v>
      </c>
      <c r="K212" s="27" t="s">
        <v>282</v>
      </c>
      <c r="L212" s="27" t="s">
        <v>358</v>
      </c>
      <c r="M212" s="32" t="str">
        <f>HYPERLINK("http://slimages.macys.com/is/image/MCY/3700228 ")</f>
        <v xml:space="preserve">http://slimages.macys.com/is/image/MCY/3700228 </v>
      </c>
    </row>
    <row r="213" spans="1:13" ht="15.2" customHeight="1" x14ac:dyDescent="0.2">
      <c r="A213" s="26" t="s">
        <v>3938</v>
      </c>
      <c r="B213" s="27" t="s">
        <v>3939</v>
      </c>
      <c r="C213" s="28">
        <v>2</v>
      </c>
      <c r="D213" s="29">
        <v>5.95</v>
      </c>
      <c r="E213" s="29">
        <v>11.9</v>
      </c>
      <c r="F213" s="30">
        <v>12.99</v>
      </c>
      <c r="G213" s="29">
        <v>25.98</v>
      </c>
      <c r="H213" s="28" t="s">
        <v>3009</v>
      </c>
      <c r="I213" s="27" t="s">
        <v>357</v>
      </c>
      <c r="J213" s="31" t="s">
        <v>5</v>
      </c>
      <c r="K213" s="27" t="s">
        <v>282</v>
      </c>
      <c r="L213" s="27" t="s">
        <v>358</v>
      </c>
      <c r="M213" s="32" t="str">
        <f>HYPERLINK("http://slimages.macys.com/is/image/MCY/3773354 ")</f>
        <v xml:space="preserve">http://slimages.macys.com/is/image/MCY/3773354 </v>
      </c>
    </row>
    <row r="214" spans="1:13" ht="15.2" customHeight="1" x14ac:dyDescent="0.2">
      <c r="A214" s="26" t="s">
        <v>5551</v>
      </c>
      <c r="B214" s="27" t="s">
        <v>5552</v>
      </c>
      <c r="C214" s="28">
        <v>1</v>
      </c>
      <c r="D214" s="29">
        <v>5.95</v>
      </c>
      <c r="E214" s="29">
        <v>5.95</v>
      </c>
      <c r="F214" s="30">
        <v>12.99</v>
      </c>
      <c r="G214" s="29">
        <v>12.99</v>
      </c>
      <c r="H214" s="28" t="s">
        <v>3458</v>
      </c>
      <c r="I214" s="27" t="s">
        <v>265</v>
      </c>
      <c r="J214" s="31" t="s">
        <v>40</v>
      </c>
      <c r="K214" s="27" t="s">
        <v>282</v>
      </c>
      <c r="L214" s="27" t="s">
        <v>358</v>
      </c>
      <c r="M214" s="32" t="str">
        <f>HYPERLINK("http://slimages.macys.com/is/image/MCY/3947094 ")</f>
        <v xml:space="preserve">http://slimages.macys.com/is/image/MCY/3947094 </v>
      </c>
    </row>
    <row r="215" spans="1:13" ht="15.2" customHeight="1" x14ac:dyDescent="0.2">
      <c r="A215" s="26" t="s">
        <v>5797</v>
      </c>
      <c r="B215" s="27" t="s">
        <v>5798</v>
      </c>
      <c r="C215" s="28">
        <v>1</v>
      </c>
      <c r="D215" s="29">
        <v>5.95</v>
      </c>
      <c r="E215" s="29">
        <v>5.95</v>
      </c>
      <c r="F215" s="30">
        <v>12.99</v>
      </c>
      <c r="G215" s="29">
        <v>12.99</v>
      </c>
      <c r="H215" s="28" t="s">
        <v>3009</v>
      </c>
      <c r="I215" s="27" t="s">
        <v>357</v>
      </c>
      <c r="J215" s="31" t="s">
        <v>52</v>
      </c>
      <c r="K215" s="27" t="s">
        <v>282</v>
      </c>
      <c r="L215" s="27" t="s">
        <v>358</v>
      </c>
      <c r="M215" s="32" t="str">
        <f>HYPERLINK("http://slimages.macys.com/is/image/MCY/3773354 ")</f>
        <v xml:space="preserve">http://slimages.macys.com/is/image/MCY/3773354 </v>
      </c>
    </row>
    <row r="216" spans="1:13" ht="15.2" customHeight="1" x14ac:dyDescent="0.2">
      <c r="A216" s="26" t="s">
        <v>5799</v>
      </c>
      <c r="B216" s="27" t="s">
        <v>5800</v>
      </c>
      <c r="C216" s="28">
        <v>1</v>
      </c>
      <c r="D216" s="29">
        <v>5.75</v>
      </c>
      <c r="E216" s="29">
        <v>5.75</v>
      </c>
      <c r="F216" s="30">
        <v>12.99</v>
      </c>
      <c r="G216" s="29">
        <v>12.99</v>
      </c>
      <c r="H216" s="28" t="s">
        <v>5801</v>
      </c>
      <c r="I216" s="27" t="s">
        <v>94</v>
      </c>
      <c r="J216" s="31" t="s">
        <v>760</v>
      </c>
      <c r="K216" s="27" t="s">
        <v>224</v>
      </c>
      <c r="L216" s="27" t="s">
        <v>254</v>
      </c>
      <c r="M216" s="32" t="str">
        <f>HYPERLINK("http://slimages.macys.com/is/image/MCY/3931080 ")</f>
        <v xml:space="preserve">http://slimages.macys.com/is/image/MCY/3931080 </v>
      </c>
    </row>
    <row r="217" spans="1:13" ht="15.2" customHeight="1" x14ac:dyDescent="0.2">
      <c r="A217" s="26" t="s">
        <v>5802</v>
      </c>
      <c r="B217" s="27" t="s">
        <v>5803</v>
      </c>
      <c r="C217" s="28">
        <v>1</v>
      </c>
      <c r="D217" s="29">
        <v>5.75</v>
      </c>
      <c r="E217" s="29">
        <v>5.75</v>
      </c>
      <c r="F217" s="30">
        <v>12.99</v>
      </c>
      <c r="G217" s="29">
        <v>12.99</v>
      </c>
      <c r="H217" s="28" t="s">
        <v>5804</v>
      </c>
      <c r="I217" s="27" t="s">
        <v>900</v>
      </c>
      <c r="J217" s="31" t="s">
        <v>40</v>
      </c>
      <c r="K217" s="27" t="s">
        <v>282</v>
      </c>
      <c r="L217" s="27" t="s">
        <v>312</v>
      </c>
      <c r="M217" s="32" t="str">
        <f>HYPERLINK("http://slimages.macys.com/is/image/MCY/3624332 ")</f>
        <v xml:space="preserve">http://slimages.macys.com/is/image/MCY/3624332 </v>
      </c>
    </row>
    <row r="218" spans="1:13" ht="15.2" customHeight="1" x14ac:dyDescent="0.2">
      <c r="A218" s="26" t="s">
        <v>5555</v>
      </c>
      <c r="B218" s="27" t="s">
        <v>5556</v>
      </c>
      <c r="C218" s="28">
        <v>1</v>
      </c>
      <c r="D218" s="29">
        <v>5.75</v>
      </c>
      <c r="E218" s="29">
        <v>5.75</v>
      </c>
      <c r="F218" s="30">
        <v>13.99</v>
      </c>
      <c r="G218" s="29">
        <v>13.99</v>
      </c>
      <c r="H218" s="28" t="s">
        <v>916</v>
      </c>
      <c r="I218" s="27" t="s">
        <v>343</v>
      </c>
      <c r="J218" s="31" t="s">
        <v>21</v>
      </c>
      <c r="K218" s="27" t="s">
        <v>282</v>
      </c>
      <c r="L218" s="27" t="s">
        <v>312</v>
      </c>
      <c r="M218" s="32" t="str">
        <f>HYPERLINK("http://slimages.macys.com/is/image/MCY/3814598 ")</f>
        <v xml:space="preserve">http://slimages.macys.com/is/image/MCY/3814598 </v>
      </c>
    </row>
    <row r="219" spans="1:13" ht="15.2" customHeight="1" x14ac:dyDescent="0.2">
      <c r="A219" s="26" t="s">
        <v>1947</v>
      </c>
      <c r="B219" s="27" t="s">
        <v>1948</v>
      </c>
      <c r="C219" s="28">
        <v>1</v>
      </c>
      <c r="D219" s="29">
        <v>5.5</v>
      </c>
      <c r="E219" s="29">
        <v>5.5</v>
      </c>
      <c r="F219" s="30">
        <v>12.99</v>
      </c>
      <c r="G219" s="29">
        <v>12.99</v>
      </c>
      <c r="H219" s="28" t="s">
        <v>1949</v>
      </c>
      <c r="I219" s="27" t="s">
        <v>82</v>
      </c>
      <c r="J219" s="31" t="s">
        <v>5</v>
      </c>
      <c r="K219" s="27" t="s">
        <v>282</v>
      </c>
      <c r="L219" s="27" t="s">
        <v>312</v>
      </c>
      <c r="M219" s="32" t="str">
        <f>HYPERLINK("http://slimages.macys.com/is/image/MCY/3875986 ")</f>
        <v xml:space="preserve">http://slimages.macys.com/is/image/MCY/3875986 </v>
      </c>
    </row>
    <row r="220" spans="1:13" ht="15.2" customHeight="1" x14ac:dyDescent="0.2">
      <c r="A220" s="26" t="s">
        <v>926</v>
      </c>
      <c r="B220" s="27" t="s">
        <v>927</v>
      </c>
      <c r="C220" s="28">
        <v>2</v>
      </c>
      <c r="D220" s="29">
        <v>5.5</v>
      </c>
      <c r="E220" s="29">
        <v>11</v>
      </c>
      <c r="F220" s="30">
        <v>16.989999999999998</v>
      </c>
      <c r="G220" s="29">
        <v>33.979999999999997</v>
      </c>
      <c r="H220" s="28" t="s">
        <v>431</v>
      </c>
      <c r="I220" s="27" t="s">
        <v>64</v>
      </c>
      <c r="J220" s="31" t="s">
        <v>40</v>
      </c>
      <c r="K220" s="27" t="s">
        <v>282</v>
      </c>
      <c r="L220" s="27" t="s">
        <v>388</v>
      </c>
      <c r="M220" s="32" t="str">
        <f>HYPERLINK("http://slimages.macys.com/is/image/MCY/3953467 ")</f>
        <v xml:space="preserve">http://slimages.macys.com/is/image/MCY/3953467 </v>
      </c>
    </row>
    <row r="221" spans="1:13" ht="15.2" customHeight="1" x14ac:dyDescent="0.2">
      <c r="A221" s="26" t="s">
        <v>4367</v>
      </c>
      <c r="B221" s="27" t="s">
        <v>4368</v>
      </c>
      <c r="C221" s="28">
        <v>1</v>
      </c>
      <c r="D221" s="29">
        <v>5.5</v>
      </c>
      <c r="E221" s="29">
        <v>5.5</v>
      </c>
      <c r="F221" s="30">
        <v>12.99</v>
      </c>
      <c r="G221" s="29">
        <v>12.99</v>
      </c>
      <c r="H221" s="28" t="s">
        <v>1949</v>
      </c>
      <c r="I221" s="27" t="s">
        <v>82</v>
      </c>
      <c r="J221" s="31" t="s">
        <v>40</v>
      </c>
      <c r="K221" s="27" t="s">
        <v>282</v>
      </c>
      <c r="L221" s="27" t="s">
        <v>312</v>
      </c>
      <c r="M221" s="32" t="str">
        <f>HYPERLINK("http://slimages.macys.com/is/image/MCY/3875986 ")</f>
        <v xml:space="preserve">http://slimages.macys.com/is/image/MCY/3875986 </v>
      </c>
    </row>
    <row r="222" spans="1:13" ht="15.2" customHeight="1" x14ac:dyDescent="0.2">
      <c r="A222" s="26" t="s">
        <v>5805</v>
      </c>
      <c r="B222" s="27" t="s">
        <v>5806</v>
      </c>
      <c r="C222" s="28">
        <v>1</v>
      </c>
      <c r="D222" s="29">
        <v>5.5</v>
      </c>
      <c r="E222" s="29">
        <v>5.5</v>
      </c>
      <c r="F222" s="30">
        <v>13.99</v>
      </c>
      <c r="G222" s="29">
        <v>13.99</v>
      </c>
      <c r="H222" s="28" t="s">
        <v>5807</v>
      </c>
      <c r="I222" s="27" t="s">
        <v>144</v>
      </c>
      <c r="J222" s="31" t="s">
        <v>40</v>
      </c>
      <c r="K222" s="27" t="s">
        <v>282</v>
      </c>
      <c r="L222" s="27" t="s">
        <v>276</v>
      </c>
      <c r="M222" s="32" t="str">
        <f>HYPERLINK("http://slimages.macys.com/is/image/MCY/3609960 ")</f>
        <v xml:space="preserve">http://slimages.macys.com/is/image/MCY/3609960 </v>
      </c>
    </row>
    <row r="223" spans="1:13" ht="15.2" customHeight="1" x14ac:dyDescent="0.2">
      <c r="A223" s="26" t="s">
        <v>1568</v>
      </c>
      <c r="B223" s="27" t="s">
        <v>1569</v>
      </c>
      <c r="C223" s="28">
        <v>1</v>
      </c>
      <c r="D223" s="29">
        <v>5.5</v>
      </c>
      <c r="E223" s="29">
        <v>5.5</v>
      </c>
      <c r="F223" s="30">
        <v>12.99</v>
      </c>
      <c r="G223" s="29">
        <v>12.99</v>
      </c>
      <c r="H223" s="28" t="s">
        <v>439</v>
      </c>
      <c r="I223" s="27" t="s">
        <v>271</v>
      </c>
      <c r="J223" s="31" t="s">
        <v>40</v>
      </c>
      <c r="K223" s="27" t="s">
        <v>282</v>
      </c>
      <c r="L223" s="27" t="s">
        <v>312</v>
      </c>
      <c r="M223" s="32" t="str">
        <f>HYPERLINK("http://slimages.macys.com/is/image/MCY/3875989 ")</f>
        <v xml:space="preserve">http://slimages.macys.com/is/image/MCY/3875989 </v>
      </c>
    </row>
    <row r="224" spans="1:13" ht="15.2" customHeight="1" x14ac:dyDescent="0.2">
      <c r="A224" s="26" t="s">
        <v>434</v>
      </c>
      <c r="B224" s="27" t="s">
        <v>435</v>
      </c>
      <c r="C224" s="28">
        <v>1</v>
      </c>
      <c r="D224" s="29">
        <v>5.5</v>
      </c>
      <c r="E224" s="29">
        <v>5.5</v>
      </c>
      <c r="F224" s="30">
        <v>16.989999999999998</v>
      </c>
      <c r="G224" s="29">
        <v>16.989999999999998</v>
      </c>
      <c r="H224" s="28" t="s">
        <v>431</v>
      </c>
      <c r="I224" s="27" t="s">
        <v>383</v>
      </c>
      <c r="J224" s="31" t="s">
        <v>40</v>
      </c>
      <c r="K224" s="27" t="s">
        <v>282</v>
      </c>
      <c r="L224" s="27" t="s">
        <v>388</v>
      </c>
      <c r="M224" s="32" t="str">
        <f>HYPERLINK("http://slimages.macys.com/is/image/MCY/3953470 ")</f>
        <v xml:space="preserve">http://slimages.macys.com/is/image/MCY/3953470 </v>
      </c>
    </row>
    <row r="225" spans="1:13" ht="15.2" customHeight="1" x14ac:dyDescent="0.2">
      <c r="A225" s="26" t="s">
        <v>5808</v>
      </c>
      <c r="B225" s="27" t="s">
        <v>5809</v>
      </c>
      <c r="C225" s="28">
        <v>2</v>
      </c>
      <c r="D225" s="29">
        <v>5.5</v>
      </c>
      <c r="E225" s="29">
        <v>11</v>
      </c>
      <c r="F225" s="30">
        <v>13.99</v>
      </c>
      <c r="G225" s="29">
        <v>27.98</v>
      </c>
      <c r="H225" s="28" t="s">
        <v>5807</v>
      </c>
      <c r="I225" s="27" t="s">
        <v>94</v>
      </c>
      <c r="J225" s="31" t="s">
        <v>71</v>
      </c>
      <c r="K225" s="27" t="s">
        <v>282</v>
      </c>
      <c r="L225" s="27" t="s">
        <v>276</v>
      </c>
      <c r="M225" s="32" t="str">
        <f>HYPERLINK("http://slimages.macys.com/is/image/MCY/3609960 ")</f>
        <v xml:space="preserve">http://slimages.macys.com/is/image/MCY/3609960 </v>
      </c>
    </row>
    <row r="226" spans="1:13" ht="15.2" customHeight="1" x14ac:dyDescent="0.2">
      <c r="A226" s="26" t="s">
        <v>2406</v>
      </c>
      <c r="B226" s="27" t="s">
        <v>2407</v>
      </c>
      <c r="C226" s="28">
        <v>1</v>
      </c>
      <c r="D226" s="29">
        <v>5.46</v>
      </c>
      <c r="E226" s="29">
        <v>5.46</v>
      </c>
      <c r="F226" s="30">
        <v>12.99</v>
      </c>
      <c r="G226" s="29">
        <v>12.99</v>
      </c>
      <c r="H226" s="28" t="s">
        <v>933</v>
      </c>
      <c r="I226" s="27" t="s">
        <v>4</v>
      </c>
      <c r="J226" s="31" t="s">
        <v>52</v>
      </c>
      <c r="K226" s="27" t="s">
        <v>159</v>
      </c>
      <c r="L226" s="27" t="s">
        <v>160</v>
      </c>
      <c r="M226" s="32" t="str">
        <f>HYPERLINK("http://slimages.macys.com/is/image/MCY/3857696 ")</f>
        <v xml:space="preserve">http://slimages.macys.com/is/image/MCY/3857696 </v>
      </c>
    </row>
    <row r="227" spans="1:13" ht="15.2" customHeight="1" x14ac:dyDescent="0.2">
      <c r="A227" s="26" t="s">
        <v>5557</v>
      </c>
      <c r="B227" s="27" t="s">
        <v>5558</v>
      </c>
      <c r="C227" s="28">
        <v>1</v>
      </c>
      <c r="D227" s="29">
        <v>4.6500000000000004</v>
      </c>
      <c r="E227" s="29">
        <v>4.6500000000000004</v>
      </c>
      <c r="F227" s="30">
        <v>10.99</v>
      </c>
      <c r="G227" s="29">
        <v>10.99</v>
      </c>
      <c r="H227" s="28">
        <v>60359814</v>
      </c>
      <c r="I227" s="27" t="s">
        <v>59</v>
      </c>
      <c r="J227" s="31" t="s">
        <v>40</v>
      </c>
      <c r="K227" s="27" t="s">
        <v>282</v>
      </c>
      <c r="L227" s="27" t="s">
        <v>255</v>
      </c>
      <c r="M227" s="32" t="str">
        <f>HYPERLINK("http://slimages.macys.com/is/image/MCY/2308510 ")</f>
        <v xml:space="preserve">http://slimages.macys.com/is/image/MCY/2308510 </v>
      </c>
    </row>
    <row r="228" spans="1:13" ht="15.2" customHeight="1" x14ac:dyDescent="0.2">
      <c r="A228" s="26" t="s">
        <v>3472</v>
      </c>
      <c r="B228" s="27" t="s">
        <v>3473</v>
      </c>
      <c r="C228" s="28">
        <v>1</v>
      </c>
      <c r="D228" s="29">
        <v>4.6500000000000004</v>
      </c>
      <c r="E228" s="29">
        <v>4.6500000000000004</v>
      </c>
      <c r="F228" s="30">
        <v>10.99</v>
      </c>
      <c r="G228" s="29">
        <v>10.99</v>
      </c>
      <c r="H228" s="28">
        <v>60359814</v>
      </c>
      <c r="I228" s="27" t="s">
        <v>4</v>
      </c>
      <c r="J228" s="31" t="s">
        <v>40</v>
      </c>
      <c r="K228" s="27" t="s">
        <v>282</v>
      </c>
      <c r="L228" s="27" t="s">
        <v>255</v>
      </c>
      <c r="M228" s="32" t="str">
        <f>HYPERLINK("http://slimages.macys.com/is/image/MCY/2308508 ")</f>
        <v xml:space="preserve">http://slimages.macys.com/is/image/MCY/2308508 </v>
      </c>
    </row>
    <row r="229" spans="1:13" ht="15.2" customHeight="1" x14ac:dyDescent="0.2">
      <c r="A229" s="26" t="s">
        <v>4371</v>
      </c>
      <c r="B229" s="27" t="s">
        <v>4372</v>
      </c>
      <c r="C229" s="28">
        <v>1</v>
      </c>
      <c r="D229" s="29">
        <v>4.3499999999999996</v>
      </c>
      <c r="E229" s="29">
        <v>4.3499999999999996</v>
      </c>
      <c r="F229" s="30">
        <v>13.99</v>
      </c>
      <c r="G229" s="29">
        <v>13.99</v>
      </c>
      <c r="H229" s="28" t="s">
        <v>948</v>
      </c>
      <c r="I229" s="27" t="s">
        <v>82</v>
      </c>
      <c r="J229" s="31" t="s">
        <v>40</v>
      </c>
      <c r="K229" s="27" t="s">
        <v>282</v>
      </c>
      <c r="L229" s="27" t="s">
        <v>325</v>
      </c>
      <c r="M229" s="32" t="str">
        <f>HYPERLINK("http://slimages.macys.com/is/image/MCY/3931147 ")</f>
        <v xml:space="preserve">http://slimages.macys.com/is/image/MCY/3931147 </v>
      </c>
    </row>
    <row r="230" spans="1:13" ht="15.2" customHeight="1" x14ac:dyDescent="0.2">
      <c r="A230" s="26" t="s">
        <v>946</v>
      </c>
      <c r="B230" s="27" t="s">
        <v>947</v>
      </c>
      <c r="C230" s="28">
        <v>1</v>
      </c>
      <c r="D230" s="29">
        <v>4.3499999999999996</v>
      </c>
      <c r="E230" s="29">
        <v>4.3499999999999996</v>
      </c>
      <c r="F230" s="30">
        <v>13.99</v>
      </c>
      <c r="G230" s="29">
        <v>13.99</v>
      </c>
      <c r="H230" s="28" t="s">
        <v>948</v>
      </c>
      <c r="I230" s="27" t="s">
        <v>22</v>
      </c>
      <c r="J230" s="31" t="s">
        <v>52</v>
      </c>
      <c r="K230" s="27" t="s">
        <v>282</v>
      </c>
      <c r="L230" s="27" t="s">
        <v>325</v>
      </c>
      <c r="M230" s="32" t="str">
        <f>HYPERLINK("http://slimages.macys.com/is/image/MCY/3931147 ")</f>
        <v xml:space="preserve">http://slimages.macys.com/is/image/MCY/3931147 </v>
      </c>
    </row>
    <row r="231" spans="1:13" ht="15.2" customHeight="1" x14ac:dyDescent="0.2">
      <c r="A231" s="26" t="s">
        <v>5810</v>
      </c>
      <c r="B231" s="27" t="s">
        <v>5811</v>
      </c>
      <c r="C231" s="28">
        <v>1</v>
      </c>
      <c r="D231" s="29">
        <v>4.3499999999999996</v>
      </c>
      <c r="E231" s="29">
        <v>4.3499999999999996</v>
      </c>
      <c r="F231" s="30">
        <v>13.99</v>
      </c>
      <c r="G231" s="29">
        <v>13.99</v>
      </c>
      <c r="H231" s="28" t="s">
        <v>948</v>
      </c>
      <c r="I231" s="27" t="s">
        <v>4</v>
      </c>
      <c r="J231" s="31" t="s">
        <v>21</v>
      </c>
      <c r="K231" s="27" t="s">
        <v>282</v>
      </c>
      <c r="L231" s="27" t="s">
        <v>325</v>
      </c>
      <c r="M231" s="32" t="str">
        <f>HYPERLINK("http://slimages.macys.com/is/image/MCY/3931147 ")</f>
        <v xml:space="preserve">http://slimages.macys.com/is/image/MCY/3931147 </v>
      </c>
    </row>
    <row r="232" spans="1:13" ht="15.2" customHeight="1" x14ac:dyDescent="0.2">
      <c r="A232" s="26" t="s">
        <v>5812</v>
      </c>
      <c r="B232" s="27" t="s">
        <v>5813</v>
      </c>
      <c r="C232" s="28">
        <v>1</v>
      </c>
      <c r="D232" s="29">
        <v>3.72</v>
      </c>
      <c r="E232" s="29">
        <v>3.72</v>
      </c>
      <c r="F232" s="30">
        <v>7.99</v>
      </c>
      <c r="G232" s="29">
        <v>7.99</v>
      </c>
      <c r="H232" s="28" t="s">
        <v>459</v>
      </c>
      <c r="I232" s="27" t="s">
        <v>39</v>
      </c>
      <c r="J232" s="31" t="s">
        <v>21</v>
      </c>
      <c r="K232" s="27" t="s">
        <v>282</v>
      </c>
      <c r="L232" s="27" t="s">
        <v>325</v>
      </c>
      <c r="M232" s="32" t="str">
        <f>HYPERLINK("http://slimages.macys.com/is/image/MCY/3609979 ")</f>
        <v xml:space="preserve">http://slimages.macys.com/is/image/MCY/3609979 </v>
      </c>
    </row>
    <row r="233" spans="1:13" ht="15.2" customHeight="1" x14ac:dyDescent="0.2">
      <c r="A233" s="26" t="s">
        <v>4504</v>
      </c>
      <c r="B233" s="27" t="s">
        <v>4505</v>
      </c>
      <c r="C233" s="28">
        <v>2</v>
      </c>
      <c r="D233" s="29">
        <v>37</v>
      </c>
      <c r="E233" s="29">
        <v>74</v>
      </c>
      <c r="F233" s="30">
        <v>98</v>
      </c>
      <c r="G233" s="29">
        <v>196</v>
      </c>
      <c r="H233" s="28" t="s">
        <v>1976</v>
      </c>
      <c r="I233" s="27" t="s">
        <v>661</v>
      </c>
      <c r="J233" s="31" t="s">
        <v>21</v>
      </c>
      <c r="K233" s="27" t="s">
        <v>17</v>
      </c>
      <c r="L233" s="27" t="s">
        <v>18</v>
      </c>
      <c r="M233" s="32"/>
    </row>
    <row r="234" spans="1:13" ht="15.2" customHeight="1" x14ac:dyDescent="0.2">
      <c r="A234" s="26" t="s">
        <v>5814</v>
      </c>
      <c r="B234" s="27" t="s">
        <v>5183</v>
      </c>
      <c r="C234" s="28">
        <v>1</v>
      </c>
      <c r="D234" s="29">
        <v>33.369999999999997</v>
      </c>
      <c r="E234" s="29">
        <v>33.369999999999997</v>
      </c>
      <c r="F234" s="30">
        <v>89</v>
      </c>
      <c r="G234" s="29">
        <v>89</v>
      </c>
      <c r="H234" s="28">
        <v>7066407</v>
      </c>
      <c r="I234" s="27" t="s">
        <v>189</v>
      </c>
      <c r="J234" s="31" t="s">
        <v>5815</v>
      </c>
      <c r="K234" s="27" t="s">
        <v>462</v>
      </c>
      <c r="L234" s="27" t="s">
        <v>463</v>
      </c>
      <c r="M234" s="32"/>
    </row>
    <row r="235" spans="1:13" ht="15.2" customHeight="1" x14ac:dyDescent="0.2">
      <c r="A235" s="26" t="s">
        <v>5816</v>
      </c>
      <c r="B235" s="27" t="s">
        <v>2418</v>
      </c>
      <c r="C235" s="28">
        <v>1</v>
      </c>
      <c r="D235" s="29">
        <v>30</v>
      </c>
      <c r="E235" s="29">
        <v>30</v>
      </c>
      <c r="F235" s="30">
        <v>79.5</v>
      </c>
      <c r="G235" s="29">
        <v>79.5</v>
      </c>
      <c r="H235" s="28" t="s">
        <v>2419</v>
      </c>
      <c r="I235" s="27" t="s">
        <v>36</v>
      </c>
      <c r="J235" s="31" t="s">
        <v>21</v>
      </c>
      <c r="K235" s="27" t="s">
        <v>17</v>
      </c>
      <c r="L235" s="27" t="s">
        <v>18</v>
      </c>
      <c r="M235" s="32"/>
    </row>
    <row r="236" spans="1:13" ht="15.2" customHeight="1" x14ac:dyDescent="0.2">
      <c r="A236" s="26" t="s">
        <v>5817</v>
      </c>
      <c r="B236" s="27" t="s">
        <v>5818</v>
      </c>
      <c r="C236" s="28">
        <v>1</v>
      </c>
      <c r="D236" s="29">
        <v>29.75</v>
      </c>
      <c r="E236" s="29">
        <v>29.75</v>
      </c>
      <c r="F236" s="30">
        <v>99</v>
      </c>
      <c r="G236" s="29">
        <v>99</v>
      </c>
      <c r="H236" s="28" t="s">
        <v>5819</v>
      </c>
      <c r="I236" s="27" t="s">
        <v>22</v>
      </c>
      <c r="J236" s="31" t="s">
        <v>230</v>
      </c>
      <c r="K236" s="27" t="s">
        <v>24</v>
      </c>
      <c r="L236" s="27" t="s">
        <v>2806</v>
      </c>
      <c r="M236" s="32"/>
    </row>
    <row r="237" spans="1:13" ht="15.2" customHeight="1" x14ac:dyDescent="0.2">
      <c r="A237" s="26" t="s">
        <v>5496</v>
      </c>
      <c r="B237" s="27" t="s">
        <v>5497</v>
      </c>
      <c r="C237" s="28">
        <v>1</v>
      </c>
      <c r="D237" s="29">
        <v>27</v>
      </c>
      <c r="E237" s="29">
        <v>27</v>
      </c>
      <c r="F237" s="30">
        <v>79</v>
      </c>
      <c r="G237" s="29">
        <v>79</v>
      </c>
      <c r="H237" s="28" t="s">
        <v>2713</v>
      </c>
      <c r="I237" s="27" t="s">
        <v>4</v>
      </c>
      <c r="J237" s="31" t="s">
        <v>69</v>
      </c>
      <c r="K237" s="27" t="s">
        <v>24</v>
      </c>
      <c r="L237" s="27" t="s">
        <v>25</v>
      </c>
      <c r="M237" s="32"/>
    </row>
    <row r="238" spans="1:13" ht="15.2" customHeight="1" x14ac:dyDescent="0.2">
      <c r="A238" s="26" t="s">
        <v>3046</v>
      </c>
      <c r="B238" s="27" t="s">
        <v>3047</v>
      </c>
      <c r="C238" s="28">
        <v>1</v>
      </c>
      <c r="D238" s="29">
        <v>26</v>
      </c>
      <c r="E238" s="29">
        <v>26</v>
      </c>
      <c r="F238" s="30">
        <v>79</v>
      </c>
      <c r="G238" s="29">
        <v>79</v>
      </c>
      <c r="H238" s="28" t="s">
        <v>467</v>
      </c>
      <c r="I238" s="27" t="s">
        <v>468</v>
      </c>
      <c r="J238" s="31" t="s">
        <v>230</v>
      </c>
      <c r="K238" s="27" t="s">
        <v>24</v>
      </c>
      <c r="L238" s="27" t="s">
        <v>25</v>
      </c>
      <c r="M238" s="32"/>
    </row>
    <row r="239" spans="1:13" ht="15.2" customHeight="1" x14ac:dyDescent="0.2">
      <c r="A239" s="26" t="s">
        <v>5820</v>
      </c>
      <c r="B239" s="27" t="s">
        <v>5821</v>
      </c>
      <c r="C239" s="28">
        <v>1</v>
      </c>
      <c r="D239" s="29">
        <v>23.85</v>
      </c>
      <c r="E239" s="29">
        <v>23.85</v>
      </c>
      <c r="F239" s="30">
        <v>79.5</v>
      </c>
      <c r="G239" s="29">
        <v>79.5</v>
      </c>
      <c r="H239" s="28">
        <v>49022936</v>
      </c>
      <c r="I239" s="27" t="s">
        <v>4</v>
      </c>
      <c r="J239" s="31" t="s">
        <v>40</v>
      </c>
      <c r="K239" s="27" t="s">
        <v>6</v>
      </c>
      <c r="L239" s="27" t="s">
        <v>7</v>
      </c>
      <c r="M239" s="32"/>
    </row>
    <row r="240" spans="1:13" ht="15.2" customHeight="1" x14ac:dyDescent="0.2">
      <c r="A240" s="26" t="s">
        <v>2716</v>
      </c>
      <c r="B240" s="27" t="s">
        <v>2717</v>
      </c>
      <c r="C240" s="28">
        <v>1</v>
      </c>
      <c r="D240" s="29">
        <v>23.85</v>
      </c>
      <c r="E240" s="29">
        <v>23.85</v>
      </c>
      <c r="F240" s="30">
        <v>79.5</v>
      </c>
      <c r="G240" s="29">
        <v>79.5</v>
      </c>
      <c r="H240" s="28">
        <v>49022936</v>
      </c>
      <c r="I240" s="27" t="s">
        <v>4</v>
      </c>
      <c r="J240" s="31" t="s">
        <v>5</v>
      </c>
      <c r="K240" s="27" t="s">
        <v>6</v>
      </c>
      <c r="L240" s="27" t="s">
        <v>7</v>
      </c>
      <c r="M240" s="32"/>
    </row>
    <row r="241" spans="1:13" ht="15.2" customHeight="1" x14ac:dyDescent="0.2">
      <c r="A241" s="26" t="s">
        <v>5200</v>
      </c>
      <c r="B241" s="27" t="s">
        <v>5201</v>
      </c>
      <c r="C241" s="28">
        <v>1</v>
      </c>
      <c r="D241" s="29">
        <v>23.85</v>
      </c>
      <c r="E241" s="29">
        <v>23.85</v>
      </c>
      <c r="F241" s="30">
        <v>79.5</v>
      </c>
      <c r="G241" s="29">
        <v>79.5</v>
      </c>
      <c r="H241" s="28">
        <v>49022936</v>
      </c>
      <c r="I241" s="27" t="s">
        <v>4</v>
      </c>
      <c r="J241" s="31" t="s">
        <v>52</v>
      </c>
      <c r="K241" s="27" t="s">
        <v>6</v>
      </c>
      <c r="L241" s="27" t="s">
        <v>7</v>
      </c>
      <c r="M241" s="32"/>
    </row>
    <row r="242" spans="1:13" ht="15.2" customHeight="1" x14ac:dyDescent="0.2">
      <c r="A242" s="26" t="s">
        <v>5822</v>
      </c>
      <c r="B242" s="27" t="s">
        <v>3050</v>
      </c>
      <c r="C242" s="28">
        <v>1</v>
      </c>
      <c r="D242" s="29">
        <v>23.68</v>
      </c>
      <c r="E242" s="29">
        <v>23.68</v>
      </c>
      <c r="F242" s="30">
        <v>64</v>
      </c>
      <c r="G242" s="29">
        <v>64</v>
      </c>
      <c r="H242" s="28" t="s">
        <v>3051</v>
      </c>
      <c r="I242" s="27" t="s">
        <v>75</v>
      </c>
      <c r="J242" s="31" t="s">
        <v>5</v>
      </c>
      <c r="K242" s="27" t="s">
        <v>989</v>
      </c>
      <c r="L242" s="27" t="s">
        <v>990</v>
      </c>
      <c r="M242" s="32"/>
    </row>
    <row r="243" spans="1:13" ht="15.2" customHeight="1" x14ac:dyDescent="0.2">
      <c r="A243" s="26" t="s">
        <v>5823</v>
      </c>
      <c r="B243" s="27" t="s">
        <v>3050</v>
      </c>
      <c r="C243" s="28">
        <v>6</v>
      </c>
      <c r="D243" s="29">
        <v>23.68</v>
      </c>
      <c r="E243" s="29">
        <v>142.08000000000001</v>
      </c>
      <c r="F243" s="30">
        <v>64</v>
      </c>
      <c r="G243" s="29">
        <v>384</v>
      </c>
      <c r="H243" s="28" t="s">
        <v>3051</v>
      </c>
      <c r="I243" s="27" t="s">
        <v>75</v>
      </c>
      <c r="J243" s="31" t="s">
        <v>40</v>
      </c>
      <c r="K243" s="27" t="s">
        <v>989</v>
      </c>
      <c r="L243" s="27" t="s">
        <v>990</v>
      </c>
      <c r="M243" s="32"/>
    </row>
    <row r="244" spans="1:13" ht="15.2" customHeight="1" x14ac:dyDescent="0.2">
      <c r="A244" s="26" t="s">
        <v>5824</v>
      </c>
      <c r="B244" s="27" t="s">
        <v>5825</v>
      </c>
      <c r="C244" s="28">
        <v>1</v>
      </c>
      <c r="D244" s="29">
        <v>23</v>
      </c>
      <c r="E244" s="29">
        <v>23</v>
      </c>
      <c r="F244" s="30">
        <v>69</v>
      </c>
      <c r="G244" s="29">
        <v>69</v>
      </c>
      <c r="H244" s="28" t="s">
        <v>4379</v>
      </c>
      <c r="I244" s="27" t="s">
        <v>377</v>
      </c>
      <c r="J244" s="31" t="s">
        <v>69</v>
      </c>
      <c r="K244" s="27" t="s">
        <v>24</v>
      </c>
      <c r="L244" s="27" t="s">
        <v>650</v>
      </c>
      <c r="M244" s="32"/>
    </row>
    <row r="245" spans="1:13" ht="15.2" customHeight="1" x14ac:dyDescent="0.2">
      <c r="A245" s="26" t="s">
        <v>3492</v>
      </c>
      <c r="B245" s="27" t="s">
        <v>3493</v>
      </c>
      <c r="C245" s="28">
        <v>1</v>
      </c>
      <c r="D245" s="29">
        <v>21.86</v>
      </c>
      <c r="E245" s="29">
        <v>21.86</v>
      </c>
      <c r="F245" s="30">
        <v>59.99</v>
      </c>
      <c r="G245" s="29">
        <v>59.99</v>
      </c>
      <c r="H245" s="28" t="s">
        <v>3494</v>
      </c>
      <c r="I245" s="27" t="s">
        <v>22</v>
      </c>
      <c r="J245" s="31" t="s">
        <v>65</v>
      </c>
      <c r="K245" s="27" t="s">
        <v>41</v>
      </c>
      <c r="L245" s="27" t="s">
        <v>45</v>
      </c>
      <c r="M245" s="32"/>
    </row>
    <row r="246" spans="1:13" ht="15.2" customHeight="1" x14ac:dyDescent="0.2">
      <c r="A246" s="26" t="s">
        <v>3063</v>
      </c>
      <c r="B246" s="27" t="s">
        <v>3064</v>
      </c>
      <c r="C246" s="28">
        <v>1</v>
      </c>
      <c r="D246" s="29">
        <v>21</v>
      </c>
      <c r="E246" s="29">
        <v>21</v>
      </c>
      <c r="F246" s="30">
        <v>59.5</v>
      </c>
      <c r="G246" s="29">
        <v>59.5</v>
      </c>
      <c r="H246" s="28" t="s">
        <v>3062</v>
      </c>
      <c r="I246" s="27" t="s">
        <v>4</v>
      </c>
      <c r="J246" s="31" t="s">
        <v>52</v>
      </c>
      <c r="K246" s="27" t="s">
        <v>53</v>
      </c>
      <c r="L246" s="27" t="s">
        <v>54</v>
      </c>
      <c r="M246" s="32"/>
    </row>
    <row r="247" spans="1:13" ht="15.2" customHeight="1" x14ac:dyDescent="0.2">
      <c r="A247" s="26" t="s">
        <v>5504</v>
      </c>
      <c r="B247" s="27" t="s">
        <v>5505</v>
      </c>
      <c r="C247" s="28">
        <v>1</v>
      </c>
      <c r="D247" s="29">
        <v>20.52</v>
      </c>
      <c r="E247" s="29">
        <v>20.52</v>
      </c>
      <c r="F247" s="30">
        <v>59.5</v>
      </c>
      <c r="G247" s="29">
        <v>59.5</v>
      </c>
      <c r="H247" s="28" t="s">
        <v>2727</v>
      </c>
      <c r="I247" s="27" t="s">
        <v>26</v>
      </c>
      <c r="J247" s="31" t="s">
        <v>21</v>
      </c>
      <c r="K247" s="27" t="s">
        <v>53</v>
      </c>
      <c r="L247" s="27" t="s">
        <v>167</v>
      </c>
      <c r="M247" s="32"/>
    </row>
    <row r="248" spans="1:13" ht="15.2" customHeight="1" x14ac:dyDescent="0.2">
      <c r="A248" s="26" t="s">
        <v>5506</v>
      </c>
      <c r="B248" s="27" t="s">
        <v>5507</v>
      </c>
      <c r="C248" s="28">
        <v>1</v>
      </c>
      <c r="D248" s="29">
        <v>19.91</v>
      </c>
      <c r="E248" s="29">
        <v>19.91</v>
      </c>
      <c r="F248" s="30">
        <v>59.5</v>
      </c>
      <c r="G248" s="29">
        <v>59.5</v>
      </c>
      <c r="H248" s="28" t="s">
        <v>5508</v>
      </c>
      <c r="I248" s="27" t="s">
        <v>271</v>
      </c>
      <c r="J248" s="31" t="s">
        <v>5</v>
      </c>
      <c r="K248" s="27" t="s">
        <v>53</v>
      </c>
      <c r="L248" s="27" t="s">
        <v>167</v>
      </c>
      <c r="M248" s="32"/>
    </row>
    <row r="249" spans="1:13" ht="15.2" customHeight="1" x14ac:dyDescent="0.2">
      <c r="A249" s="26" t="s">
        <v>5826</v>
      </c>
      <c r="B249" s="27" t="s">
        <v>486</v>
      </c>
      <c r="C249" s="28">
        <v>1</v>
      </c>
      <c r="D249" s="29">
        <v>19.8</v>
      </c>
      <c r="E249" s="29">
        <v>19.8</v>
      </c>
      <c r="F249" s="30">
        <v>49.5</v>
      </c>
      <c r="G249" s="29">
        <v>49.5</v>
      </c>
      <c r="H249" s="28" t="s">
        <v>487</v>
      </c>
      <c r="I249" s="27" t="s">
        <v>144</v>
      </c>
      <c r="J249" s="31" t="s">
        <v>21</v>
      </c>
      <c r="K249" s="27" t="s">
        <v>27</v>
      </c>
      <c r="L249" s="27" t="s">
        <v>28</v>
      </c>
      <c r="M249" s="32"/>
    </row>
    <row r="250" spans="1:13" ht="15.2" customHeight="1" x14ac:dyDescent="0.2">
      <c r="A250" s="26" t="s">
        <v>488</v>
      </c>
      <c r="B250" s="27" t="s">
        <v>486</v>
      </c>
      <c r="C250" s="28">
        <v>1</v>
      </c>
      <c r="D250" s="29">
        <v>19.8</v>
      </c>
      <c r="E250" s="29">
        <v>19.8</v>
      </c>
      <c r="F250" s="30">
        <v>49.5</v>
      </c>
      <c r="G250" s="29">
        <v>49.5</v>
      </c>
      <c r="H250" s="28" t="s">
        <v>487</v>
      </c>
      <c r="I250" s="27" t="s">
        <v>144</v>
      </c>
      <c r="J250" s="31" t="s">
        <v>5</v>
      </c>
      <c r="K250" s="27" t="s">
        <v>27</v>
      </c>
      <c r="L250" s="27" t="s">
        <v>28</v>
      </c>
      <c r="M250" s="32"/>
    </row>
    <row r="251" spans="1:13" ht="15.2" customHeight="1" x14ac:dyDescent="0.2">
      <c r="A251" s="26" t="s">
        <v>3499</v>
      </c>
      <c r="B251" s="27" t="s">
        <v>3500</v>
      </c>
      <c r="C251" s="28">
        <v>1</v>
      </c>
      <c r="D251" s="29">
        <v>19.5</v>
      </c>
      <c r="E251" s="29">
        <v>19.5</v>
      </c>
      <c r="F251" s="30">
        <v>59</v>
      </c>
      <c r="G251" s="29">
        <v>59</v>
      </c>
      <c r="H251" s="28" t="s">
        <v>3065</v>
      </c>
      <c r="I251" s="27" t="s">
        <v>1</v>
      </c>
      <c r="J251" s="31" t="s">
        <v>40</v>
      </c>
      <c r="K251" s="27" t="s">
        <v>24</v>
      </c>
      <c r="L251" s="27" t="s">
        <v>128</v>
      </c>
      <c r="M251" s="32"/>
    </row>
    <row r="252" spans="1:13" ht="15.2" customHeight="1" x14ac:dyDescent="0.2">
      <c r="A252" s="26" t="s">
        <v>5827</v>
      </c>
      <c r="B252" s="27" t="s">
        <v>5828</v>
      </c>
      <c r="C252" s="28">
        <v>1</v>
      </c>
      <c r="D252" s="29">
        <v>19.5</v>
      </c>
      <c r="E252" s="29">
        <v>19.5</v>
      </c>
      <c r="F252" s="30">
        <v>69</v>
      </c>
      <c r="G252" s="29">
        <v>69</v>
      </c>
      <c r="H252" s="28" t="s">
        <v>5829</v>
      </c>
      <c r="I252" s="27"/>
      <c r="J252" s="31" t="s">
        <v>32</v>
      </c>
      <c r="K252" s="27" t="s">
        <v>132</v>
      </c>
      <c r="L252" s="27" t="s">
        <v>190</v>
      </c>
      <c r="M252" s="32"/>
    </row>
    <row r="253" spans="1:13" ht="15.2" customHeight="1" x14ac:dyDescent="0.2">
      <c r="A253" s="26" t="s">
        <v>981</v>
      </c>
      <c r="B253" s="27" t="s">
        <v>982</v>
      </c>
      <c r="C253" s="28">
        <v>1</v>
      </c>
      <c r="D253" s="29">
        <v>18.420000000000002</v>
      </c>
      <c r="E253" s="29">
        <v>18.420000000000002</v>
      </c>
      <c r="F253" s="30">
        <v>49.5</v>
      </c>
      <c r="G253" s="29">
        <v>49.5</v>
      </c>
      <c r="H253" s="28" t="s">
        <v>983</v>
      </c>
      <c r="I253" s="27" t="s">
        <v>4</v>
      </c>
      <c r="J253" s="31" t="s">
        <v>40</v>
      </c>
      <c r="K253" s="27" t="s">
        <v>53</v>
      </c>
      <c r="L253" s="27" t="s">
        <v>54</v>
      </c>
      <c r="M253" s="32"/>
    </row>
    <row r="254" spans="1:13" ht="15.2" customHeight="1" x14ac:dyDescent="0.2">
      <c r="A254" s="26" t="s">
        <v>4383</v>
      </c>
      <c r="B254" s="27" t="s">
        <v>982</v>
      </c>
      <c r="C254" s="28">
        <v>1</v>
      </c>
      <c r="D254" s="29">
        <v>18.420000000000002</v>
      </c>
      <c r="E254" s="29">
        <v>18.420000000000002</v>
      </c>
      <c r="F254" s="30">
        <v>49.5</v>
      </c>
      <c r="G254" s="29">
        <v>49.5</v>
      </c>
      <c r="H254" s="28" t="s">
        <v>983</v>
      </c>
      <c r="I254" s="27" t="s">
        <v>4</v>
      </c>
      <c r="J254" s="31" t="s">
        <v>52</v>
      </c>
      <c r="K254" s="27" t="s">
        <v>53</v>
      </c>
      <c r="L254" s="27" t="s">
        <v>54</v>
      </c>
      <c r="M254" s="32"/>
    </row>
    <row r="255" spans="1:13" ht="15.2" customHeight="1" x14ac:dyDescent="0.2">
      <c r="A255" s="26" t="s">
        <v>4859</v>
      </c>
      <c r="B255" s="27" t="s">
        <v>494</v>
      </c>
      <c r="C255" s="28">
        <v>1</v>
      </c>
      <c r="D255" s="29">
        <v>18.07</v>
      </c>
      <c r="E255" s="29">
        <v>18.07</v>
      </c>
      <c r="F255" s="30">
        <v>49.5</v>
      </c>
      <c r="G255" s="29">
        <v>49.5</v>
      </c>
      <c r="H255" s="28" t="s">
        <v>495</v>
      </c>
      <c r="I255" s="27" t="s">
        <v>82</v>
      </c>
      <c r="J255" s="31" t="s">
        <v>71</v>
      </c>
      <c r="K255" s="27" t="s">
        <v>41</v>
      </c>
      <c r="L255" s="27" t="s">
        <v>45</v>
      </c>
      <c r="M255" s="32"/>
    </row>
    <row r="256" spans="1:13" ht="15.2" customHeight="1" x14ac:dyDescent="0.2">
      <c r="A256" s="26" t="s">
        <v>5830</v>
      </c>
      <c r="B256" s="27" t="s">
        <v>5831</v>
      </c>
      <c r="C256" s="28">
        <v>1</v>
      </c>
      <c r="D256" s="29">
        <v>18</v>
      </c>
      <c r="E256" s="29">
        <v>18</v>
      </c>
      <c r="F256" s="30">
        <v>59</v>
      </c>
      <c r="G256" s="29">
        <v>59</v>
      </c>
      <c r="H256" s="28" t="s">
        <v>1622</v>
      </c>
      <c r="I256" s="27" t="s">
        <v>59</v>
      </c>
      <c r="J256" s="31" t="s">
        <v>113</v>
      </c>
      <c r="K256" s="27" t="s">
        <v>24</v>
      </c>
      <c r="L256" s="27" t="s">
        <v>25</v>
      </c>
      <c r="M256" s="32"/>
    </row>
    <row r="257" spans="1:13" ht="15.2" customHeight="1" x14ac:dyDescent="0.2">
      <c r="A257" s="26" t="s">
        <v>3515</v>
      </c>
      <c r="B257" s="27" t="s">
        <v>3516</v>
      </c>
      <c r="C257" s="28">
        <v>1</v>
      </c>
      <c r="D257" s="29">
        <v>17.850000000000001</v>
      </c>
      <c r="E257" s="29">
        <v>17.850000000000001</v>
      </c>
      <c r="F257" s="30">
        <v>59.5</v>
      </c>
      <c r="G257" s="29">
        <v>59.5</v>
      </c>
      <c r="H257" s="28">
        <v>49022935</v>
      </c>
      <c r="I257" s="27" t="s">
        <v>4</v>
      </c>
      <c r="J257" s="31" t="s">
        <v>5</v>
      </c>
      <c r="K257" s="27" t="s">
        <v>6</v>
      </c>
      <c r="L257" s="27" t="s">
        <v>7</v>
      </c>
      <c r="M257" s="32"/>
    </row>
    <row r="258" spans="1:13" ht="15.2" customHeight="1" x14ac:dyDescent="0.2">
      <c r="A258" s="26" t="s">
        <v>2444</v>
      </c>
      <c r="B258" s="27" t="s">
        <v>2442</v>
      </c>
      <c r="C258" s="28">
        <v>1</v>
      </c>
      <c r="D258" s="29">
        <v>17.72</v>
      </c>
      <c r="E258" s="29">
        <v>17.72</v>
      </c>
      <c r="F258" s="30">
        <v>49.5</v>
      </c>
      <c r="G258" s="29">
        <v>49.5</v>
      </c>
      <c r="H258" s="28" t="s">
        <v>2443</v>
      </c>
      <c r="I258" s="27" t="s">
        <v>4</v>
      </c>
      <c r="J258" s="31" t="s">
        <v>5</v>
      </c>
      <c r="K258" s="27" t="s">
        <v>53</v>
      </c>
      <c r="L258" s="27" t="s">
        <v>54</v>
      </c>
      <c r="M258" s="32"/>
    </row>
    <row r="259" spans="1:13" ht="15.2" customHeight="1" x14ac:dyDescent="0.2">
      <c r="A259" s="26" t="s">
        <v>5832</v>
      </c>
      <c r="B259" s="27" t="s">
        <v>5833</v>
      </c>
      <c r="C259" s="28">
        <v>1</v>
      </c>
      <c r="D259" s="29">
        <v>17.25</v>
      </c>
      <c r="E259" s="29">
        <v>17.25</v>
      </c>
      <c r="F259" s="30">
        <v>49</v>
      </c>
      <c r="G259" s="29">
        <v>49</v>
      </c>
      <c r="H259" s="28" t="s">
        <v>4860</v>
      </c>
      <c r="I259" s="27" t="s">
        <v>357</v>
      </c>
      <c r="J259" s="31" t="s">
        <v>52</v>
      </c>
      <c r="K259" s="27" t="s">
        <v>37</v>
      </c>
      <c r="L259" s="27" t="s">
        <v>38</v>
      </c>
      <c r="M259" s="32"/>
    </row>
    <row r="260" spans="1:13" ht="15.2" customHeight="1" x14ac:dyDescent="0.2">
      <c r="A260" s="26" t="s">
        <v>5834</v>
      </c>
      <c r="B260" s="27" t="s">
        <v>5835</v>
      </c>
      <c r="C260" s="28">
        <v>1</v>
      </c>
      <c r="D260" s="29">
        <v>17</v>
      </c>
      <c r="E260" s="29">
        <v>17</v>
      </c>
      <c r="F260" s="30">
        <v>42.99</v>
      </c>
      <c r="G260" s="29">
        <v>42.99</v>
      </c>
      <c r="H260" s="28" t="s">
        <v>4665</v>
      </c>
      <c r="I260" s="27" t="s">
        <v>4</v>
      </c>
      <c r="J260" s="31" t="s">
        <v>71</v>
      </c>
      <c r="K260" s="27" t="s">
        <v>70</v>
      </c>
      <c r="L260" s="27" t="s">
        <v>155</v>
      </c>
      <c r="M260" s="32"/>
    </row>
    <row r="261" spans="1:13" ht="15.2" customHeight="1" x14ac:dyDescent="0.2">
      <c r="A261" s="26" t="s">
        <v>5836</v>
      </c>
      <c r="B261" s="27" t="s">
        <v>5837</v>
      </c>
      <c r="C261" s="28">
        <v>1</v>
      </c>
      <c r="D261" s="29">
        <v>17</v>
      </c>
      <c r="E261" s="29">
        <v>17</v>
      </c>
      <c r="F261" s="30">
        <v>44.5</v>
      </c>
      <c r="G261" s="29">
        <v>44.5</v>
      </c>
      <c r="H261" s="28" t="s">
        <v>5838</v>
      </c>
      <c r="I261" s="27" t="s">
        <v>36</v>
      </c>
      <c r="J261" s="31" t="s">
        <v>40</v>
      </c>
      <c r="K261" s="27" t="s">
        <v>17</v>
      </c>
      <c r="L261" s="27" t="s">
        <v>18</v>
      </c>
      <c r="M261" s="32"/>
    </row>
    <row r="262" spans="1:13" ht="15.2" customHeight="1" x14ac:dyDescent="0.2">
      <c r="A262" s="26" t="s">
        <v>4514</v>
      </c>
      <c r="B262" s="27" t="s">
        <v>4515</v>
      </c>
      <c r="C262" s="28">
        <v>1</v>
      </c>
      <c r="D262" s="29">
        <v>16.91</v>
      </c>
      <c r="E262" s="29">
        <v>16.91</v>
      </c>
      <c r="F262" s="30">
        <v>39.5</v>
      </c>
      <c r="G262" s="29">
        <v>39.5</v>
      </c>
      <c r="H262" s="28" t="s">
        <v>3528</v>
      </c>
      <c r="I262" s="27" t="s">
        <v>4</v>
      </c>
      <c r="J262" s="31" t="s">
        <v>71</v>
      </c>
      <c r="K262" s="27" t="s">
        <v>53</v>
      </c>
      <c r="L262" s="27" t="s">
        <v>54</v>
      </c>
      <c r="M262" s="32"/>
    </row>
    <row r="263" spans="1:13" ht="15.2" customHeight="1" x14ac:dyDescent="0.2">
      <c r="A263" s="26" t="s">
        <v>3526</v>
      </c>
      <c r="B263" s="27" t="s">
        <v>3527</v>
      </c>
      <c r="C263" s="28">
        <v>1</v>
      </c>
      <c r="D263" s="29">
        <v>16.91</v>
      </c>
      <c r="E263" s="29">
        <v>16.91</v>
      </c>
      <c r="F263" s="30">
        <v>39.5</v>
      </c>
      <c r="G263" s="29">
        <v>39.5</v>
      </c>
      <c r="H263" s="28" t="s">
        <v>3528</v>
      </c>
      <c r="I263" s="27" t="s">
        <v>4</v>
      </c>
      <c r="J263" s="31" t="s">
        <v>65</v>
      </c>
      <c r="K263" s="27" t="s">
        <v>53</v>
      </c>
      <c r="L263" s="27" t="s">
        <v>54</v>
      </c>
      <c r="M263" s="32"/>
    </row>
    <row r="264" spans="1:13" ht="15.2" customHeight="1" x14ac:dyDescent="0.2">
      <c r="A264" s="26" t="s">
        <v>996</v>
      </c>
      <c r="B264" s="27" t="s">
        <v>997</v>
      </c>
      <c r="C264" s="28">
        <v>1</v>
      </c>
      <c r="D264" s="29">
        <v>16.75</v>
      </c>
      <c r="E264" s="29">
        <v>16.75</v>
      </c>
      <c r="F264" s="30">
        <v>41.99</v>
      </c>
      <c r="G264" s="29">
        <v>41.99</v>
      </c>
      <c r="H264" s="28" t="s">
        <v>998</v>
      </c>
      <c r="I264" s="27" t="s">
        <v>4</v>
      </c>
      <c r="J264" s="31" t="s">
        <v>5</v>
      </c>
      <c r="K264" s="27" t="s">
        <v>70</v>
      </c>
      <c r="L264" s="27" t="s">
        <v>999</v>
      </c>
      <c r="M264" s="32"/>
    </row>
    <row r="265" spans="1:13" ht="15.2" customHeight="1" x14ac:dyDescent="0.2">
      <c r="A265" s="26" t="s">
        <v>5839</v>
      </c>
      <c r="B265" s="27" t="s">
        <v>2011</v>
      </c>
      <c r="C265" s="28">
        <v>1</v>
      </c>
      <c r="D265" s="29">
        <v>15.8</v>
      </c>
      <c r="E265" s="29">
        <v>15.8</v>
      </c>
      <c r="F265" s="30">
        <v>39.5</v>
      </c>
      <c r="G265" s="29">
        <v>39.5</v>
      </c>
      <c r="H265" s="28" t="s">
        <v>2012</v>
      </c>
      <c r="I265" s="27" t="s">
        <v>144</v>
      </c>
      <c r="J265" s="31" t="s">
        <v>71</v>
      </c>
      <c r="K265" s="27" t="s">
        <v>27</v>
      </c>
      <c r="L265" s="27" t="s">
        <v>28</v>
      </c>
      <c r="M265" s="32"/>
    </row>
    <row r="266" spans="1:13" ht="15.2" customHeight="1" x14ac:dyDescent="0.2">
      <c r="A266" s="26" t="s">
        <v>4387</v>
      </c>
      <c r="B266" s="27" t="s">
        <v>4388</v>
      </c>
      <c r="C266" s="28">
        <v>1</v>
      </c>
      <c r="D266" s="29">
        <v>15</v>
      </c>
      <c r="E266" s="29">
        <v>15</v>
      </c>
      <c r="F266" s="30">
        <v>49</v>
      </c>
      <c r="G266" s="29">
        <v>49</v>
      </c>
      <c r="H266" s="28" t="s">
        <v>3074</v>
      </c>
      <c r="I266" s="27" t="s">
        <v>4</v>
      </c>
      <c r="J266" s="31" t="s">
        <v>5</v>
      </c>
      <c r="K266" s="27" t="s">
        <v>24</v>
      </c>
      <c r="L266" s="27" t="s">
        <v>101</v>
      </c>
      <c r="M266" s="32"/>
    </row>
    <row r="267" spans="1:13" ht="15.2" customHeight="1" x14ac:dyDescent="0.2">
      <c r="A267" s="26" t="s">
        <v>5840</v>
      </c>
      <c r="B267" s="27" t="s">
        <v>4242</v>
      </c>
      <c r="C267" s="28">
        <v>2</v>
      </c>
      <c r="D267" s="29">
        <v>15</v>
      </c>
      <c r="E267" s="29">
        <v>30</v>
      </c>
      <c r="F267" s="30">
        <v>59</v>
      </c>
      <c r="G267" s="29">
        <v>118</v>
      </c>
      <c r="H267" s="28" t="s">
        <v>4243</v>
      </c>
      <c r="I267" s="27" t="s">
        <v>285</v>
      </c>
      <c r="J267" s="31" t="s">
        <v>5</v>
      </c>
      <c r="K267" s="27" t="s">
        <v>24</v>
      </c>
      <c r="L267" s="27" t="s">
        <v>1079</v>
      </c>
      <c r="M267" s="32"/>
    </row>
    <row r="268" spans="1:13" ht="15.2" customHeight="1" x14ac:dyDescent="0.2">
      <c r="A268" s="26" t="s">
        <v>5841</v>
      </c>
      <c r="B268" s="27" t="s">
        <v>4671</v>
      </c>
      <c r="C268" s="28">
        <v>1</v>
      </c>
      <c r="D268" s="29">
        <v>14.65</v>
      </c>
      <c r="E268" s="29">
        <v>14.65</v>
      </c>
      <c r="F268" s="30">
        <v>34.99</v>
      </c>
      <c r="G268" s="29">
        <v>34.99</v>
      </c>
      <c r="H268" s="28" t="s">
        <v>4672</v>
      </c>
      <c r="I268" s="27" t="s">
        <v>1</v>
      </c>
      <c r="J268" s="31" t="s">
        <v>21</v>
      </c>
      <c r="K268" s="27" t="s">
        <v>159</v>
      </c>
      <c r="L268" s="27" t="s">
        <v>160</v>
      </c>
      <c r="M268" s="32"/>
    </row>
    <row r="269" spans="1:13" ht="15.2" customHeight="1" x14ac:dyDescent="0.2">
      <c r="A269" s="26" t="s">
        <v>5842</v>
      </c>
      <c r="B269" s="27" t="s">
        <v>4671</v>
      </c>
      <c r="C269" s="28">
        <v>1</v>
      </c>
      <c r="D269" s="29">
        <v>14.65</v>
      </c>
      <c r="E269" s="29">
        <v>14.65</v>
      </c>
      <c r="F269" s="30">
        <v>34.99</v>
      </c>
      <c r="G269" s="29">
        <v>34.99</v>
      </c>
      <c r="H269" s="28" t="s">
        <v>4672</v>
      </c>
      <c r="I269" s="27" t="s">
        <v>1</v>
      </c>
      <c r="J269" s="31" t="s">
        <v>71</v>
      </c>
      <c r="K269" s="27" t="s">
        <v>159</v>
      </c>
      <c r="L269" s="27" t="s">
        <v>160</v>
      </c>
      <c r="M269" s="32"/>
    </row>
    <row r="270" spans="1:13" ht="15.2" customHeight="1" x14ac:dyDescent="0.2">
      <c r="A270" s="26" t="s">
        <v>5843</v>
      </c>
      <c r="B270" s="27" t="s">
        <v>1012</v>
      </c>
      <c r="C270" s="28">
        <v>1</v>
      </c>
      <c r="D270" s="29">
        <v>14.65</v>
      </c>
      <c r="E270" s="29">
        <v>14.65</v>
      </c>
      <c r="F270" s="30">
        <v>34.99</v>
      </c>
      <c r="G270" s="29">
        <v>34.99</v>
      </c>
      <c r="H270" s="28" t="s">
        <v>1013</v>
      </c>
      <c r="I270" s="27" t="s">
        <v>4</v>
      </c>
      <c r="J270" s="31" t="s">
        <v>40</v>
      </c>
      <c r="K270" s="27" t="s">
        <v>159</v>
      </c>
      <c r="L270" s="27" t="s">
        <v>160</v>
      </c>
      <c r="M270" s="32"/>
    </row>
    <row r="271" spans="1:13" ht="15.2" customHeight="1" x14ac:dyDescent="0.2">
      <c r="A271" s="26" t="s">
        <v>5511</v>
      </c>
      <c r="B271" s="27" t="s">
        <v>5512</v>
      </c>
      <c r="C271" s="28">
        <v>1</v>
      </c>
      <c r="D271" s="29">
        <v>14.5</v>
      </c>
      <c r="E271" s="29">
        <v>14.5</v>
      </c>
      <c r="F271" s="30">
        <v>29.99</v>
      </c>
      <c r="G271" s="29">
        <v>29.99</v>
      </c>
      <c r="H271" s="28" t="s">
        <v>4781</v>
      </c>
      <c r="I271" s="27" t="s">
        <v>29</v>
      </c>
      <c r="J271" s="31" t="s">
        <v>216</v>
      </c>
      <c r="K271" s="27" t="s">
        <v>200</v>
      </c>
      <c r="L271" s="27" t="s">
        <v>552</v>
      </c>
      <c r="M271" s="32"/>
    </row>
    <row r="272" spans="1:13" ht="15.2" customHeight="1" x14ac:dyDescent="0.2">
      <c r="A272" s="26" t="s">
        <v>4389</v>
      </c>
      <c r="B272" s="27" t="s">
        <v>534</v>
      </c>
      <c r="C272" s="28">
        <v>1</v>
      </c>
      <c r="D272" s="29">
        <v>14.42</v>
      </c>
      <c r="E272" s="29">
        <v>14.42</v>
      </c>
      <c r="F272" s="30">
        <v>39.5</v>
      </c>
      <c r="G272" s="29">
        <v>39.5</v>
      </c>
      <c r="H272" s="28" t="s">
        <v>535</v>
      </c>
      <c r="I272" s="27" t="s">
        <v>103</v>
      </c>
      <c r="J272" s="31" t="s">
        <v>21</v>
      </c>
      <c r="K272" s="27" t="s">
        <v>41</v>
      </c>
      <c r="L272" s="27" t="s">
        <v>45</v>
      </c>
      <c r="M272" s="32"/>
    </row>
    <row r="273" spans="1:13" ht="15.2" customHeight="1" x14ac:dyDescent="0.2">
      <c r="A273" s="26" t="s">
        <v>2463</v>
      </c>
      <c r="B273" s="27" t="s">
        <v>528</v>
      </c>
      <c r="C273" s="28">
        <v>2</v>
      </c>
      <c r="D273" s="29">
        <v>14.42</v>
      </c>
      <c r="E273" s="29">
        <v>28.84</v>
      </c>
      <c r="F273" s="30">
        <v>39.5</v>
      </c>
      <c r="G273" s="29">
        <v>79</v>
      </c>
      <c r="H273" s="28" t="s">
        <v>529</v>
      </c>
      <c r="I273" s="27" t="s">
        <v>22</v>
      </c>
      <c r="J273" s="31" t="s">
        <v>21</v>
      </c>
      <c r="K273" s="27" t="s">
        <v>41</v>
      </c>
      <c r="L273" s="27" t="s">
        <v>45</v>
      </c>
      <c r="M273" s="32"/>
    </row>
    <row r="274" spans="1:13" ht="15.2" customHeight="1" x14ac:dyDescent="0.2">
      <c r="A274" s="26" t="s">
        <v>4782</v>
      </c>
      <c r="B274" s="27" t="s">
        <v>4783</v>
      </c>
      <c r="C274" s="28">
        <v>1</v>
      </c>
      <c r="D274" s="29">
        <v>14.42</v>
      </c>
      <c r="E274" s="29">
        <v>14.42</v>
      </c>
      <c r="F274" s="30">
        <v>39.5</v>
      </c>
      <c r="G274" s="29">
        <v>39.5</v>
      </c>
      <c r="H274" s="28" t="s">
        <v>546</v>
      </c>
      <c r="I274" s="27" t="s">
        <v>26</v>
      </c>
      <c r="J274" s="31" t="s">
        <v>5</v>
      </c>
      <c r="K274" s="27" t="s">
        <v>41</v>
      </c>
      <c r="L274" s="27" t="s">
        <v>45</v>
      </c>
      <c r="M274" s="32"/>
    </row>
    <row r="275" spans="1:13" ht="15.2" customHeight="1" x14ac:dyDescent="0.2">
      <c r="A275" s="26" t="s">
        <v>2015</v>
      </c>
      <c r="B275" s="27" t="s">
        <v>2016</v>
      </c>
      <c r="C275" s="28">
        <v>1</v>
      </c>
      <c r="D275" s="29">
        <v>14.42</v>
      </c>
      <c r="E275" s="29">
        <v>14.42</v>
      </c>
      <c r="F275" s="30">
        <v>39.5</v>
      </c>
      <c r="G275" s="29">
        <v>39.5</v>
      </c>
      <c r="H275" s="28" t="s">
        <v>546</v>
      </c>
      <c r="I275" s="27" t="s">
        <v>26</v>
      </c>
      <c r="J275" s="31" t="s">
        <v>40</v>
      </c>
      <c r="K275" s="27" t="s">
        <v>41</v>
      </c>
      <c r="L275" s="27" t="s">
        <v>45</v>
      </c>
      <c r="M275" s="32"/>
    </row>
    <row r="276" spans="1:13" ht="15.2" customHeight="1" x14ac:dyDescent="0.2">
      <c r="A276" s="26" t="s">
        <v>1645</v>
      </c>
      <c r="B276" s="27" t="s">
        <v>534</v>
      </c>
      <c r="C276" s="28">
        <v>1</v>
      </c>
      <c r="D276" s="29">
        <v>14.42</v>
      </c>
      <c r="E276" s="29">
        <v>14.42</v>
      </c>
      <c r="F276" s="30">
        <v>39.5</v>
      </c>
      <c r="G276" s="29">
        <v>39.5</v>
      </c>
      <c r="H276" s="28" t="s">
        <v>535</v>
      </c>
      <c r="I276" s="27" t="s">
        <v>33</v>
      </c>
      <c r="J276" s="31" t="s">
        <v>71</v>
      </c>
      <c r="K276" s="27" t="s">
        <v>41</v>
      </c>
      <c r="L276" s="27" t="s">
        <v>45</v>
      </c>
      <c r="M276" s="32"/>
    </row>
    <row r="277" spans="1:13" ht="15.2" customHeight="1" x14ac:dyDescent="0.2">
      <c r="A277" s="26" t="s">
        <v>5562</v>
      </c>
      <c r="B277" s="27" t="s">
        <v>528</v>
      </c>
      <c r="C277" s="28">
        <v>1</v>
      </c>
      <c r="D277" s="29">
        <v>14.42</v>
      </c>
      <c r="E277" s="29">
        <v>14.42</v>
      </c>
      <c r="F277" s="30">
        <v>39.5</v>
      </c>
      <c r="G277" s="29">
        <v>39.5</v>
      </c>
      <c r="H277" s="28" t="s">
        <v>529</v>
      </c>
      <c r="I277" s="27" t="s">
        <v>22</v>
      </c>
      <c r="J277" s="31" t="s">
        <v>172</v>
      </c>
      <c r="K277" s="27" t="s">
        <v>41</v>
      </c>
      <c r="L277" s="27" t="s">
        <v>45</v>
      </c>
      <c r="M277" s="32"/>
    </row>
    <row r="278" spans="1:13" ht="15.2" customHeight="1" x14ac:dyDescent="0.2">
      <c r="A278" s="26" t="s">
        <v>5513</v>
      </c>
      <c r="B278" s="27" t="s">
        <v>528</v>
      </c>
      <c r="C278" s="28">
        <v>1</v>
      </c>
      <c r="D278" s="29">
        <v>14.42</v>
      </c>
      <c r="E278" s="29">
        <v>14.42</v>
      </c>
      <c r="F278" s="30">
        <v>39.5</v>
      </c>
      <c r="G278" s="29">
        <v>39.5</v>
      </c>
      <c r="H278" s="28" t="s">
        <v>529</v>
      </c>
      <c r="I278" s="27" t="s">
        <v>22</v>
      </c>
      <c r="J278" s="31" t="s">
        <v>52</v>
      </c>
      <c r="K278" s="27" t="s">
        <v>41</v>
      </c>
      <c r="L278" s="27" t="s">
        <v>45</v>
      </c>
      <c r="M278" s="32"/>
    </row>
    <row r="279" spans="1:13" ht="15.2" customHeight="1" x14ac:dyDescent="0.2">
      <c r="A279" s="26" t="s">
        <v>5844</v>
      </c>
      <c r="B279" s="27" t="s">
        <v>534</v>
      </c>
      <c r="C279" s="28">
        <v>1</v>
      </c>
      <c r="D279" s="29">
        <v>14.42</v>
      </c>
      <c r="E279" s="29">
        <v>14.42</v>
      </c>
      <c r="F279" s="30">
        <v>39.5</v>
      </c>
      <c r="G279" s="29">
        <v>39.5</v>
      </c>
      <c r="H279" s="28" t="s">
        <v>535</v>
      </c>
      <c r="I279" s="27" t="s">
        <v>103</v>
      </c>
      <c r="J279" s="31" t="s">
        <v>52</v>
      </c>
      <c r="K279" s="27" t="s">
        <v>41</v>
      </c>
      <c r="L279" s="27" t="s">
        <v>45</v>
      </c>
      <c r="M279" s="32"/>
    </row>
    <row r="280" spans="1:13" ht="15.2" customHeight="1" x14ac:dyDescent="0.2">
      <c r="A280" s="26" t="s">
        <v>5845</v>
      </c>
      <c r="B280" s="27" t="s">
        <v>5846</v>
      </c>
      <c r="C280" s="28">
        <v>1</v>
      </c>
      <c r="D280" s="29">
        <v>14.42</v>
      </c>
      <c r="E280" s="29">
        <v>14.42</v>
      </c>
      <c r="F280" s="30">
        <v>39.5</v>
      </c>
      <c r="G280" s="29">
        <v>39.5</v>
      </c>
      <c r="H280" s="28" t="s">
        <v>4079</v>
      </c>
      <c r="I280" s="27" t="s">
        <v>1103</v>
      </c>
      <c r="J280" s="31" t="s">
        <v>5</v>
      </c>
      <c r="K280" s="27" t="s">
        <v>41</v>
      </c>
      <c r="L280" s="27" t="s">
        <v>45</v>
      </c>
      <c r="M280" s="32"/>
    </row>
    <row r="281" spans="1:13" ht="15.2" customHeight="1" x14ac:dyDescent="0.2">
      <c r="A281" s="26" t="s">
        <v>533</v>
      </c>
      <c r="B281" s="27" t="s">
        <v>528</v>
      </c>
      <c r="C281" s="28">
        <v>1</v>
      </c>
      <c r="D281" s="29">
        <v>14.42</v>
      </c>
      <c r="E281" s="29">
        <v>14.42</v>
      </c>
      <c r="F281" s="30">
        <v>39.5</v>
      </c>
      <c r="G281" s="29">
        <v>39.5</v>
      </c>
      <c r="H281" s="28" t="s">
        <v>529</v>
      </c>
      <c r="I281" s="27" t="s">
        <v>280</v>
      </c>
      <c r="J281" s="31" t="s">
        <v>40</v>
      </c>
      <c r="K281" s="27" t="s">
        <v>41</v>
      </c>
      <c r="L281" s="27" t="s">
        <v>45</v>
      </c>
      <c r="M281" s="32"/>
    </row>
    <row r="282" spans="1:13" ht="15.2" customHeight="1" x14ac:dyDescent="0.2">
      <c r="A282" s="26" t="s">
        <v>5847</v>
      </c>
      <c r="B282" s="27" t="s">
        <v>5848</v>
      </c>
      <c r="C282" s="28">
        <v>1</v>
      </c>
      <c r="D282" s="29">
        <v>14.1</v>
      </c>
      <c r="E282" s="29">
        <v>14.1</v>
      </c>
      <c r="F282" s="30">
        <v>39.5</v>
      </c>
      <c r="G282" s="29">
        <v>39.5</v>
      </c>
      <c r="H282" s="28" t="s">
        <v>1646</v>
      </c>
      <c r="I282" s="27" t="s">
        <v>82</v>
      </c>
      <c r="J282" s="31" t="s">
        <v>71</v>
      </c>
      <c r="K282" s="27" t="s">
        <v>53</v>
      </c>
      <c r="L282" s="27" t="s">
        <v>165</v>
      </c>
      <c r="M282" s="32"/>
    </row>
    <row r="283" spans="1:13" ht="15.2" customHeight="1" x14ac:dyDescent="0.2">
      <c r="A283" s="26" t="s">
        <v>5849</v>
      </c>
      <c r="B283" s="27" t="s">
        <v>5850</v>
      </c>
      <c r="C283" s="28">
        <v>1</v>
      </c>
      <c r="D283" s="29">
        <v>13.25</v>
      </c>
      <c r="E283" s="29">
        <v>13.25</v>
      </c>
      <c r="F283" s="30">
        <v>29.99</v>
      </c>
      <c r="G283" s="29">
        <v>29.99</v>
      </c>
      <c r="H283" s="28" t="s">
        <v>4676</v>
      </c>
      <c r="I283" s="27" t="s">
        <v>4</v>
      </c>
      <c r="J283" s="31" t="s">
        <v>230</v>
      </c>
      <c r="K283" s="27" t="s">
        <v>200</v>
      </c>
      <c r="L283" s="27" t="s">
        <v>1196</v>
      </c>
      <c r="M283" s="32"/>
    </row>
    <row r="284" spans="1:13" ht="15.2" customHeight="1" x14ac:dyDescent="0.2">
      <c r="A284" s="26" t="s">
        <v>5851</v>
      </c>
      <c r="B284" s="27" t="s">
        <v>5852</v>
      </c>
      <c r="C284" s="28">
        <v>1</v>
      </c>
      <c r="D284" s="29">
        <v>13.25</v>
      </c>
      <c r="E284" s="29">
        <v>13.25</v>
      </c>
      <c r="F284" s="30">
        <v>29.99</v>
      </c>
      <c r="G284" s="29">
        <v>29.99</v>
      </c>
      <c r="H284" s="28" t="s">
        <v>4676</v>
      </c>
      <c r="I284" s="27" t="s">
        <v>4</v>
      </c>
      <c r="J284" s="31" t="s">
        <v>113</v>
      </c>
      <c r="K284" s="27" t="s">
        <v>200</v>
      </c>
      <c r="L284" s="27" t="s">
        <v>1196</v>
      </c>
      <c r="M284" s="32"/>
    </row>
    <row r="285" spans="1:13" ht="15.2" customHeight="1" x14ac:dyDescent="0.2">
      <c r="A285" s="26" t="s">
        <v>5853</v>
      </c>
      <c r="B285" s="27" t="s">
        <v>5257</v>
      </c>
      <c r="C285" s="28">
        <v>1</v>
      </c>
      <c r="D285" s="29">
        <v>13.25</v>
      </c>
      <c r="E285" s="29">
        <v>13.25</v>
      </c>
      <c r="F285" s="30">
        <v>29.99</v>
      </c>
      <c r="G285" s="29">
        <v>29.99</v>
      </c>
      <c r="H285" s="28" t="s">
        <v>5258</v>
      </c>
      <c r="I285" s="27" t="s">
        <v>59</v>
      </c>
      <c r="J285" s="31" t="s">
        <v>230</v>
      </c>
      <c r="K285" s="27" t="s">
        <v>200</v>
      </c>
      <c r="L285" s="27" t="s">
        <v>1196</v>
      </c>
      <c r="M285" s="32"/>
    </row>
    <row r="286" spans="1:13" ht="15.2" customHeight="1" x14ac:dyDescent="0.2">
      <c r="A286" s="26" t="s">
        <v>5854</v>
      </c>
      <c r="B286" s="27" t="s">
        <v>5855</v>
      </c>
      <c r="C286" s="28">
        <v>1</v>
      </c>
      <c r="D286" s="29">
        <v>13.05</v>
      </c>
      <c r="E286" s="29">
        <v>13.05</v>
      </c>
      <c r="F286" s="30">
        <v>34.99</v>
      </c>
      <c r="G286" s="29">
        <v>34.99</v>
      </c>
      <c r="H286" s="28" t="s">
        <v>5263</v>
      </c>
      <c r="I286" s="27" t="s">
        <v>1</v>
      </c>
      <c r="J286" s="31" t="s">
        <v>205</v>
      </c>
      <c r="K286" s="27" t="s">
        <v>200</v>
      </c>
      <c r="L286" s="27" t="s">
        <v>287</v>
      </c>
      <c r="M286" s="32"/>
    </row>
    <row r="287" spans="1:13" ht="15.2" customHeight="1" x14ac:dyDescent="0.2">
      <c r="A287" s="26" t="s">
        <v>2751</v>
      </c>
      <c r="B287" s="27" t="s">
        <v>2752</v>
      </c>
      <c r="C287" s="28">
        <v>1</v>
      </c>
      <c r="D287" s="29">
        <v>12.5</v>
      </c>
      <c r="E287" s="29">
        <v>12.5</v>
      </c>
      <c r="F287" s="30">
        <v>29.99</v>
      </c>
      <c r="G287" s="29">
        <v>29.99</v>
      </c>
      <c r="H287" s="28" t="s">
        <v>2753</v>
      </c>
      <c r="I287" s="27" t="s">
        <v>4</v>
      </c>
      <c r="J287" s="31" t="s">
        <v>210</v>
      </c>
      <c r="K287" s="27" t="s">
        <v>200</v>
      </c>
      <c r="L287" s="27" t="s">
        <v>133</v>
      </c>
      <c r="M287" s="32"/>
    </row>
    <row r="288" spans="1:13" ht="15.2" customHeight="1" x14ac:dyDescent="0.2">
      <c r="A288" s="26" t="s">
        <v>5856</v>
      </c>
      <c r="B288" s="27" t="s">
        <v>5857</v>
      </c>
      <c r="C288" s="28">
        <v>1</v>
      </c>
      <c r="D288" s="29">
        <v>12.5</v>
      </c>
      <c r="E288" s="29">
        <v>12.5</v>
      </c>
      <c r="F288" s="30">
        <v>29.99</v>
      </c>
      <c r="G288" s="29">
        <v>29.99</v>
      </c>
      <c r="H288" s="28" t="s">
        <v>4682</v>
      </c>
      <c r="I288" s="27" t="s">
        <v>248</v>
      </c>
      <c r="J288" s="31" t="s">
        <v>69</v>
      </c>
      <c r="K288" s="27" t="s">
        <v>200</v>
      </c>
      <c r="L288" s="27" t="s">
        <v>133</v>
      </c>
      <c r="M288" s="32"/>
    </row>
    <row r="289" spans="1:13" ht="15.2" customHeight="1" x14ac:dyDescent="0.2">
      <c r="A289" s="26" t="s">
        <v>2755</v>
      </c>
      <c r="B289" s="27" t="s">
        <v>2756</v>
      </c>
      <c r="C289" s="28">
        <v>1</v>
      </c>
      <c r="D289" s="29">
        <v>12.4</v>
      </c>
      <c r="E289" s="29">
        <v>12.4</v>
      </c>
      <c r="F289" s="30">
        <v>27.99</v>
      </c>
      <c r="G289" s="29">
        <v>27.99</v>
      </c>
      <c r="H289" s="28" t="s">
        <v>2754</v>
      </c>
      <c r="I289" s="27" t="s">
        <v>1</v>
      </c>
      <c r="J289" s="31" t="s">
        <v>71</v>
      </c>
      <c r="K289" s="27" t="s">
        <v>208</v>
      </c>
      <c r="L289" s="27" t="s">
        <v>197</v>
      </c>
      <c r="M289" s="32"/>
    </row>
    <row r="290" spans="1:13" ht="15.2" customHeight="1" x14ac:dyDescent="0.2">
      <c r="A290" s="26" t="s">
        <v>556</v>
      </c>
      <c r="B290" s="27" t="s">
        <v>557</v>
      </c>
      <c r="C290" s="28">
        <v>1</v>
      </c>
      <c r="D290" s="29">
        <v>12.08</v>
      </c>
      <c r="E290" s="29">
        <v>12.08</v>
      </c>
      <c r="F290" s="30">
        <v>27.99</v>
      </c>
      <c r="G290" s="29">
        <v>27.99</v>
      </c>
      <c r="H290" s="28" t="s">
        <v>558</v>
      </c>
      <c r="I290" s="27" t="s">
        <v>4</v>
      </c>
      <c r="J290" s="31" t="s">
        <v>52</v>
      </c>
      <c r="K290" s="27" t="s">
        <v>224</v>
      </c>
      <c r="L290" s="27" t="s">
        <v>237</v>
      </c>
      <c r="M290" s="32"/>
    </row>
    <row r="291" spans="1:13" ht="15.2" customHeight="1" x14ac:dyDescent="0.2">
      <c r="A291" s="26" t="s">
        <v>5858</v>
      </c>
      <c r="B291" s="27" t="s">
        <v>5859</v>
      </c>
      <c r="C291" s="28">
        <v>1</v>
      </c>
      <c r="D291" s="29">
        <v>12</v>
      </c>
      <c r="E291" s="29">
        <v>12</v>
      </c>
      <c r="F291" s="30">
        <v>29.98</v>
      </c>
      <c r="G291" s="29">
        <v>29.98</v>
      </c>
      <c r="H291" s="28" t="s">
        <v>5860</v>
      </c>
      <c r="I291" s="27" t="s">
        <v>22</v>
      </c>
      <c r="J291" s="31" t="s">
        <v>5</v>
      </c>
      <c r="K291" s="27" t="s">
        <v>154</v>
      </c>
      <c r="L291" s="27" t="s">
        <v>155</v>
      </c>
      <c r="M291" s="32"/>
    </row>
    <row r="292" spans="1:13" ht="15.2" customHeight="1" x14ac:dyDescent="0.2">
      <c r="A292" s="26" t="s">
        <v>5861</v>
      </c>
      <c r="B292" s="27" t="s">
        <v>5862</v>
      </c>
      <c r="C292" s="28">
        <v>1</v>
      </c>
      <c r="D292" s="29">
        <v>12</v>
      </c>
      <c r="E292" s="29">
        <v>12</v>
      </c>
      <c r="F292" s="30">
        <v>25.99</v>
      </c>
      <c r="G292" s="29">
        <v>25.99</v>
      </c>
      <c r="H292" s="28" t="s">
        <v>4867</v>
      </c>
      <c r="I292" s="27" t="s">
        <v>66</v>
      </c>
      <c r="J292" s="31" t="s">
        <v>210</v>
      </c>
      <c r="K292" s="27" t="s">
        <v>200</v>
      </c>
      <c r="L292" s="27" t="s">
        <v>133</v>
      </c>
      <c r="M292" s="32"/>
    </row>
    <row r="293" spans="1:13" ht="15.2" customHeight="1" x14ac:dyDescent="0.2">
      <c r="A293" s="26" t="s">
        <v>1025</v>
      </c>
      <c r="B293" s="27" t="s">
        <v>1026</v>
      </c>
      <c r="C293" s="28">
        <v>1</v>
      </c>
      <c r="D293" s="29">
        <v>12</v>
      </c>
      <c r="E293" s="29">
        <v>12</v>
      </c>
      <c r="F293" s="30">
        <v>39</v>
      </c>
      <c r="G293" s="29">
        <v>39</v>
      </c>
      <c r="H293" s="28">
        <v>90302</v>
      </c>
      <c r="I293" s="27" t="s">
        <v>4</v>
      </c>
      <c r="J293" s="31" t="s">
        <v>5</v>
      </c>
      <c r="K293" s="27" t="s">
        <v>154</v>
      </c>
      <c r="L293" s="27" t="s">
        <v>155</v>
      </c>
      <c r="M293" s="32"/>
    </row>
    <row r="294" spans="1:13" ht="15.2" customHeight="1" x14ac:dyDescent="0.2">
      <c r="A294" s="26" t="s">
        <v>5863</v>
      </c>
      <c r="B294" s="27" t="s">
        <v>5864</v>
      </c>
      <c r="C294" s="28">
        <v>1</v>
      </c>
      <c r="D294" s="29">
        <v>12</v>
      </c>
      <c r="E294" s="29">
        <v>12</v>
      </c>
      <c r="F294" s="30">
        <v>39</v>
      </c>
      <c r="G294" s="29">
        <v>39</v>
      </c>
      <c r="H294" s="28" t="s">
        <v>5865</v>
      </c>
      <c r="I294" s="27" t="s">
        <v>4</v>
      </c>
      <c r="J294" s="31" t="s">
        <v>21</v>
      </c>
      <c r="K294" s="27" t="s">
        <v>154</v>
      </c>
      <c r="L294" s="27" t="s">
        <v>155</v>
      </c>
      <c r="M294" s="32"/>
    </row>
    <row r="295" spans="1:13" ht="15.2" customHeight="1" x14ac:dyDescent="0.2">
      <c r="A295" s="26" t="s">
        <v>5866</v>
      </c>
      <c r="B295" s="27" t="s">
        <v>5867</v>
      </c>
      <c r="C295" s="28">
        <v>1</v>
      </c>
      <c r="D295" s="29">
        <v>11.5</v>
      </c>
      <c r="E295" s="29">
        <v>11.5</v>
      </c>
      <c r="F295" s="30">
        <v>25.99</v>
      </c>
      <c r="G295" s="29">
        <v>25.99</v>
      </c>
      <c r="H295" s="28" t="s">
        <v>229</v>
      </c>
      <c r="I295" s="27"/>
      <c r="J295" s="31" t="s">
        <v>113</v>
      </c>
      <c r="K295" s="27" t="s">
        <v>200</v>
      </c>
      <c r="L295" s="27" t="s">
        <v>133</v>
      </c>
      <c r="M295" s="32"/>
    </row>
    <row r="296" spans="1:13" ht="15.2" customHeight="1" x14ac:dyDescent="0.2">
      <c r="A296" s="26" t="s">
        <v>5868</v>
      </c>
      <c r="B296" s="27" t="s">
        <v>5869</v>
      </c>
      <c r="C296" s="28">
        <v>1</v>
      </c>
      <c r="D296" s="29">
        <v>11.5</v>
      </c>
      <c r="E296" s="29">
        <v>11.5</v>
      </c>
      <c r="F296" s="30">
        <v>25.99</v>
      </c>
      <c r="G296" s="29">
        <v>25.99</v>
      </c>
      <c r="H296" s="28" t="s">
        <v>229</v>
      </c>
      <c r="I296" s="27"/>
      <c r="J296" s="31" t="s">
        <v>69</v>
      </c>
      <c r="K296" s="27" t="s">
        <v>200</v>
      </c>
      <c r="L296" s="27" t="s">
        <v>133</v>
      </c>
      <c r="M296" s="32"/>
    </row>
    <row r="297" spans="1:13" ht="15.2" customHeight="1" x14ac:dyDescent="0.2">
      <c r="A297" s="26" t="s">
        <v>5870</v>
      </c>
      <c r="B297" s="27" t="s">
        <v>5871</v>
      </c>
      <c r="C297" s="28">
        <v>1</v>
      </c>
      <c r="D297" s="29">
        <v>11.5</v>
      </c>
      <c r="E297" s="29">
        <v>11.5</v>
      </c>
      <c r="F297" s="30">
        <v>25.99</v>
      </c>
      <c r="G297" s="29">
        <v>25.99</v>
      </c>
      <c r="H297" s="28" t="s">
        <v>229</v>
      </c>
      <c r="I297" s="27" t="s">
        <v>1311</v>
      </c>
      <c r="J297" s="31" t="s">
        <v>216</v>
      </c>
      <c r="K297" s="27" t="s">
        <v>200</v>
      </c>
      <c r="L297" s="27" t="s">
        <v>133</v>
      </c>
      <c r="M297" s="32"/>
    </row>
    <row r="298" spans="1:13" ht="15.2" customHeight="1" x14ac:dyDescent="0.2">
      <c r="A298" s="26" t="s">
        <v>4786</v>
      </c>
      <c r="B298" s="27" t="s">
        <v>4787</v>
      </c>
      <c r="C298" s="28">
        <v>1</v>
      </c>
      <c r="D298" s="29">
        <v>11.5</v>
      </c>
      <c r="E298" s="29">
        <v>11.5</v>
      </c>
      <c r="F298" s="30">
        <v>25.99</v>
      </c>
      <c r="G298" s="29">
        <v>25.99</v>
      </c>
      <c r="H298" s="28" t="s">
        <v>4529</v>
      </c>
      <c r="I298" s="27" t="s">
        <v>343</v>
      </c>
      <c r="J298" s="31" t="s">
        <v>234</v>
      </c>
      <c r="K298" s="27" t="s">
        <v>200</v>
      </c>
      <c r="L298" s="27" t="s">
        <v>741</v>
      </c>
      <c r="M298" s="32"/>
    </row>
    <row r="299" spans="1:13" ht="15.2" customHeight="1" x14ac:dyDescent="0.2">
      <c r="A299" s="26" t="s">
        <v>5872</v>
      </c>
      <c r="B299" s="27" t="s">
        <v>5873</v>
      </c>
      <c r="C299" s="28">
        <v>1</v>
      </c>
      <c r="D299" s="29">
        <v>11.5</v>
      </c>
      <c r="E299" s="29">
        <v>11.5</v>
      </c>
      <c r="F299" s="30">
        <v>25.99</v>
      </c>
      <c r="G299" s="29">
        <v>25.99</v>
      </c>
      <c r="H299" s="28" t="s">
        <v>229</v>
      </c>
      <c r="I299" s="27" t="s">
        <v>1311</v>
      </c>
      <c r="J299" s="31" t="s">
        <v>69</v>
      </c>
      <c r="K299" s="27" t="s">
        <v>200</v>
      </c>
      <c r="L299" s="27" t="s">
        <v>133</v>
      </c>
      <c r="M299" s="32"/>
    </row>
    <row r="300" spans="1:13" ht="15.2" customHeight="1" x14ac:dyDescent="0.2">
      <c r="A300" s="26" t="s">
        <v>4248</v>
      </c>
      <c r="B300" s="27" t="s">
        <v>4249</v>
      </c>
      <c r="C300" s="28">
        <v>1</v>
      </c>
      <c r="D300" s="29">
        <v>11.5</v>
      </c>
      <c r="E300" s="29">
        <v>11.5</v>
      </c>
      <c r="F300" s="30">
        <v>39</v>
      </c>
      <c r="G300" s="29">
        <v>39</v>
      </c>
      <c r="H300" s="28" t="s">
        <v>4099</v>
      </c>
      <c r="I300" s="27"/>
      <c r="J300" s="31" t="s">
        <v>52</v>
      </c>
      <c r="K300" s="27" t="s">
        <v>154</v>
      </c>
      <c r="L300" s="27" t="s">
        <v>155</v>
      </c>
      <c r="M300" s="32"/>
    </row>
    <row r="301" spans="1:13" ht="15.2" customHeight="1" x14ac:dyDescent="0.2">
      <c r="A301" s="26" t="s">
        <v>5288</v>
      </c>
      <c r="B301" s="27" t="s">
        <v>5289</v>
      </c>
      <c r="C301" s="28">
        <v>1</v>
      </c>
      <c r="D301" s="29">
        <v>11.5</v>
      </c>
      <c r="E301" s="29">
        <v>11.5</v>
      </c>
      <c r="F301" s="30">
        <v>25.99</v>
      </c>
      <c r="G301" s="29">
        <v>25.99</v>
      </c>
      <c r="H301" s="28" t="s">
        <v>4529</v>
      </c>
      <c r="I301" s="27" t="s">
        <v>343</v>
      </c>
      <c r="J301" s="31" t="s">
        <v>23</v>
      </c>
      <c r="K301" s="27" t="s">
        <v>200</v>
      </c>
      <c r="L301" s="27" t="s">
        <v>741</v>
      </c>
      <c r="M301" s="32"/>
    </row>
    <row r="302" spans="1:13" ht="15.2" customHeight="1" x14ac:dyDescent="0.2">
      <c r="A302" s="26" t="s">
        <v>4530</v>
      </c>
      <c r="B302" s="27" t="s">
        <v>2762</v>
      </c>
      <c r="C302" s="28">
        <v>1</v>
      </c>
      <c r="D302" s="29">
        <v>11.5</v>
      </c>
      <c r="E302" s="29">
        <v>11.5</v>
      </c>
      <c r="F302" s="30">
        <v>39</v>
      </c>
      <c r="G302" s="29">
        <v>39</v>
      </c>
      <c r="H302" s="28" t="s">
        <v>2763</v>
      </c>
      <c r="I302" s="27" t="s">
        <v>4</v>
      </c>
      <c r="J302" s="31" t="s">
        <v>65</v>
      </c>
      <c r="K302" s="27" t="s">
        <v>154</v>
      </c>
      <c r="L302" s="27" t="s">
        <v>155</v>
      </c>
      <c r="M302" s="32"/>
    </row>
    <row r="303" spans="1:13" ht="15.2" customHeight="1" x14ac:dyDescent="0.2">
      <c r="A303" s="26" t="s">
        <v>2481</v>
      </c>
      <c r="B303" s="27" t="s">
        <v>2482</v>
      </c>
      <c r="C303" s="28">
        <v>1</v>
      </c>
      <c r="D303" s="29">
        <v>11</v>
      </c>
      <c r="E303" s="29">
        <v>11</v>
      </c>
      <c r="F303" s="30">
        <v>27.99</v>
      </c>
      <c r="G303" s="29">
        <v>27.99</v>
      </c>
      <c r="H303" s="28" t="s">
        <v>2478</v>
      </c>
      <c r="I303" s="27" t="s">
        <v>33</v>
      </c>
      <c r="J303" s="31" t="s">
        <v>5</v>
      </c>
      <c r="K303" s="27" t="s">
        <v>224</v>
      </c>
      <c r="L303" s="27" t="s">
        <v>254</v>
      </c>
      <c r="M303" s="32"/>
    </row>
    <row r="304" spans="1:13" ht="15.2" customHeight="1" x14ac:dyDescent="0.2">
      <c r="A304" s="26" t="s">
        <v>4104</v>
      </c>
      <c r="B304" s="27" t="s">
        <v>4105</v>
      </c>
      <c r="C304" s="28">
        <v>1</v>
      </c>
      <c r="D304" s="29">
        <v>11</v>
      </c>
      <c r="E304" s="29">
        <v>11</v>
      </c>
      <c r="F304" s="30">
        <v>27.99</v>
      </c>
      <c r="G304" s="29">
        <v>27.99</v>
      </c>
      <c r="H304" s="28" t="s">
        <v>2478</v>
      </c>
      <c r="I304" s="27" t="s">
        <v>33</v>
      </c>
      <c r="J304" s="31" t="s">
        <v>21</v>
      </c>
      <c r="K304" s="27" t="s">
        <v>224</v>
      </c>
      <c r="L304" s="27" t="s">
        <v>254</v>
      </c>
      <c r="M304" s="32"/>
    </row>
    <row r="305" spans="1:13" ht="15.2" customHeight="1" x14ac:dyDescent="0.2">
      <c r="A305" s="26" t="s">
        <v>5563</v>
      </c>
      <c r="B305" s="27" t="s">
        <v>5564</v>
      </c>
      <c r="C305" s="28">
        <v>1</v>
      </c>
      <c r="D305" s="29">
        <v>11</v>
      </c>
      <c r="E305" s="29">
        <v>11</v>
      </c>
      <c r="F305" s="30">
        <v>39</v>
      </c>
      <c r="G305" s="29">
        <v>39</v>
      </c>
      <c r="H305" s="28">
        <v>1050425</v>
      </c>
      <c r="I305" s="27" t="s">
        <v>4</v>
      </c>
      <c r="J305" s="31" t="s">
        <v>52</v>
      </c>
      <c r="K305" s="27" t="s">
        <v>154</v>
      </c>
      <c r="L305" s="27" t="s">
        <v>155</v>
      </c>
      <c r="M305" s="32"/>
    </row>
    <row r="306" spans="1:13" ht="15.2" customHeight="1" x14ac:dyDescent="0.2">
      <c r="A306" s="26" t="s">
        <v>4250</v>
      </c>
      <c r="B306" s="27" t="s">
        <v>4251</v>
      </c>
      <c r="C306" s="28">
        <v>1</v>
      </c>
      <c r="D306" s="29">
        <v>11</v>
      </c>
      <c r="E306" s="29">
        <v>11</v>
      </c>
      <c r="F306" s="30">
        <v>27.99</v>
      </c>
      <c r="G306" s="29">
        <v>27.99</v>
      </c>
      <c r="H306" s="28" t="s">
        <v>3594</v>
      </c>
      <c r="I306" s="27" t="s">
        <v>66</v>
      </c>
      <c r="J306" s="31" t="s">
        <v>5</v>
      </c>
      <c r="K306" s="27" t="s">
        <v>224</v>
      </c>
      <c r="L306" s="27" t="s">
        <v>254</v>
      </c>
      <c r="M306" s="32"/>
    </row>
    <row r="307" spans="1:13" ht="15.2" customHeight="1" x14ac:dyDescent="0.2">
      <c r="A307" s="26" t="s">
        <v>2486</v>
      </c>
      <c r="B307" s="27" t="s">
        <v>2487</v>
      </c>
      <c r="C307" s="28">
        <v>1</v>
      </c>
      <c r="D307" s="29">
        <v>10.6</v>
      </c>
      <c r="E307" s="29">
        <v>10.6</v>
      </c>
      <c r="F307" s="30">
        <v>24.99</v>
      </c>
      <c r="G307" s="29">
        <v>24.99</v>
      </c>
      <c r="H307" s="28" t="s">
        <v>568</v>
      </c>
      <c r="I307" s="27" t="s">
        <v>33</v>
      </c>
      <c r="J307" s="31" t="s">
        <v>5</v>
      </c>
      <c r="K307" s="27" t="s">
        <v>208</v>
      </c>
      <c r="L307" s="27" t="s">
        <v>197</v>
      </c>
      <c r="M307" s="32"/>
    </row>
    <row r="308" spans="1:13" ht="15.2" customHeight="1" x14ac:dyDescent="0.2">
      <c r="A308" s="26" t="s">
        <v>5310</v>
      </c>
      <c r="B308" s="27" t="s">
        <v>5311</v>
      </c>
      <c r="C308" s="28">
        <v>1</v>
      </c>
      <c r="D308" s="29">
        <v>10.6</v>
      </c>
      <c r="E308" s="29">
        <v>10.6</v>
      </c>
      <c r="F308" s="30">
        <v>24.99</v>
      </c>
      <c r="G308" s="29">
        <v>24.99</v>
      </c>
      <c r="H308" s="28" t="s">
        <v>568</v>
      </c>
      <c r="I308" s="27" t="s">
        <v>33</v>
      </c>
      <c r="J308" s="31" t="s">
        <v>40</v>
      </c>
      <c r="K308" s="27" t="s">
        <v>208</v>
      </c>
      <c r="L308" s="27" t="s">
        <v>197</v>
      </c>
      <c r="M308" s="32"/>
    </row>
    <row r="309" spans="1:13" ht="15.2" customHeight="1" x14ac:dyDescent="0.2">
      <c r="A309" s="26" t="s">
        <v>5874</v>
      </c>
      <c r="B309" s="27" t="s">
        <v>5875</v>
      </c>
      <c r="C309" s="28">
        <v>1</v>
      </c>
      <c r="D309" s="29">
        <v>10.6</v>
      </c>
      <c r="E309" s="29">
        <v>10.6</v>
      </c>
      <c r="F309" s="30">
        <v>24.99</v>
      </c>
      <c r="G309" s="29">
        <v>24.99</v>
      </c>
      <c r="H309" s="28" t="s">
        <v>567</v>
      </c>
      <c r="I309" s="27" t="s">
        <v>4</v>
      </c>
      <c r="J309" s="31" t="s">
        <v>40</v>
      </c>
      <c r="K309" s="27" t="s">
        <v>208</v>
      </c>
      <c r="L309" s="27" t="s">
        <v>197</v>
      </c>
      <c r="M309" s="32"/>
    </row>
    <row r="310" spans="1:13" ht="15.2" customHeight="1" x14ac:dyDescent="0.2">
      <c r="A310" s="26" t="s">
        <v>1040</v>
      </c>
      <c r="B310" s="27" t="s">
        <v>1041</v>
      </c>
      <c r="C310" s="28">
        <v>1</v>
      </c>
      <c r="D310" s="29">
        <v>10.5</v>
      </c>
      <c r="E310" s="29">
        <v>10.5</v>
      </c>
      <c r="F310" s="30">
        <v>39</v>
      </c>
      <c r="G310" s="29">
        <v>39</v>
      </c>
      <c r="H310" s="28" t="s">
        <v>1042</v>
      </c>
      <c r="I310" s="27" t="s">
        <v>4</v>
      </c>
      <c r="J310" s="31" t="s">
        <v>21</v>
      </c>
      <c r="K310" s="27" t="s">
        <v>154</v>
      </c>
      <c r="L310" s="27" t="s">
        <v>155</v>
      </c>
      <c r="M310" s="32"/>
    </row>
    <row r="311" spans="1:13" ht="15.2" customHeight="1" x14ac:dyDescent="0.2">
      <c r="A311" s="26" t="s">
        <v>5876</v>
      </c>
      <c r="B311" s="27" t="s">
        <v>5877</v>
      </c>
      <c r="C311" s="28">
        <v>1</v>
      </c>
      <c r="D311" s="29">
        <v>10.5</v>
      </c>
      <c r="E311" s="29">
        <v>10.5</v>
      </c>
      <c r="F311" s="30">
        <v>19.989999999999998</v>
      </c>
      <c r="G311" s="29">
        <v>19.989999999999998</v>
      </c>
      <c r="H311" s="28" t="s">
        <v>2770</v>
      </c>
      <c r="I311" s="27"/>
      <c r="J311" s="31" t="s">
        <v>71</v>
      </c>
      <c r="K311" s="27" t="s">
        <v>200</v>
      </c>
      <c r="L311" s="27" t="s">
        <v>243</v>
      </c>
      <c r="M311" s="32"/>
    </row>
    <row r="312" spans="1:13" ht="15.2" customHeight="1" x14ac:dyDescent="0.2">
      <c r="A312" s="26" t="s">
        <v>5878</v>
      </c>
      <c r="B312" s="27" t="s">
        <v>5879</v>
      </c>
      <c r="C312" s="28">
        <v>1</v>
      </c>
      <c r="D312" s="29">
        <v>10.5</v>
      </c>
      <c r="E312" s="29">
        <v>10.5</v>
      </c>
      <c r="F312" s="30">
        <v>39</v>
      </c>
      <c r="G312" s="29">
        <v>39</v>
      </c>
      <c r="H312" s="28">
        <v>1050436</v>
      </c>
      <c r="I312" s="27" t="s">
        <v>82</v>
      </c>
      <c r="J312" s="31" t="s">
        <v>21</v>
      </c>
      <c r="K312" s="27" t="s">
        <v>154</v>
      </c>
      <c r="L312" s="27" t="s">
        <v>155</v>
      </c>
      <c r="M312" s="32"/>
    </row>
    <row r="313" spans="1:13" ht="15.2" customHeight="1" x14ac:dyDescent="0.2">
      <c r="A313" s="26" t="s">
        <v>2768</v>
      </c>
      <c r="B313" s="27" t="s">
        <v>2769</v>
      </c>
      <c r="C313" s="28">
        <v>1</v>
      </c>
      <c r="D313" s="29">
        <v>10.5</v>
      </c>
      <c r="E313" s="29">
        <v>10.5</v>
      </c>
      <c r="F313" s="30">
        <v>24.99</v>
      </c>
      <c r="G313" s="29">
        <v>24.99</v>
      </c>
      <c r="H313" s="28" t="s">
        <v>1043</v>
      </c>
      <c r="I313" s="27" t="s">
        <v>82</v>
      </c>
      <c r="J313" s="31" t="s">
        <v>40</v>
      </c>
      <c r="K313" s="27" t="s">
        <v>224</v>
      </c>
      <c r="L313" s="27" t="s">
        <v>239</v>
      </c>
      <c r="M313" s="32"/>
    </row>
    <row r="314" spans="1:13" ht="15.2" customHeight="1" x14ac:dyDescent="0.2">
      <c r="A314" s="26" t="s">
        <v>3612</v>
      </c>
      <c r="B314" s="27" t="s">
        <v>3613</v>
      </c>
      <c r="C314" s="28">
        <v>1</v>
      </c>
      <c r="D314" s="29">
        <v>10.5</v>
      </c>
      <c r="E314" s="29">
        <v>10.5</v>
      </c>
      <c r="F314" s="30">
        <v>24.99</v>
      </c>
      <c r="G314" s="29">
        <v>24.99</v>
      </c>
      <c r="H314" s="28" t="s">
        <v>573</v>
      </c>
      <c r="I314" s="27" t="s">
        <v>36</v>
      </c>
      <c r="J314" s="31" t="s">
        <v>40</v>
      </c>
      <c r="K314" s="27" t="s">
        <v>159</v>
      </c>
      <c r="L314" s="27" t="s">
        <v>160</v>
      </c>
      <c r="M314" s="32"/>
    </row>
    <row r="315" spans="1:13" ht="15.2" customHeight="1" x14ac:dyDescent="0.2">
      <c r="A315" s="26" t="s">
        <v>5570</v>
      </c>
      <c r="B315" s="27" t="s">
        <v>5571</v>
      </c>
      <c r="C315" s="28">
        <v>1</v>
      </c>
      <c r="D315" s="29">
        <v>10</v>
      </c>
      <c r="E315" s="29">
        <v>10</v>
      </c>
      <c r="F315" s="30">
        <v>24.99</v>
      </c>
      <c r="G315" s="29">
        <v>24.99</v>
      </c>
      <c r="H315" s="28" t="s">
        <v>4262</v>
      </c>
      <c r="I315" s="27" t="s">
        <v>29</v>
      </c>
      <c r="J315" s="31" t="s">
        <v>5</v>
      </c>
      <c r="K315" s="27" t="s">
        <v>224</v>
      </c>
      <c r="L315" s="27" t="s">
        <v>239</v>
      </c>
      <c r="M315" s="32"/>
    </row>
    <row r="316" spans="1:13" ht="15.2" customHeight="1" x14ac:dyDescent="0.2">
      <c r="A316" s="26" t="s">
        <v>4263</v>
      </c>
      <c r="B316" s="27" t="s">
        <v>4264</v>
      </c>
      <c r="C316" s="28">
        <v>1</v>
      </c>
      <c r="D316" s="29">
        <v>10</v>
      </c>
      <c r="E316" s="29">
        <v>10</v>
      </c>
      <c r="F316" s="30">
        <v>24.99</v>
      </c>
      <c r="G316" s="29">
        <v>24.99</v>
      </c>
      <c r="H316" s="28" t="s">
        <v>2499</v>
      </c>
      <c r="I316" s="27" t="s">
        <v>271</v>
      </c>
      <c r="J316" s="31" t="s">
        <v>5</v>
      </c>
      <c r="K316" s="27" t="s">
        <v>224</v>
      </c>
      <c r="L316" s="27" t="s">
        <v>197</v>
      </c>
      <c r="M316" s="32"/>
    </row>
    <row r="317" spans="1:13" ht="15.2" customHeight="1" x14ac:dyDescent="0.2">
      <c r="A317" s="26" t="s">
        <v>5880</v>
      </c>
      <c r="B317" s="27" t="s">
        <v>5881</v>
      </c>
      <c r="C317" s="28">
        <v>2</v>
      </c>
      <c r="D317" s="29">
        <v>10</v>
      </c>
      <c r="E317" s="29">
        <v>20</v>
      </c>
      <c r="F317" s="30">
        <v>24.99</v>
      </c>
      <c r="G317" s="29">
        <v>49.98</v>
      </c>
      <c r="H317" s="28" t="s">
        <v>1048</v>
      </c>
      <c r="I317" s="27" t="s">
        <v>291</v>
      </c>
      <c r="J317" s="31" t="s">
        <v>21</v>
      </c>
      <c r="K317" s="27" t="s">
        <v>196</v>
      </c>
      <c r="L317" s="27" t="s">
        <v>336</v>
      </c>
      <c r="M317" s="32"/>
    </row>
    <row r="318" spans="1:13" ht="15.2" customHeight="1" x14ac:dyDescent="0.2">
      <c r="A318" s="26" t="s">
        <v>4536</v>
      </c>
      <c r="B318" s="27" t="s">
        <v>4537</v>
      </c>
      <c r="C318" s="28">
        <v>1</v>
      </c>
      <c r="D318" s="29">
        <v>10</v>
      </c>
      <c r="E318" s="29">
        <v>10</v>
      </c>
      <c r="F318" s="30">
        <v>24.99</v>
      </c>
      <c r="G318" s="29">
        <v>24.99</v>
      </c>
      <c r="H318" s="28" t="s">
        <v>4262</v>
      </c>
      <c r="I318" s="27" t="s">
        <v>215</v>
      </c>
      <c r="J318" s="31" t="s">
        <v>5</v>
      </c>
      <c r="K318" s="27" t="s">
        <v>224</v>
      </c>
      <c r="L318" s="27" t="s">
        <v>239</v>
      </c>
      <c r="M318" s="32"/>
    </row>
    <row r="319" spans="1:13" ht="15.2" customHeight="1" x14ac:dyDescent="0.2">
      <c r="A319" s="26" t="s">
        <v>5882</v>
      </c>
      <c r="B319" s="27" t="s">
        <v>5883</v>
      </c>
      <c r="C319" s="28">
        <v>2</v>
      </c>
      <c r="D319" s="29">
        <v>10</v>
      </c>
      <c r="E319" s="29">
        <v>20</v>
      </c>
      <c r="F319" s="30">
        <v>24.99</v>
      </c>
      <c r="G319" s="29">
        <v>49.98</v>
      </c>
      <c r="H319" s="28" t="s">
        <v>5884</v>
      </c>
      <c r="I319" s="27" t="s">
        <v>215</v>
      </c>
      <c r="J319" s="31" t="s">
        <v>21</v>
      </c>
      <c r="K319" s="27" t="s">
        <v>196</v>
      </c>
      <c r="L319" s="27" t="s">
        <v>336</v>
      </c>
      <c r="M319" s="32"/>
    </row>
    <row r="320" spans="1:13" ht="15.2" customHeight="1" x14ac:dyDescent="0.2">
      <c r="A320" s="26" t="s">
        <v>4693</v>
      </c>
      <c r="B320" s="27" t="s">
        <v>4694</v>
      </c>
      <c r="C320" s="28">
        <v>1</v>
      </c>
      <c r="D320" s="29">
        <v>10</v>
      </c>
      <c r="E320" s="29">
        <v>10</v>
      </c>
      <c r="F320" s="30">
        <v>24.99</v>
      </c>
      <c r="G320" s="29">
        <v>24.99</v>
      </c>
      <c r="H320" s="28" t="s">
        <v>4262</v>
      </c>
      <c r="I320" s="27" t="s">
        <v>215</v>
      </c>
      <c r="J320" s="31" t="s">
        <v>40</v>
      </c>
      <c r="K320" s="27" t="s">
        <v>224</v>
      </c>
      <c r="L320" s="27" t="s">
        <v>239</v>
      </c>
      <c r="M320" s="32"/>
    </row>
    <row r="321" spans="1:13" ht="15.2" customHeight="1" x14ac:dyDescent="0.2">
      <c r="A321" s="26" t="s">
        <v>4260</v>
      </c>
      <c r="B321" s="27" t="s">
        <v>4261</v>
      </c>
      <c r="C321" s="28">
        <v>1</v>
      </c>
      <c r="D321" s="29">
        <v>10</v>
      </c>
      <c r="E321" s="29">
        <v>10</v>
      </c>
      <c r="F321" s="30">
        <v>24.99</v>
      </c>
      <c r="G321" s="29">
        <v>24.99</v>
      </c>
      <c r="H321" s="28" t="s">
        <v>4262</v>
      </c>
      <c r="I321" s="27" t="s">
        <v>94</v>
      </c>
      <c r="J321" s="31" t="s">
        <v>71</v>
      </c>
      <c r="K321" s="27" t="s">
        <v>224</v>
      </c>
      <c r="L321" s="27" t="s">
        <v>239</v>
      </c>
      <c r="M321" s="32"/>
    </row>
    <row r="322" spans="1:13" ht="15.2" customHeight="1" x14ac:dyDescent="0.2">
      <c r="A322" s="26" t="s">
        <v>5885</v>
      </c>
      <c r="B322" s="27" t="s">
        <v>5886</v>
      </c>
      <c r="C322" s="28">
        <v>1</v>
      </c>
      <c r="D322" s="29">
        <v>10</v>
      </c>
      <c r="E322" s="29">
        <v>10</v>
      </c>
      <c r="F322" s="30">
        <v>24.99</v>
      </c>
      <c r="G322" s="29">
        <v>24.99</v>
      </c>
      <c r="H322" s="28" t="s">
        <v>2495</v>
      </c>
      <c r="I322" s="27" t="s">
        <v>333</v>
      </c>
      <c r="J322" s="31" t="s">
        <v>40</v>
      </c>
      <c r="K322" s="27" t="s">
        <v>196</v>
      </c>
      <c r="L322" s="27" t="s">
        <v>336</v>
      </c>
      <c r="M322" s="32"/>
    </row>
    <row r="323" spans="1:13" ht="15.2" customHeight="1" x14ac:dyDescent="0.2">
      <c r="A323" s="26" t="s">
        <v>5887</v>
      </c>
      <c r="B323" s="27" t="s">
        <v>5888</v>
      </c>
      <c r="C323" s="28">
        <v>1</v>
      </c>
      <c r="D323" s="29">
        <v>10</v>
      </c>
      <c r="E323" s="29">
        <v>10</v>
      </c>
      <c r="F323" s="30">
        <v>34</v>
      </c>
      <c r="G323" s="29">
        <v>34</v>
      </c>
      <c r="H323" s="28" t="s">
        <v>5889</v>
      </c>
      <c r="I323" s="27"/>
      <c r="J323" s="31" t="s">
        <v>21</v>
      </c>
      <c r="K323" s="27" t="s">
        <v>154</v>
      </c>
      <c r="L323" s="27" t="s">
        <v>155</v>
      </c>
      <c r="M323" s="32"/>
    </row>
    <row r="324" spans="1:13" ht="15.2" customHeight="1" x14ac:dyDescent="0.2">
      <c r="A324" s="26" t="s">
        <v>5890</v>
      </c>
      <c r="B324" s="27" t="s">
        <v>5891</v>
      </c>
      <c r="C324" s="28">
        <v>1</v>
      </c>
      <c r="D324" s="29">
        <v>9.8000000000000007</v>
      </c>
      <c r="E324" s="29">
        <v>9.8000000000000007</v>
      </c>
      <c r="F324" s="30">
        <v>19.989999999999998</v>
      </c>
      <c r="G324" s="29">
        <v>19.989999999999998</v>
      </c>
      <c r="H324" s="28" t="s">
        <v>5892</v>
      </c>
      <c r="I324" s="27" t="s">
        <v>189</v>
      </c>
      <c r="J324" s="31" t="s">
        <v>71</v>
      </c>
      <c r="K324" s="27" t="s">
        <v>196</v>
      </c>
      <c r="L324" s="27" t="s">
        <v>225</v>
      </c>
      <c r="M324" s="32"/>
    </row>
    <row r="325" spans="1:13" ht="15.2" customHeight="1" x14ac:dyDescent="0.2">
      <c r="A325" s="26" t="s">
        <v>1052</v>
      </c>
      <c r="B325" s="27" t="s">
        <v>1053</v>
      </c>
      <c r="C325" s="28">
        <v>2</v>
      </c>
      <c r="D325" s="29">
        <v>9.8000000000000007</v>
      </c>
      <c r="E325" s="29">
        <v>19.600000000000001</v>
      </c>
      <c r="F325" s="30">
        <v>19.989999999999998</v>
      </c>
      <c r="G325" s="29">
        <v>39.979999999999997</v>
      </c>
      <c r="H325" s="28" t="s">
        <v>1054</v>
      </c>
      <c r="I325" s="27" t="s">
        <v>374</v>
      </c>
      <c r="J325" s="31" t="s">
        <v>21</v>
      </c>
      <c r="K325" s="27" t="s">
        <v>196</v>
      </c>
      <c r="L325" s="27" t="s">
        <v>225</v>
      </c>
      <c r="M325" s="32"/>
    </row>
    <row r="326" spans="1:13" ht="15.2" customHeight="1" x14ac:dyDescent="0.2">
      <c r="A326" s="26" t="s">
        <v>5893</v>
      </c>
      <c r="B326" s="27" t="s">
        <v>5894</v>
      </c>
      <c r="C326" s="28">
        <v>1</v>
      </c>
      <c r="D326" s="29">
        <v>9.8000000000000007</v>
      </c>
      <c r="E326" s="29">
        <v>9.8000000000000007</v>
      </c>
      <c r="F326" s="30">
        <v>19.989999999999998</v>
      </c>
      <c r="G326" s="29">
        <v>19.989999999999998</v>
      </c>
      <c r="H326" s="28" t="s">
        <v>5895</v>
      </c>
      <c r="I326" s="27" t="s">
        <v>248</v>
      </c>
      <c r="J326" s="31" t="s">
        <v>71</v>
      </c>
      <c r="K326" s="27" t="s">
        <v>196</v>
      </c>
      <c r="L326" s="27" t="s">
        <v>225</v>
      </c>
      <c r="M326" s="32"/>
    </row>
    <row r="327" spans="1:13" ht="15.2" customHeight="1" x14ac:dyDescent="0.2">
      <c r="A327" s="26" t="s">
        <v>5896</v>
      </c>
      <c r="B327" s="27" t="s">
        <v>5897</v>
      </c>
      <c r="C327" s="28">
        <v>1</v>
      </c>
      <c r="D327" s="29">
        <v>9.8000000000000007</v>
      </c>
      <c r="E327" s="29">
        <v>9.8000000000000007</v>
      </c>
      <c r="F327" s="30">
        <v>19.989999999999998</v>
      </c>
      <c r="G327" s="29">
        <v>19.989999999999998</v>
      </c>
      <c r="H327" s="28" t="s">
        <v>4699</v>
      </c>
      <c r="I327" s="27" t="s">
        <v>4</v>
      </c>
      <c r="J327" s="31" t="s">
        <v>52</v>
      </c>
      <c r="K327" s="27" t="s">
        <v>196</v>
      </c>
      <c r="L327" s="27" t="s">
        <v>225</v>
      </c>
      <c r="M327" s="32"/>
    </row>
    <row r="328" spans="1:13" ht="15.2" customHeight="1" x14ac:dyDescent="0.2">
      <c r="A328" s="26" t="s">
        <v>3620</v>
      </c>
      <c r="B328" s="27" t="s">
        <v>3621</v>
      </c>
      <c r="C328" s="28">
        <v>1</v>
      </c>
      <c r="D328" s="29">
        <v>9.8000000000000007</v>
      </c>
      <c r="E328" s="29">
        <v>9.8000000000000007</v>
      </c>
      <c r="F328" s="30">
        <v>19.989999999999998</v>
      </c>
      <c r="G328" s="29">
        <v>19.989999999999998</v>
      </c>
      <c r="H328" s="28" t="s">
        <v>1051</v>
      </c>
      <c r="I328" s="27" t="s">
        <v>189</v>
      </c>
      <c r="J328" s="31" t="s">
        <v>40</v>
      </c>
      <c r="K328" s="27" t="s">
        <v>196</v>
      </c>
      <c r="L328" s="27" t="s">
        <v>225</v>
      </c>
      <c r="M328" s="32"/>
    </row>
    <row r="329" spans="1:13" ht="15.2" customHeight="1" x14ac:dyDescent="0.2">
      <c r="A329" s="26" t="s">
        <v>3622</v>
      </c>
      <c r="B329" s="27" t="s">
        <v>3623</v>
      </c>
      <c r="C329" s="28">
        <v>1</v>
      </c>
      <c r="D329" s="29">
        <v>9.8000000000000007</v>
      </c>
      <c r="E329" s="29">
        <v>9.8000000000000007</v>
      </c>
      <c r="F329" s="30">
        <v>19.989999999999998</v>
      </c>
      <c r="G329" s="29">
        <v>19.989999999999998</v>
      </c>
      <c r="H329" s="28" t="s">
        <v>3624</v>
      </c>
      <c r="I329" s="27" t="s">
        <v>29</v>
      </c>
      <c r="J329" s="31" t="s">
        <v>40</v>
      </c>
      <c r="K329" s="27" t="s">
        <v>196</v>
      </c>
      <c r="L329" s="27" t="s">
        <v>225</v>
      </c>
      <c r="M329" s="32"/>
    </row>
    <row r="330" spans="1:13" ht="15.2" customHeight="1" x14ac:dyDescent="0.2">
      <c r="A330" s="26" t="s">
        <v>5898</v>
      </c>
      <c r="B330" s="27" t="s">
        <v>5899</v>
      </c>
      <c r="C330" s="28">
        <v>1</v>
      </c>
      <c r="D330" s="29">
        <v>9.75</v>
      </c>
      <c r="E330" s="29">
        <v>9.75</v>
      </c>
      <c r="F330" s="30">
        <v>27.99</v>
      </c>
      <c r="G330" s="29">
        <v>27.99</v>
      </c>
      <c r="H330" s="28" t="s">
        <v>5900</v>
      </c>
      <c r="I330" s="27" t="s">
        <v>189</v>
      </c>
      <c r="J330" s="31" t="s">
        <v>52</v>
      </c>
      <c r="K330" s="27" t="s">
        <v>224</v>
      </c>
      <c r="L330" s="27" t="s">
        <v>563</v>
      </c>
      <c r="M330" s="32"/>
    </row>
    <row r="331" spans="1:13" ht="15.2" customHeight="1" x14ac:dyDescent="0.2">
      <c r="A331" s="26" t="s">
        <v>2775</v>
      </c>
      <c r="B331" s="27" t="s">
        <v>2776</v>
      </c>
      <c r="C331" s="28">
        <v>1</v>
      </c>
      <c r="D331" s="29">
        <v>9.25</v>
      </c>
      <c r="E331" s="29">
        <v>9.25</v>
      </c>
      <c r="F331" s="30">
        <v>22.99</v>
      </c>
      <c r="G331" s="29">
        <v>22.99</v>
      </c>
      <c r="H331" s="28" t="s">
        <v>580</v>
      </c>
      <c r="I331" s="27" t="s">
        <v>189</v>
      </c>
      <c r="J331" s="31" t="s">
        <v>40</v>
      </c>
      <c r="K331" s="27" t="s">
        <v>196</v>
      </c>
      <c r="L331" s="27" t="s">
        <v>239</v>
      </c>
      <c r="M331" s="32"/>
    </row>
    <row r="332" spans="1:13" ht="15.2" customHeight="1" x14ac:dyDescent="0.2">
      <c r="A332" s="26" t="s">
        <v>5901</v>
      </c>
      <c r="B332" s="27" t="s">
        <v>5902</v>
      </c>
      <c r="C332" s="28">
        <v>1</v>
      </c>
      <c r="D332" s="29">
        <v>9.25</v>
      </c>
      <c r="E332" s="29">
        <v>9.25</v>
      </c>
      <c r="F332" s="30">
        <v>22.99</v>
      </c>
      <c r="G332" s="29">
        <v>22.99</v>
      </c>
      <c r="H332" s="28" t="s">
        <v>575</v>
      </c>
      <c r="I332" s="27" t="s">
        <v>10</v>
      </c>
      <c r="J332" s="31" t="s">
        <v>52</v>
      </c>
      <c r="K332" s="27" t="s">
        <v>196</v>
      </c>
      <c r="L332" s="27" t="s">
        <v>239</v>
      </c>
      <c r="M332" s="32"/>
    </row>
    <row r="333" spans="1:13" ht="15.2" customHeight="1" x14ac:dyDescent="0.2">
      <c r="A333" s="26" t="s">
        <v>5903</v>
      </c>
      <c r="B333" s="27" t="s">
        <v>5904</v>
      </c>
      <c r="C333" s="28">
        <v>1</v>
      </c>
      <c r="D333" s="29">
        <v>9.25</v>
      </c>
      <c r="E333" s="29">
        <v>9.25</v>
      </c>
      <c r="F333" s="30">
        <v>22.99</v>
      </c>
      <c r="G333" s="29">
        <v>22.99</v>
      </c>
      <c r="H333" s="28" t="s">
        <v>575</v>
      </c>
      <c r="I333" s="27" t="s">
        <v>4</v>
      </c>
      <c r="J333" s="31" t="s">
        <v>52</v>
      </c>
      <c r="K333" s="27" t="s">
        <v>196</v>
      </c>
      <c r="L333" s="27" t="s">
        <v>239</v>
      </c>
      <c r="M333" s="32"/>
    </row>
    <row r="334" spans="1:13" ht="15.2" customHeight="1" x14ac:dyDescent="0.2">
      <c r="A334" s="26" t="s">
        <v>2779</v>
      </c>
      <c r="B334" s="27" t="s">
        <v>2041</v>
      </c>
      <c r="C334" s="28">
        <v>1</v>
      </c>
      <c r="D334" s="29">
        <v>9.24</v>
      </c>
      <c r="E334" s="29">
        <v>9.24</v>
      </c>
      <c r="F334" s="30">
        <v>21.99</v>
      </c>
      <c r="G334" s="29">
        <v>21.99</v>
      </c>
      <c r="H334" s="28" t="s">
        <v>2042</v>
      </c>
      <c r="I334" s="27" t="s">
        <v>64</v>
      </c>
      <c r="J334" s="31" t="s">
        <v>65</v>
      </c>
      <c r="K334" s="27" t="s">
        <v>159</v>
      </c>
      <c r="L334" s="27" t="s">
        <v>160</v>
      </c>
      <c r="M334" s="32"/>
    </row>
    <row r="335" spans="1:13" ht="15.2" customHeight="1" x14ac:dyDescent="0.2">
      <c r="A335" s="26" t="s">
        <v>5905</v>
      </c>
      <c r="B335" s="27" t="s">
        <v>5906</v>
      </c>
      <c r="C335" s="28">
        <v>1</v>
      </c>
      <c r="D335" s="29">
        <v>9.2200000000000006</v>
      </c>
      <c r="E335" s="29">
        <v>9.2200000000000006</v>
      </c>
      <c r="F335" s="30">
        <v>21.99</v>
      </c>
      <c r="G335" s="29">
        <v>21.99</v>
      </c>
      <c r="H335" s="28" t="s">
        <v>3365</v>
      </c>
      <c r="I335" s="27" t="s">
        <v>103</v>
      </c>
      <c r="J335" s="31" t="s">
        <v>65</v>
      </c>
      <c r="K335" s="27" t="s">
        <v>159</v>
      </c>
      <c r="L335" s="27" t="s">
        <v>160</v>
      </c>
      <c r="M335" s="32"/>
    </row>
    <row r="336" spans="1:13" ht="15.2" customHeight="1" x14ac:dyDescent="0.2">
      <c r="A336" s="26" t="s">
        <v>4399</v>
      </c>
      <c r="B336" s="27" t="s">
        <v>4400</v>
      </c>
      <c r="C336" s="28">
        <v>2</v>
      </c>
      <c r="D336" s="29">
        <v>9.2200000000000006</v>
      </c>
      <c r="E336" s="29">
        <v>18.440000000000001</v>
      </c>
      <c r="F336" s="30">
        <v>21.99</v>
      </c>
      <c r="G336" s="29">
        <v>43.98</v>
      </c>
      <c r="H336" s="28" t="s">
        <v>581</v>
      </c>
      <c r="I336" s="27" t="s">
        <v>10</v>
      </c>
      <c r="J336" s="31" t="s">
        <v>65</v>
      </c>
      <c r="K336" s="27" t="s">
        <v>159</v>
      </c>
      <c r="L336" s="27" t="s">
        <v>160</v>
      </c>
      <c r="M336" s="32"/>
    </row>
    <row r="337" spans="1:13" ht="15.2" customHeight="1" x14ac:dyDescent="0.2">
      <c r="A337" s="26" t="s">
        <v>4796</v>
      </c>
      <c r="B337" s="27" t="s">
        <v>4797</v>
      </c>
      <c r="C337" s="28">
        <v>1</v>
      </c>
      <c r="D337" s="29">
        <v>9.2200000000000006</v>
      </c>
      <c r="E337" s="29">
        <v>9.2200000000000006</v>
      </c>
      <c r="F337" s="30">
        <v>21.99</v>
      </c>
      <c r="G337" s="29">
        <v>21.99</v>
      </c>
      <c r="H337" s="28" t="s">
        <v>4706</v>
      </c>
      <c r="I337" s="27" t="s">
        <v>4</v>
      </c>
      <c r="J337" s="31" t="s">
        <v>21</v>
      </c>
      <c r="K337" s="27" t="s">
        <v>159</v>
      </c>
      <c r="L337" s="27" t="s">
        <v>160</v>
      </c>
      <c r="M337" s="32"/>
    </row>
    <row r="338" spans="1:13" ht="15.2" customHeight="1" x14ac:dyDescent="0.2">
      <c r="A338" s="26" t="s">
        <v>2782</v>
      </c>
      <c r="B338" s="27" t="s">
        <v>2510</v>
      </c>
      <c r="C338" s="28">
        <v>2</v>
      </c>
      <c r="D338" s="29">
        <v>9.2200000000000006</v>
      </c>
      <c r="E338" s="29">
        <v>18.440000000000001</v>
      </c>
      <c r="F338" s="30">
        <v>21.99</v>
      </c>
      <c r="G338" s="29">
        <v>43.98</v>
      </c>
      <c r="H338" s="28" t="s">
        <v>2511</v>
      </c>
      <c r="I338" s="27" t="s">
        <v>36</v>
      </c>
      <c r="J338" s="31" t="s">
        <v>52</v>
      </c>
      <c r="K338" s="27" t="s">
        <v>159</v>
      </c>
      <c r="L338" s="27" t="s">
        <v>160</v>
      </c>
      <c r="M338" s="32"/>
    </row>
    <row r="339" spans="1:13" ht="15.2" customHeight="1" x14ac:dyDescent="0.2">
      <c r="A339" s="26" t="s">
        <v>1675</v>
      </c>
      <c r="B339" s="27" t="s">
        <v>1676</v>
      </c>
      <c r="C339" s="28">
        <v>1</v>
      </c>
      <c r="D339" s="29">
        <v>9.1999999999999993</v>
      </c>
      <c r="E339" s="29">
        <v>9.1999999999999993</v>
      </c>
      <c r="F339" s="30">
        <v>21.99</v>
      </c>
      <c r="G339" s="29">
        <v>21.99</v>
      </c>
      <c r="H339" s="28" t="s">
        <v>1677</v>
      </c>
      <c r="I339" s="27" t="s">
        <v>4</v>
      </c>
      <c r="J339" s="31" t="s">
        <v>40</v>
      </c>
      <c r="K339" s="27" t="s">
        <v>159</v>
      </c>
      <c r="L339" s="27" t="s">
        <v>160</v>
      </c>
      <c r="M339" s="32"/>
    </row>
    <row r="340" spans="1:13" ht="15.2" customHeight="1" x14ac:dyDescent="0.2">
      <c r="A340" s="26" t="s">
        <v>2786</v>
      </c>
      <c r="B340" s="27" t="s">
        <v>1059</v>
      </c>
      <c r="C340" s="28">
        <v>1</v>
      </c>
      <c r="D340" s="29">
        <v>9.1999999999999993</v>
      </c>
      <c r="E340" s="29">
        <v>9.1999999999999993</v>
      </c>
      <c r="F340" s="30">
        <v>21.99</v>
      </c>
      <c r="G340" s="29">
        <v>21.99</v>
      </c>
      <c r="H340" s="28" t="s">
        <v>1060</v>
      </c>
      <c r="I340" s="27" t="s">
        <v>4</v>
      </c>
      <c r="J340" s="31" t="s">
        <v>52</v>
      </c>
      <c r="K340" s="27" t="s">
        <v>159</v>
      </c>
      <c r="L340" s="27" t="s">
        <v>160</v>
      </c>
      <c r="M340" s="32"/>
    </row>
    <row r="341" spans="1:13" ht="15.2" customHeight="1" x14ac:dyDescent="0.2">
      <c r="A341" s="26" t="s">
        <v>2785</v>
      </c>
      <c r="B341" s="27" t="s">
        <v>1676</v>
      </c>
      <c r="C341" s="28">
        <v>3</v>
      </c>
      <c r="D341" s="29">
        <v>9.1999999999999993</v>
      </c>
      <c r="E341" s="29">
        <v>27.6</v>
      </c>
      <c r="F341" s="30">
        <v>21.99</v>
      </c>
      <c r="G341" s="29">
        <v>65.97</v>
      </c>
      <c r="H341" s="28" t="s">
        <v>1677</v>
      </c>
      <c r="I341" s="27" t="s">
        <v>4</v>
      </c>
      <c r="J341" s="31" t="s">
        <v>5</v>
      </c>
      <c r="K341" s="27" t="s">
        <v>159</v>
      </c>
      <c r="L341" s="27" t="s">
        <v>160</v>
      </c>
      <c r="M341" s="32"/>
    </row>
    <row r="342" spans="1:13" ht="15.2" customHeight="1" x14ac:dyDescent="0.2">
      <c r="A342" s="26" t="s">
        <v>4137</v>
      </c>
      <c r="B342" s="27" t="s">
        <v>1676</v>
      </c>
      <c r="C342" s="28">
        <v>1</v>
      </c>
      <c r="D342" s="29">
        <v>9.1999999999999993</v>
      </c>
      <c r="E342" s="29">
        <v>9.1999999999999993</v>
      </c>
      <c r="F342" s="30">
        <v>21.99</v>
      </c>
      <c r="G342" s="29">
        <v>21.99</v>
      </c>
      <c r="H342" s="28" t="s">
        <v>1677</v>
      </c>
      <c r="I342" s="27" t="s">
        <v>4</v>
      </c>
      <c r="J342" s="31" t="s">
        <v>21</v>
      </c>
      <c r="K342" s="27" t="s">
        <v>159</v>
      </c>
      <c r="L342" s="27" t="s">
        <v>160</v>
      </c>
      <c r="M342" s="32"/>
    </row>
    <row r="343" spans="1:13" ht="15.2" customHeight="1" x14ac:dyDescent="0.2">
      <c r="A343" s="26" t="s">
        <v>1058</v>
      </c>
      <c r="B343" s="27" t="s">
        <v>1059</v>
      </c>
      <c r="C343" s="28">
        <v>1</v>
      </c>
      <c r="D343" s="29">
        <v>9.1999999999999993</v>
      </c>
      <c r="E343" s="29">
        <v>9.1999999999999993</v>
      </c>
      <c r="F343" s="30">
        <v>21.99</v>
      </c>
      <c r="G343" s="29">
        <v>21.99</v>
      </c>
      <c r="H343" s="28" t="s">
        <v>1060</v>
      </c>
      <c r="I343" s="27" t="s">
        <v>4</v>
      </c>
      <c r="J343" s="31" t="s">
        <v>65</v>
      </c>
      <c r="K343" s="27" t="s">
        <v>159</v>
      </c>
      <c r="L343" s="27" t="s">
        <v>160</v>
      </c>
      <c r="M343" s="32"/>
    </row>
    <row r="344" spans="1:13" ht="15.2" customHeight="1" x14ac:dyDescent="0.2">
      <c r="A344" s="26" t="s">
        <v>5907</v>
      </c>
      <c r="B344" s="27" t="s">
        <v>5908</v>
      </c>
      <c r="C344" s="28">
        <v>1</v>
      </c>
      <c r="D344" s="29">
        <v>9</v>
      </c>
      <c r="E344" s="29">
        <v>9</v>
      </c>
      <c r="F344" s="30">
        <v>19.989999999999998</v>
      </c>
      <c r="G344" s="29">
        <v>19.989999999999998</v>
      </c>
      <c r="H344" s="28" t="s">
        <v>2050</v>
      </c>
      <c r="I344" s="27" t="s">
        <v>94</v>
      </c>
      <c r="J344" s="31" t="s">
        <v>40</v>
      </c>
      <c r="K344" s="27" t="s">
        <v>196</v>
      </c>
      <c r="L344" s="27" t="s">
        <v>239</v>
      </c>
      <c r="M344" s="32"/>
    </row>
    <row r="345" spans="1:13" ht="15.2" customHeight="1" x14ac:dyDescent="0.2">
      <c r="A345" s="26" t="s">
        <v>5909</v>
      </c>
      <c r="B345" s="27" t="s">
        <v>5910</v>
      </c>
      <c r="C345" s="28">
        <v>1</v>
      </c>
      <c r="D345" s="29">
        <v>9</v>
      </c>
      <c r="E345" s="29">
        <v>9</v>
      </c>
      <c r="F345" s="30">
        <v>19.989999999999998</v>
      </c>
      <c r="G345" s="29">
        <v>19.989999999999998</v>
      </c>
      <c r="H345" s="28" t="s">
        <v>2050</v>
      </c>
      <c r="I345" s="27" t="s">
        <v>94</v>
      </c>
      <c r="J345" s="31" t="s">
        <v>52</v>
      </c>
      <c r="K345" s="27" t="s">
        <v>196</v>
      </c>
      <c r="L345" s="27" t="s">
        <v>239</v>
      </c>
      <c r="M345" s="32"/>
    </row>
    <row r="346" spans="1:13" ht="15.2" customHeight="1" x14ac:dyDescent="0.2">
      <c r="A346" s="26" t="s">
        <v>5911</v>
      </c>
      <c r="B346" s="27" t="s">
        <v>5912</v>
      </c>
      <c r="C346" s="28">
        <v>1</v>
      </c>
      <c r="D346" s="29">
        <v>9</v>
      </c>
      <c r="E346" s="29">
        <v>9</v>
      </c>
      <c r="F346" s="30">
        <v>19.989999999999998</v>
      </c>
      <c r="G346" s="29">
        <v>19.989999999999998</v>
      </c>
      <c r="H346" s="28" t="s">
        <v>2050</v>
      </c>
      <c r="I346" s="27" t="s">
        <v>10</v>
      </c>
      <c r="J346" s="31" t="s">
        <v>5</v>
      </c>
      <c r="K346" s="27" t="s">
        <v>196</v>
      </c>
      <c r="L346" s="27" t="s">
        <v>239</v>
      </c>
      <c r="M346" s="32"/>
    </row>
    <row r="347" spans="1:13" ht="15.2" customHeight="1" x14ac:dyDescent="0.2">
      <c r="A347" s="26" t="s">
        <v>2512</v>
      </c>
      <c r="B347" s="27" t="s">
        <v>2513</v>
      </c>
      <c r="C347" s="28">
        <v>1</v>
      </c>
      <c r="D347" s="29">
        <v>9</v>
      </c>
      <c r="E347" s="29">
        <v>9</v>
      </c>
      <c r="F347" s="30">
        <v>19.989999999999998</v>
      </c>
      <c r="G347" s="29">
        <v>19.989999999999998</v>
      </c>
      <c r="H347" s="28" t="s">
        <v>2050</v>
      </c>
      <c r="I347" s="27" t="s">
        <v>94</v>
      </c>
      <c r="J347" s="31" t="s">
        <v>21</v>
      </c>
      <c r="K347" s="27" t="s">
        <v>196</v>
      </c>
      <c r="L347" s="27" t="s">
        <v>239</v>
      </c>
      <c r="M347" s="32"/>
    </row>
    <row r="348" spans="1:13" ht="15.2" customHeight="1" x14ac:dyDescent="0.2">
      <c r="A348" s="26" t="s">
        <v>5913</v>
      </c>
      <c r="B348" s="27" t="s">
        <v>5914</v>
      </c>
      <c r="C348" s="28">
        <v>1</v>
      </c>
      <c r="D348" s="29">
        <v>8.9499999999999993</v>
      </c>
      <c r="E348" s="29">
        <v>8.9499999999999993</v>
      </c>
      <c r="F348" s="30">
        <v>19.989999999999998</v>
      </c>
      <c r="G348" s="29">
        <v>19.989999999999998</v>
      </c>
      <c r="H348" s="28" t="s">
        <v>5915</v>
      </c>
      <c r="I348" s="27" t="s">
        <v>295</v>
      </c>
      <c r="J348" s="31" t="s">
        <v>40</v>
      </c>
      <c r="K348" s="27" t="s">
        <v>282</v>
      </c>
      <c r="L348" s="27" t="s">
        <v>327</v>
      </c>
      <c r="M348" s="32"/>
    </row>
    <row r="349" spans="1:13" ht="15.2" customHeight="1" x14ac:dyDescent="0.2">
      <c r="A349" s="26" t="s">
        <v>3644</v>
      </c>
      <c r="B349" s="27" t="s">
        <v>1062</v>
      </c>
      <c r="C349" s="28">
        <v>1</v>
      </c>
      <c r="D349" s="29">
        <v>8.94</v>
      </c>
      <c r="E349" s="29">
        <v>8.94</v>
      </c>
      <c r="F349" s="30">
        <v>24.5</v>
      </c>
      <c r="G349" s="29">
        <v>24.5</v>
      </c>
      <c r="H349" s="28" t="s">
        <v>1063</v>
      </c>
      <c r="I349" s="27" t="s">
        <v>746</v>
      </c>
      <c r="J349" s="31" t="s">
        <v>5</v>
      </c>
      <c r="K349" s="27" t="s">
        <v>41</v>
      </c>
      <c r="L349" s="27" t="s">
        <v>45</v>
      </c>
      <c r="M349" s="32"/>
    </row>
    <row r="350" spans="1:13" ht="15.2" customHeight="1" x14ac:dyDescent="0.2">
      <c r="A350" s="26" t="s">
        <v>5916</v>
      </c>
      <c r="B350" s="27" t="s">
        <v>5917</v>
      </c>
      <c r="C350" s="28">
        <v>1</v>
      </c>
      <c r="D350" s="29">
        <v>8.8000000000000007</v>
      </c>
      <c r="E350" s="29">
        <v>8.8000000000000007</v>
      </c>
      <c r="F350" s="30">
        <v>19.989999999999998</v>
      </c>
      <c r="G350" s="29">
        <v>19.989999999999998</v>
      </c>
      <c r="H350" s="28" t="s">
        <v>4271</v>
      </c>
      <c r="I350" s="27" t="s">
        <v>94</v>
      </c>
      <c r="J350" s="31" t="s">
        <v>21</v>
      </c>
      <c r="K350" s="27" t="s">
        <v>196</v>
      </c>
      <c r="L350" s="27" t="s">
        <v>260</v>
      </c>
      <c r="M350" s="32"/>
    </row>
    <row r="351" spans="1:13" ht="15.2" customHeight="1" x14ac:dyDescent="0.2">
      <c r="A351" s="26" t="s">
        <v>5918</v>
      </c>
      <c r="B351" s="27" t="s">
        <v>5919</v>
      </c>
      <c r="C351" s="28">
        <v>1</v>
      </c>
      <c r="D351" s="29">
        <v>8.5</v>
      </c>
      <c r="E351" s="29">
        <v>8.5</v>
      </c>
      <c r="F351" s="30">
        <v>19.989999999999998</v>
      </c>
      <c r="G351" s="29">
        <v>19.989999999999998</v>
      </c>
      <c r="H351" s="28" t="s">
        <v>5920</v>
      </c>
      <c r="I351" s="27" t="s">
        <v>66</v>
      </c>
      <c r="J351" s="31" t="s">
        <v>71</v>
      </c>
      <c r="K351" s="27" t="s">
        <v>196</v>
      </c>
      <c r="L351" s="27" t="s">
        <v>336</v>
      </c>
      <c r="M351" s="32"/>
    </row>
    <row r="352" spans="1:13" ht="15.2" customHeight="1" x14ac:dyDescent="0.2">
      <c r="A352" s="26" t="s">
        <v>4401</v>
      </c>
      <c r="B352" s="27" t="s">
        <v>4402</v>
      </c>
      <c r="C352" s="28">
        <v>1</v>
      </c>
      <c r="D352" s="29">
        <v>8.5</v>
      </c>
      <c r="E352" s="29">
        <v>8.5</v>
      </c>
      <c r="F352" s="30">
        <v>19.989999999999998</v>
      </c>
      <c r="G352" s="29">
        <v>19.989999999999998</v>
      </c>
      <c r="H352" s="28" t="s">
        <v>4403</v>
      </c>
      <c r="I352" s="27" t="s">
        <v>280</v>
      </c>
      <c r="J352" s="31" t="s">
        <v>21</v>
      </c>
      <c r="K352" s="27" t="s">
        <v>282</v>
      </c>
      <c r="L352" s="27" t="s">
        <v>358</v>
      </c>
      <c r="M352" s="32"/>
    </row>
    <row r="353" spans="1:13" ht="15.2" customHeight="1" x14ac:dyDescent="0.2">
      <c r="A353" s="26" t="s">
        <v>4707</v>
      </c>
      <c r="B353" s="27" t="s">
        <v>4708</v>
      </c>
      <c r="C353" s="28">
        <v>2</v>
      </c>
      <c r="D353" s="29">
        <v>8.5</v>
      </c>
      <c r="E353" s="29">
        <v>17</v>
      </c>
      <c r="F353" s="30">
        <v>19.989999999999998</v>
      </c>
      <c r="G353" s="29">
        <v>39.979999999999997</v>
      </c>
      <c r="H353" s="28" t="s">
        <v>4279</v>
      </c>
      <c r="I353" s="27" t="s">
        <v>215</v>
      </c>
      <c r="J353" s="31" t="s">
        <v>40</v>
      </c>
      <c r="K353" s="27" t="s">
        <v>282</v>
      </c>
      <c r="L353" s="27" t="s">
        <v>283</v>
      </c>
      <c r="M353" s="32"/>
    </row>
    <row r="354" spans="1:13" ht="15.2" customHeight="1" x14ac:dyDescent="0.2">
      <c r="A354" s="26" t="s">
        <v>4713</v>
      </c>
      <c r="B354" s="27" t="s">
        <v>4714</v>
      </c>
      <c r="C354" s="28">
        <v>1</v>
      </c>
      <c r="D354" s="29">
        <v>8.5</v>
      </c>
      <c r="E354" s="29">
        <v>8.5</v>
      </c>
      <c r="F354" s="30">
        <v>19.989999999999998</v>
      </c>
      <c r="G354" s="29">
        <v>19.989999999999998</v>
      </c>
      <c r="H354" s="28" t="s">
        <v>4271</v>
      </c>
      <c r="I354" s="27" t="s">
        <v>36</v>
      </c>
      <c r="J354" s="31" t="s">
        <v>52</v>
      </c>
      <c r="K354" s="27" t="s">
        <v>196</v>
      </c>
      <c r="L354" s="27" t="s">
        <v>260</v>
      </c>
      <c r="M354" s="32"/>
    </row>
    <row r="355" spans="1:13" ht="15.2" customHeight="1" x14ac:dyDescent="0.2">
      <c r="A355" s="26" t="s">
        <v>5921</v>
      </c>
      <c r="B355" s="27" t="s">
        <v>5922</v>
      </c>
      <c r="C355" s="28">
        <v>1</v>
      </c>
      <c r="D355" s="29">
        <v>8.5</v>
      </c>
      <c r="E355" s="29">
        <v>8.5</v>
      </c>
      <c r="F355" s="30">
        <v>19.989999999999998</v>
      </c>
      <c r="G355" s="29">
        <v>19.989999999999998</v>
      </c>
      <c r="H355" s="28" t="s">
        <v>2788</v>
      </c>
      <c r="I355" s="27" t="s">
        <v>302</v>
      </c>
      <c r="J355" s="31" t="s">
        <v>71</v>
      </c>
      <c r="K355" s="27" t="s">
        <v>196</v>
      </c>
      <c r="L355" s="27" t="s">
        <v>239</v>
      </c>
      <c r="M355" s="32"/>
    </row>
    <row r="356" spans="1:13" ht="15.2" customHeight="1" x14ac:dyDescent="0.2">
      <c r="A356" s="26" t="s">
        <v>5573</v>
      </c>
      <c r="B356" s="27" t="s">
        <v>5574</v>
      </c>
      <c r="C356" s="28">
        <v>2</v>
      </c>
      <c r="D356" s="29">
        <v>8.5</v>
      </c>
      <c r="E356" s="29">
        <v>17</v>
      </c>
      <c r="F356" s="30">
        <v>19.989999999999998</v>
      </c>
      <c r="G356" s="29">
        <v>39.979999999999997</v>
      </c>
      <c r="H356" s="28" t="s">
        <v>4271</v>
      </c>
      <c r="I356" s="27" t="s">
        <v>36</v>
      </c>
      <c r="J356" s="31" t="s">
        <v>5</v>
      </c>
      <c r="K356" s="27" t="s">
        <v>196</v>
      </c>
      <c r="L356" s="27" t="s">
        <v>260</v>
      </c>
      <c r="M356" s="32"/>
    </row>
    <row r="357" spans="1:13" ht="15.2" customHeight="1" x14ac:dyDescent="0.2">
      <c r="A357" s="26" t="s">
        <v>4715</v>
      </c>
      <c r="B357" s="27" t="s">
        <v>4716</v>
      </c>
      <c r="C357" s="28">
        <v>3</v>
      </c>
      <c r="D357" s="29">
        <v>8.5</v>
      </c>
      <c r="E357" s="29">
        <v>25.5</v>
      </c>
      <c r="F357" s="30">
        <v>19.989999999999998</v>
      </c>
      <c r="G357" s="29">
        <v>59.97</v>
      </c>
      <c r="H357" s="28" t="s">
        <v>4271</v>
      </c>
      <c r="I357" s="27" t="s">
        <v>26</v>
      </c>
      <c r="J357" s="31" t="s">
        <v>5</v>
      </c>
      <c r="K357" s="27" t="s">
        <v>196</v>
      </c>
      <c r="L357" s="27" t="s">
        <v>260</v>
      </c>
      <c r="M357" s="32"/>
    </row>
    <row r="358" spans="1:13" ht="15.2" customHeight="1" x14ac:dyDescent="0.2">
      <c r="A358" s="26" t="s">
        <v>4709</v>
      </c>
      <c r="B358" s="27" t="s">
        <v>4710</v>
      </c>
      <c r="C358" s="28">
        <v>1</v>
      </c>
      <c r="D358" s="29">
        <v>8.5</v>
      </c>
      <c r="E358" s="29">
        <v>8.5</v>
      </c>
      <c r="F358" s="30">
        <v>19.989999999999998</v>
      </c>
      <c r="G358" s="29">
        <v>19.989999999999998</v>
      </c>
      <c r="H358" s="28" t="s">
        <v>4271</v>
      </c>
      <c r="I358" s="27" t="s">
        <v>36</v>
      </c>
      <c r="J358" s="31" t="s">
        <v>21</v>
      </c>
      <c r="K358" s="27" t="s">
        <v>196</v>
      </c>
      <c r="L358" s="27" t="s">
        <v>260</v>
      </c>
      <c r="M358" s="32"/>
    </row>
    <row r="359" spans="1:13" ht="15.2" customHeight="1" x14ac:dyDescent="0.2">
      <c r="A359" s="26" t="s">
        <v>4272</v>
      </c>
      <c r="B359" s="27" t="s">
        <v>4273</v>
      </c>
      <c r="C359" s="28">
        <v>1</v>
      </c>
      <c r="D359" s="29">
        <v>8.5</v>
      </c>
      <c r="E359" s="29">
        <v>8.5</v>
      </c>
      <c r="F359" s="30">
        <v>19.989999999999998</v>
      </c>
      <c r="G359" s="29">
        <v>19.989999999999998</v>
      </c>
      <c r="H359" s="28" t="s">
        <v>4274</v>
      </c>
      <c r="I359" s="27" t="s">
        <v>4</v>
      </c>
      <c r="J359" s="31" t="s">
        <v>21</v>
      </c>
      <c r="K359" s="27" t="s">
        <v>282</v>
      </c>
      <c r="L359" s="27" t="s">
        <v>283</v>
      </c>
      <c r="M359" s="32"/>
    </row>
    <row r="360" spans="1:13" ht="15.2" customHeight="1" x14ac:dyDescent="0.2">
      <c r="A360" s="26" t="s">
        <v>5923</v>
      </c>
      <c r="B360" s="27" t="s">
        <v>5924</v>
      </c>
      <c r="C360" s="28">
        <v>2</v>
      </c>
      <c r="D360" s="29">
        <v>8.5</v>
      </c>
      <c r="E360" s="29">
        <v>17</v>
      </c>
      <c r="F360" s="30">
        <v>19.989999999999998</v>
      </c>
      <c r="G360" s="29">
        <v>39.979999999999997</v>
      </c>
      <c r="H360" s="28" t="s">
        <v>4404</v>
      </c>
      <c r="I360" s="27" t="s">
        <v>746</v>
      </c>
      <c r="J360" s="31" t="s">
        <v>52</v>
      </c>
      <c r="K360" s="27" t="s">
        <v>196</v>
      </c>
      <c r="L360" s="27" t="s">
        <v>336</v>
      </c>
      <c r="M360" s="32"/>
    </row>
    <row r="361" spans="1:13" ht="15.2" customHeight="1" x14ac:dyDescent="0.2">
      <c r="A361" s="26" t="s">
        <v>5925</v>
      </c>
      <c r="B361" s="27" t="s">
        <v>5926</v>
      </c>
      <c r="C361" s="28">
        <v>1</v>
      </c>
      <c r="D361" s="29">
        <v>8.25</v>
      </c>
      <c r="E361" s="29">
        <v>8.25</v>
      </c>
      <c r="F361" s="30">
        <v>19.989999999999998</v>
      </c>
      <c r="G361" s="29">
        <v>19.989999999999998</v>
      </c>
      <c r="H361" s="28" t="s">
        <v>4544</v>
      </c>
      <c r="I361" s="27" t="s">
        <v>26</v>
      </c>
      <c r="J361" s="31" t="s">
        <v>71</v>
      </c>
      <c r="K361" s="27" t="s">
        <v>196</v>
      </c>
      <c r="L361" s="27" t="s">
        <v>322</v>
      </c>
      <c r="M361" s="32"/>
    </row>
    <row r="362" spans="1:13" ht="15.2" customHeight="1" x14ac:dyDescent="0.2">
      <c r="A362" s="26" t="s">
        <v>4725</v>
      </c>
      <c r="B362" s="27" t="s">
        <v>4726</v>
      </c>
      <c r="C362" s="28">
        <v>1</v>
      </c>
      <c r="D362" s="29">
        <v>8.15</v>
      </c>
      <c r="E362" s="29">
        <v>8.15</v>
      </c>
      <c r="F362" s="30">
        <v>19.989999999999998</v>
      </c>
      <c r="G362" s="29">
        <v>19.989999999999998</v>
      </c>
      <c r="H362" s="28">
        <v>60453500</v>
      </c>
      <c r="I362" s="27" t="s">
        <v>33</v>
      </c>
      <c r="J362" s="31" t="s">
        <v>52</v>
      </c>
      <c r="K362" s="27" t="s">
        <v>208</v>
      </c>
      <c r="L362" s="27" t="s">
        <v>255</v>
      </c>
      <c r="M362" s="32"/>
    </row>
    <row r="363" spans="1:13" ht="15.2" customHeight="1" x14ac:dyDescent="0.2">
      <c r="A363" s="26" t="s">
        <v>4723</v>
      </c>
      <c r="B363" s="27" t="s">
        <v>4724</v>
      </c>
      <c r="C363" s="28">
        <v>1</v>
      </c>
      <c r="D363" s="29">
        <v>8.15</v>
      </c>
      <c r="E363" s="29">
        <v>8.15</v>
      </c>
      <c r="F363" s="30">
        <v>19.989999999999998</v>
      </c>
      <c r="G363" s="29">
        <v>19.989999999999998</v>
      </c>
      <c r="H363" s="28">
        <v>60453500</v>
      </c>
      <c r="I363" s="27" t="s">
        <v>33</v>
      </c>
      <c r="J363" s="31" t="s">
        <v>71</v>
      </c>
      <c r="K363" s="27" t="s">
        <v>208</v>
      </c>
      <c r="L363" s="27" t="s">
        <v>255</v>
      </c>
      <c r="M363" s="32"/>
    </row>
    <row r="364" spans="1:13" ht="15.2" customHeight="1" x14ac:dyDescent="0.2">
      <c r="A364" s="26" t="s">
        <v>4295</v>
      </c>
      <c r="B364" s="27" t="s">
        <v>4296</v>
      </c>
      <c r="C364" s="28">
        <v>2</v>
      </c>
      <c r="D364" s="29">
        <v>8</v>
      </c>
      <c r="E364" s="29">
        <v>16</v>
      </c>
      <c r="F364" s="30">
        <v>19.989999999999998</v>
      </c>
      <c r="G364" s="29">
        <v>39.979999999999997</v>
      </c>
      <c r="H364" s="28" t="s">
        <v>4297</v>
      </c>
      <c r="I364" s="27" t="s">
        <v>189</v>
      </c>
      <c r="J364" s="31" t="s">
        <v>5</v>
      </c>
      <c r="K364" s="27" t="s">
        <v>282</v>
      </c>
      <c r="L364" s="27" t="s">
        <v>312</v>
      </c>
      <c r="M364" s="32"/>
    </row>
    <row r="365" spans="1:13" ht="15.2" customHeight="1" x14ac:dyDescent="0.2">
      <c r="A365" s="26" t="s">
        <v>5351</v>
      </c>
      <c r="B365" s="27" t="s">
        <v>5352</v>
      </c>
      <c r="C365" s="28">
        <v>1</v>
      </c>
      <c r="D365" s="29">
        <v>8</v>
      </c>
      <c r="E365" s="29">
        <v>8</v>
      </c>
      <c r="F365" s="30">
        <v>19.989999999999998</v>
      </c>
      <c r="G365" s="29">
        <v>19.989999999999998</v>
      </c>
      <c r="H365" s="28" t="s">
        <v>4154</v>
      </c>
      <c r="I365" s="27" t="s">
        <v>1</v>
      </c>
      <c r="J365" s="31" t="s">
        <v>21</v>
      </c>
      <c r="K365" s="27" t="s">
        <v>196</v>
      </c>
      <c r="L365" s="27" t="s">
        <v>239</v>
      </c>
      <c r="M365" s="32"/>
    </row>
    <row r="366" spans="1:13" ht="15.2" customHeight="1" x14ac:dyDescent="0.2">
      <c r="A366" s="26" t="s">
        <v>5927</v>
      </c>
      <c r="B366" s="27" t="s">
        <v>5928</v>
      </c>
      <c r="C366" s="28">
        <v>1</v>
      </c>
      <c r="D366" s="29">
        <v>8</v>
      </c>
      <c r="E366" s="29">
        <v>8</v>
      </c>
      <c r="F366" s="30">
        <v>19.989999999999998</v>
      </c>
      <c r="G366" s="29">
        <v>19.989999999999998</v>
      </c>
      <c r="H366" s="28" t="s">
        <v>4282</v>
      </c>
      <c r="I366" s="27" t="s">
        <v>215</v>
      </c>
      <c r="J366" s="31" t="s">
        <v>5</v>
      </c>
      <c r="K366" s="27" t="s">
        <v>196</v>
      </c>
      <c r="L366" s="27" t="s">
        <v>239</v>
      </c>
      <c r="M366" s="32"/>
    </row>
    <row r="367" spans="1:13" ht="15.2" customHeight="1" x14ac:dyDescent="0.2">
      <c r="A367" s="26" t="s">
        <v>4288</v>
      </c>
      <c r="B367" s="27" t="s">
        <v>4289</v>
      </c>
      <c r="C367" s="28">
        <v>1</v>
      </c>
      <c r="D367" s="29">
        <v>8</v>
      </c>
      <c r="E367" s="29">
        <v>8</v>
      </c>
      <c r="F367" s="30">
        <v>19.989999999999998</v>
      </c>
      <c r="G367" s="29">
        <v>19.989999999999998</v>
      </c>
      <c r="H367" s="28" t="s">
        <v>4285</v>
      </c>
      <c r="I367" s="27" t="s">
        <v>29</v>
      </c>
      <c r="J367" s="31" t="s">
        <v>52</v>
      </c>
      <c r="K367" s="27" t="s">
        <v>282</v>
      </c>
      <c r="L367" s="27" t="s">
        <v>312</v>
      </c>
      <c r="M367" s="32"/>
    </row>
    <row r="368" spans="1:13" ht="15.2" customHeight="1" x14ac:dyDescent="0.2">
      <c r="A368" s="26" t="s">
        <v>4290</v>
      </c>
      <c r="B368" s="27" t="s">
        <v>4291</v>
      </c>
      <c r="C368" s="28">
        <v>1</v>
      </c>
      <c r="D368" s="29">
        <v>8</v>
      </c>
      <c r="E368" s="29">
        <v>8</v>
      </c>
      <c r="F368" s="30">
        <v>19.989999999999998</v>
      </c>
      <c r="G368" s="29">
        <v>19.989999999999998</v>
      </c>
      <c r="H368" s="28" t="s">
        <v>4285</v>
      </c>
      <c r="I368" s="27" t="s">
        <v>29</v>
      </c>
      <c r="J368" s="31" t="s">
        <v>5</v>
      </c>
      <c r="K368" s="27" t="s">
        <v>282</v>
      </c>
      <c r="L368" s="27" t="s">
        <v>312</v>
      </c>
      <c r="M368" s="32"/>
    </row>
    <row r="369" spans="1:13" ht="15.2" customHeight="1" x14ac:dyDescent="0.2">
      <c r="A369" s="26" t="s">
        <v>4553</v>
      </c>
      <c r="B369" s="27" t="s">
        <v>4554</v>
      </c>
      <c r="C369" s="28">
        <v>1</v>
      </c>
      <c r="D369" s="29">
        <v>8</v>
      </c>
      <c r="E369" s="29">
        <v>8</v>
      </c>
      <c r="F369" s="30">
        <v>19.989999999999998</v>
      </c>
      <c r="G369" s="29">
        <v>19.989999999999998</v>
      </c>
      <c r="H369" s="28" t="s">
        <v>4297</v>
      </c>
      <c r="I369" s="27" t="s">
        <v>189</v>
      </c>
      <c r="J369" s="31" t="s">
        <v>21</v>
      </c>
      <c r="K369" s="27" t="s">
        <v>282</v>
      </c>
      <c r="L369" s="27" t="s">
        <v>312</v>
      </c>
      <c r="M369" s="32"/>
    </row>
    <row r="370" spans="1:13" ht="15.2" customHeight="1" x14ac:dyDescent="0.2">
      <c r="A370" s="26" t="s">
        <v>5575</v>
      </c>
      <c r="B370" s="27" t="s">
        <v>5576</v>
      </c>
      <c r="C370" s="28">
        <v>1</v>
      </c>
      <c r="D370" s="29">
        <v>7.95</v>
      </c>
      <c r="E370" s="29">
        <v>7.95</v>
      </c>
      <c r="F370" s="30">
        <v>19.989999999999998</v>
      </c>
      <c r="G370" s="29">
        <v>19.989999999999998</v>
      </c>
      <c r="H370" s="28" t="s">
        <v>5577</v>
      </c>
      <c r="I370" s="27" t="s">
        <v>189</v>
      </c>
      <c r="J370" s="31" t="s">
        <v>21</v>
      </c>
      <c r="K370" s="27" t="s">
        <v>196</v>
      </c>
      <c r="L370" s="27" t="s">
        <v>256</v>
      </c>
      <c r="M370" s="32"/>
    </row>
    <row r="371" spans="1:13" ht="15.2" customHeight="1" x14ac:dyDescent="0.2">
      <c r="A371" s="26" t="s">
        <v>5929</v>
      </c>
      <c r="B371" s="27" t="s">
        <v>5930</v>
      </c>
      <c r="C371" s="28">
        <v>1</v>
      </c>
      <c r="D371" s="29">
        <v>7.95</v>
      </c>
      <c r="E371" s="29">
        <v>7.95</v>
      </c>
      <c r="F371" s="30">
        <v>19.989999999999998</v>
      </c>
      <c r="G371" s="29">
        <v>19.989999999999998</v>
      </c>
      <c r="H371" s="28" t="s">
        <v>590</v>
      </c>
      <c r="I371" s="27" t="s">
        <v>10</v>
      </c>
      <c r="J371" s="31" t="s">
        <v>21</v>
      </c>
      <c r="K371" s="27" t="s">
        <v>196</v>
      </c>
      <c r="L371" s="27" t="s">
        <v>256</v>
      </c>
      <c r="M371" s="32"/>
    </row>
    <row r="372" spans="1:13" ht="15.2" customHeight="1" x14ac:dyDescent="0.2">
      <c r="A372" s="26" t="s">
        <v>5931</v>
      </c>
      <c r="B372" s="27" t="s">
        <v>5932</v>
      </c>
      <c r="C372" s="28">
        <v>1</v>
      </c>
      <c r="D372" s="29">
        <v>7.95</v>
      </c>
      <c r="E372" s="29">
        <v>7.95</v>
      </c>
      <c r="F372" s="30">
        <v>19.989999999999998</v>
      </c>
      <c r="G372" s="29">
        <v>19.989999999999998</v>
      </c>
      <c r="H372" s="28" t="s">
        <v>590</v>
      </c>
      <c r="I372" s="27" t="s">
        <v>189</v>
      </c>
      <c r="J372" s="31" t="s">
        <v>21</v>
      </c>
      <c r="K372" s="27" t="s">
        <v>196</v>
      </c>
      <c r="L372" s="27" t="s">
        <v>256</v>
      </c>
      <c r="M372" s="32"/>
    </row>
    <row r="373" spans="1:13" ht="15.2" customHeight="1" x14ac:dyDescent="0.2">
      <c r="A373" s="26" t="s">
        <v>598</v>
      </c>
      <c r="B373" s="27" t="s">
        <v>599</v>
      </c>
      <c r="C373" s="28">
        <v>1</v>
      </c>
      <c r="D373" s="29">
        <v>7.9</v>
      </c>
      <c r="E373" s="29">
        <v>7.9</v>
      </c>
      <c r="F373" s="30">
        <v>19.989999999999998</v>
      </c>
      <c r="G373" s="29">
        <v>19.989999999999998</v>
      </c>
      <c r="H373" s="28" t="s">
        <v>595</v>
      </c>
      <c r="I373" s="27" t="s">
        <v>22</v>
      </c>
      <c r="J373" s="31" t="s">
        <v>52</v>
      </c>
      <c r="K373" s="27" t="s">
        <v>282</v>
      </c>
      <c r="L373" s="27" t="s">
        <v>349</v>
      </c>
      <c r="M373" s="32"/>
    </row>
    <row r="374" spans="1:13" ht="15.2" customHeight="1" x14ac:dyDescent="0.2">
      <c r="A374" s="26" t="s">
        <v>2521</v>
      </c>
      <c r="B374" s="27" t="s">
        <v>2522</v>
      </c>
      <c r="C374" s="28">
        <v>3</v>
      </c>
      <c r="D374" s="29">
        <v>7.7</v>
      </c>
      <c r="E374" s="29">
        <v>23.1</v>
      </c>
      <c r="F374" s="30">
        <v>18.989999999999998</v>
      </c>
      <c r="G374" s="29">
        <v>56.97</v>
      </c>
      <c r="H374" s="28" t="s">
        <v>2523</v>
      </c>
      <c r="I374" s="27" t="s">
        <v>207</v>
      </c>
      <c r="J374" s="31" t="s">
        <v>21</v>
      </c>
      <c r="K374" s="27" t="s">
        <v>208</v>
      </c>
      <c r="L374" s="27" t="s">
        <v>197</v>
      </c>
      <c r="M374" s="32"/>
    </row>
    <row r="375" spans="1:13" ht="15.2" customHeight="1" x14ac:dyDescent="0.2">
      <c r="A375" s="26" t="s">
        <v>2790</v>
      </c>
      <c r="B375" s="27" t="s">
        <v>2791</v>
      </c>
      <c r="C375" s="28">
        <v>1</v>
      </c>
      <c r="D375" s="29">
        <v>7.7</v>
      </c>
      <c r="E375" s="29">
        <v>7.7</v>
      </c>
      <c r="F375" s="30">
        <v>18.989999999999998</v>
      </c>
      <c r="G375" s="29">
        <v>18.989999999999998</v>
      </c>
      <c r="H375" s="28" t="s">
        <v>2523</v>
      </c>
      <c r="I375" s="27" t="s">
        <v>207</v>
      </c>
      <c r="J375" s="31" t="s">
        <v>40</v>
      </c>
      <c r="K375" s="27" t="s">
        <v>208</v>
      </c>
      <c r="L375" s="27" t="s">
        <v>197</v>
      </c>
      <c r="M375" s="32"/>
    </row>
    <row r="376" spans="1:13" ht="15.2" customHeight="1" x14ac:dyDescent="0.2">
      <c r="A376" s="26" t="s">
        <v>2057</v>
      </c>
      <c r="B376" s="27" t="s">
        <v>2058</v>
      </c>
      <c r="C376" s="28">
        <v>2</v>
      </c>
      <c r="D376" s="29">
        <v>7.7</v>
      </c>
      <c r="E376" s="29">
        <v>15.4</v>
      </c>
      <c r="F376" s="30">
        <v>18.989999999999998</v>
      </c>
      <c r="G376" s="29">
        <v>37.979999999999997</v>
      </c>
      <c r="H376" s="28" t="s">
        <v>2059</v>
      </c>
      <c r="I376" s="27" t="s">
        <v>144</v>
      </c>
      <c r="J376" s="31" t="s">
        <v>71</v>
      </c>
      <c r="K376" s="27" t="s">
        <v>208</v>
      </c>
      <c r="L376" s="27" t="s">
        <v>197</v>
      </c>
      <c r="M376" s="32"/>
    </row>
    <row r="377" spans="1:13" ht="15.2" customHeight="1" x14ac:dyDescent="0.2">
      <c r="A377" s="26" t="s">
        <v>5933</v>
      </c>
      <c r="B377" s="27" t="s">
        <v>5934</v>
      </c>
      <c r="C377" s="28">
        <v>2</v>
      </c>
      <c r="D377" s="29">
        <v>7.7</v>
      </c>
      <c r="E377" s="29">
        <v>15.4</v>
      </c>
      <c r="F377" s="30">
        <v>18.989999999999998</v>
      </c>
      <c r="G377" s="29">
        <v>37.979999999999997</v>
      </c>
      <c r="H377" s="28" t="s">
        <v>2523</v>
      </c>
      <c r="I377" s="27" t="s">
        <v>207</v>
      </c>
      <c r="J377" s="31" t="s">
        <v>71</v>
      </c>
      <c r="K377" s="27" t="s">
        <v>208</v>
      </c>
      <c r="L377" s="27" t="s">
        <v>197</v>
      </c>
      <c r="M377" s="32"/>
    </row>
    <row r="378" spans="1:13" ht="15.2" customHeight="1" x14ac:dyDescent="0.2">
      <c r="A378" s="26" t="s">
        <v>4561</v>
      </c>
      <c r="B378" s="27" t="s">
        <v>4562</v>
      </c>
      <c r="C378" s="28">
        <v>1</v>
      </c>
      <c r="D378" s="29">
        <v>7.5</v>
      </c>
      <c r="E378" s="29">
        <v>7.5</v>
      </c>
      <c r="F378" s="30">
        <v>19.989999999999998</v>
      </c>
      <c r="G378" s="29">
        <v>19.989999999999998</v>
      </c>
      <c r="H378" s="28" t="s">
        <v>4303</v>
      </c>
      <c r="I378" s="27" t="s">
        <v>33</v>
      </c>
      <c r="J378" s="31" t="s">
        <v>40</v>
      </c>
      <c r="K378" s="27" t="s">
        <v>282</v>
      </c>
      <c r="L378" s="27" t="s">
        <v>283</v>
      </c>
      <c r="M378" s="32"/>
    </row>
    <row r="379" spans="1:13" ht="15.2" customHeight="1" x14ac:dyDescent="0.2">
      <c r="A379" s="26" t="s">
        <v>4563</v>
      </c>
      <c r="B379" s="27" t="s">
        <v>4564</v>
      </c>
      <c r="C379" s="28">
        <v>1</v>
      </c>
      <c r="D379" s="29">
        <v>7.4</v>
      </c>
      <c r="E379" s="29">
        <v>7.4</v>
      </c>
      <c r="F379" s="30">
        <v>16.989999999999998</v>
      </c>
      <c r="G379" s="29">
        <v>16.989999999999998</v>
      </c>
      <c r="H379" s="28" t="s">
        <v>4565</v>
      </c>
      <c r="I379" s="27" t="s">
        <v>189</v>
      </c>
      <c r="J379" s="31" t="s">
        <v>40</v>
      </c>
      <c r="K379" s="27" t="s">
        <v>282</v>
      </c>
      <c r="L379" s="27" t="s">
        <v>327</v>
      </c>
      <c r="M379" s="32"/>
    </row>
    <row r="380" spans="1:13" ht="15.2" customHeight="1" x14ac:dyDescent="0.2">
      <c r="A380" s="26" t="s">
        <v>4729</v>
      </c>
      <c r="B380" s="27" t="s">
        <v>4730</v>
      </c>
      <c r="C380" s="28">
        <v>3</v>
      </c>
      <c r="D380" s="29">
        <v>7.4</v>
      </c>
      <c r="E380" s="29">
        <v>22.2</v>
      </c>
      <c r="F380" s="30">
        <v>16.989999999999998</v>
      </c>
      <c r="G380" s="29">
        <v>50.97</v>
      </c>
      <c r="H380" s="28" t="s">
        <v>4308</v>
      </c>
      <c r="I380" s="27" t="s">
        <v>4</v>
      </c>
      <c r="J380" s="31" t="s">
        <v>21</v>
      </c>
      <c r="K380" s="27" t="s">
        <v>282</v>
      </c>
      <c r="L380" s="27" t="s">
        <v>327</v>
      </c>
      <c r="M380" s="32"/>
    </row>
    <row r="381" spans="1:13" ht="15.2" customHeight="1" x14ac:dyDescent="0.2">
      <c r="A381" s="26" t="s">
        <v>5935</v>
      </c>
      <c r="B381" s="27" t="s">
        <v>5936</v>
      </c>
      <c r="C381" s="28">
        <v>1</v>
      </c>
      <c r="D381" s="29">
        <v>7</v>
      </c>
      <c r="E381" s="29">
        <v>7</v>
      </c>
      <c r="F381" s="30">
        <v>16.989999999999998</v>
      </c>
      <c r="G381" s="29">
        <v>16.989999999999998</v>
      </c>
      <c r="H381" s="28" t="s">
        <v>1693</v>
      </c>
      <c r="I381" s="27" t="s">
        <v>4</v>
      </c>
      <c r="J381" s="31" t="s">
        <v>71</v>
      </c>
      <c r="K381" s="27" t="s">
        <v>224</v>
      </c>
      <c r="L381" s="27" t="s">
        <v>197</v>
      </c>
      <c r="M381" s="32"/>
    </row>
    <row r="382" spans="1:13" ht="15.2" customHeight="1" x14ac:dyDescent="0.2">
      <c r="A382" s="26" t="s">
        <v>4312</v>
      </c>
      <c r="B382" s="27" t="s">
        <v>4313</v>
      </c>
      <c r="C382" s="28">
        <v>1</v>
      </c>
      <c r="D382" s="29">
        <v>6.85</v>
      </c>
      <c r="E382" s="29">
        <v>6.85</v>
      </c>
      <c r="F382" s="30">
        <v>16.989999999999998</v>
      </c>
      <c r="G382" s="29">
        <v>16.989999999999998</v>
      </c>
      <c r="H382" s="28" t="s">
        <v>4311</v>
      </c>
      <c r="I382" s="27" t="s">
        <v>274</v>
      </c>
      <c r="J382" s="31" t="s">
        <v>71</v>
      </c>
      <c r="K382" s="27" t="s">
        <v>196</v>
      </c>
      <c r="L382" s="27" t="s">
        <v>260</v>
      </c>
      <c r="M382" s="32"/>
    </row>
    <row r="383" spans="1:13" ht="15.2" customHeight="1" x14ac:dyDescent="0.2">
      <c r="A383" s="26" t="s">
        <v>4731</v>
      </c>
      <c r="B383" s="27" t="s">
        <v>4732</v>
      </c>
      <c r="C383" s="28">
        <v>1</v>
      </c>
      <c r="D383" s="29">
        <v>6.85</v>
      </c>
      <c r="E383" s="29">
        <v>6.85</v>
      </c>
      <c r="F383" s="30">
        <v>16.989999999999998</v>
      </c>
      <c r="G383" s="29">
        <v>16.989999999999998</v>
      </c>
      <c r="H383" s="28" t="s">
        <v>4311</v>
      </c>
      <c r="I383" s="27" t="s">
        <v>4</v>
      </c>
      <c r="J383" s="31" t="s">
        <v>5</v>
      </c>
      <c r="K383" s="27" t="s">
        <v>196</v>
      </c>
      <c r="L383" s="27" t="s">
        <v>260</v>
      </c>
      <c r="M383" s="32"/>
    </row>
    <row r="384" spans="1:13" ht="15.2" customHeight="1" x14ac:dyDescent="0.2">
      <c r="A384" s="26" t="s">
        <v>4585</v>
      </c>
      <c r="B384" s="27" t="s">
        <v>4586</v>
      </c>
      <c r="C384" s="28">
        <v>1</v>
      </c>
      <c r="D384" s="29">
        <v>6.35</v>
      </c>
      <c r="E384" s="29">
        <v>6.35</v>
      </c>
      <c r="F384" s="30">
        <v>12.99</v>
      </c>
      <c r="G384" s="29">
        <v>12.99</v>
      </c>
      <c r="H384" s="28" t="s">
        <v>4319</v>
      </c>
      <c r="I384" s="27" t="s">
        <v>295</v>
      </c>
      <c r="J384" s="31" t="s">
        <v>5</v>
      </c>
      <c r="K384" s="27" t="s">
        <v>282</v>
      </c>
      <c r="L384" s="27" t="s">
        <v>327</v>
      </c>
      <c r="M384" s="32"/>
    </row>
    <row r="385" spans="1:13" ht="15.2" customHeight="1" x14ac:dyDescent="0.2">
      <c r="A385" s="26" t="s">
        <v>5937</v>
      </c>
      <c r="B385" s="27" t="s">
        <v>5938</v>
      </c>
      <c r="C385" s="28">
        <v>6</v>
      </c>
      <c r="D385" s="29">
        <v>6.35</v>
      </c>
      <c r="E385" s="29">
        <v>38.1</v>
      </c>
      <c r="F385" s="30">
        <v>12.99</v>
      </c>
      <c r="G385" s="29">
        <v>77.94</v>
      </c>
      <c r="H385" s="28" t="s">
        <v>4427</v>
      </c>
      <c r="I385" s="27"/>
      <c r="J385" s="31" t="s">
        <v>40</v>
      </c>
      <c r="K385" s="27" t="s">
        <v>282</v>
      </c>
      <c r="L385" s="27" t="s">
        <v>327</v>
      </c>
      <c r="M385" s="32"/>
    </row>
    <row r="386" spans="1:13" ht="15.2" customHeight="1" x14ac:dyDescent="0.2">
      <c r="A386" s="26" t="s">
        <v>4320</v>
      </c>
      <c r="B386" s="27" t="s">
        <v>4321</v>
      </c>
      <c r="C386" s="28">
        <v>1</v>
      </c>
      <c r="D386" s="29">
        <v>6.35</v>
      </c>
      <c r="E386" s="29">
        <v>6.35</v>
      </c>
      <c r="F386" s="30">
        <v>12.99</v>
      </c>
      <c r="G386" s="29">
        <v>12.99</v>
      </c>
      <c r="H386" s="28" t="s">
        <v>4316</v>
      </c>
      <c r="I386" s="27" t="s">
        <v>295</v>
      </c>
      <c r="J386" s="31" t="s">
        <v>5</v>
      </c>
      <c r="K386" s="27" t="s">
        <v>282</v>
      </c>
      <c r="L386" s="27" t="s">
        <v>327</v>
      </c>
      <c r="M386" s="32"/>
    </row>
    <row r="387" spans="1:13" ht="15.2" customHeight="1" x14ac:dyDescent="0.2">
      <c r="A387" s="26" t="s">
        <v>5939</v>
      </c>
      <c r="B387" s="27" t="s">
        <v>5940</v>
      </c>
      <c r="C387" s="28">
        <v>1</v>
      </c>
      <c r="D387" s="29">
        <v>6.3</v>
      </c>
      <c r="E387" s="29">
        <v>6.3</v>
      </c>
      <c r="F387" s="30">
        <v>14.99</v>
      </c>
      <c r="G387" s="29">
        <v>14.99</v>
      </c>
      <c r="H387" s="28" t="s">
        <v>5941</v>
      </c>
      <c r="I387" s="27" t="s">
        <v>4</v>
      </c>
      <c r="J387" s="31" t="s">
        <v>5</v>
      </c>
      <c r="K387" s="27" t="s">
        <v>159</v>
      </c>
      <c r="L387" s="27" t="s">
        <v>160</v>
      </c>
      <c r="M387" s="32"/>
    </row>
    <row r="388" spans="1:13" ht="15.2" customHeight="1" x14ac:dyDescent="0.2">
      <c r="A388" s="26" t="s">
        <v>4903</v>
      </c>
      <c r="B388" s="27" t="s">
        <v>4904</v>
      </c>
      <c r="C388" s="28">
        <v>2</v>
      </c>
      <c r="D388" s="29">
        <v>6.25</v>
      </c>
      <c r="E388" s="29">
        <v>12.5</v>
      </c>
      <c r="F388" s="30">
        <v>12.99</v>
      </c>
      <c r="G388" s="29">
        <v>25.98</v>
      </c>
      <c r="H388" s="28" t="s">
        <v>4900</v>
      </c>
      <c r="I388" s="27" t="s">
        <v>82</v>
      </c>
      <c r="J388" s="31" t="s">
        <v>5</v>
      </c>
      <c r="K388" s="27" t="s">
        <v>282</v>
      </c>
      <c r="L388" s="27" t="s">
        <v>386</v>
      </c>
      <c r="M388" s="32"/>
    </row>
    <row r="389" spans="1:13" ht="15.2" customHeight="1" x14ac:dyDescent="0.2">
      <c r="A389" s="26" t="s">
        <v>5942</v>
      </c>
      <c r="B389" s="27" t="s">
        <v>5943</v>
      </c>
      <c r="C389" s="28">
        <v>1</v>
      </c>
      <c r="D389" s="29">
        <v>6.25</v>
      </c>
      <c r="E389" s="29">
        <v>6.25</v>
      </c>
      <c r="F389" s="30">
        <v>14.99</v>
      </c>
      <c r="G389" s="29">
        <v>14.99</v>
      </c>
      <c r="H389" s="28" t="s">
        <v>4166</v>
      </c>
      <c r="I389" s="27" t="s">
        <v>82</v>
      </c>
      <c r="J389" s="31" t="s">
        <v>21</v>
      </c>
      <c r="K389" s="27" t="s">
        <v>159</v>
      </c>
      <c r="L389" s="27" t="s">
        <v>160</v>
      </c>
      <c r="M389" s="32"/>
    </row>
    <row r="390" spans="1:13" ht="15.2" customHeight="1" x14ac:dyDescent="0.2">
      <c r="A390" s="26" t="s">
        <v>5944</v>
      </c>
      <c r="B390" s="27" t="s">
        <v>5945</v>
      </c>
      <c r="C390" s="28">
        <v>4</v>
      </c>
      <c r="D390" s="29">
        <v>6.25</v>
      </c>
      <c r="E390" s="29">
        <v>25</v>
      </c>
      <c r="F390" s="30">
        <v>12.99</v>
      </c>
      <c r="G390" s="29">
        <v>51.96</v>
      </c>
      <c r="H390" s="28" t="s">
        <v>4900</v>
      </c>
      <c r="I390" s="27" t="s">
        <v>82</v>
      </c>
      <c r="J390" s="31" t="s">
        <v>21</v>
      </c>
      <c r="K390" s="27" t="s">
        <v>282</v>
      </c>
      <c r="L390" s="27" t="s">
        <v>386</v>
      </c>
      <c r="M390" s="32"/>
    </row>
    <row r="391" spans="1:13" ht="15.2" customHeight="1" x14ac:dyDescent="0.2">
      <c r="A391" s="26" t="s">
        <v>5389</v>
      </c>
      <c r="B391" s="27" t="s">
        <v>5390</v>
      </c>
      <c r="C391" s="28">
        <v>1</v>
      </c>
      <c r="D391" s="29">
        <v>6</v>
      </c>
      <c r="E391" s="29">
        <v>6</v>
      </c>
      <c r="F391" s="30">
        <v>13.99</v>
      </c>
      <c r="G391" s="29">
        <v>13.99</v>
      </c>
      <c r="H391" s="28" t="s">
        <v>4742</v>
      </c>
      <c r="I391" s="27" t="s">
        <v>4</v>
      </c>
      <c r="J391" s="31" t="s">
        <v>21</v>
      </c>
      <c r="K391" s="27" t="s">
        <v>282</v>
      </c>
      <c r="L391" s="27" t="s">
        <v>239</v>
      </c>
      <c r="M391" s="32"/>
    </row>
    <row r="392" spans="1:13" ht="15.2" customHeight="1" x14ac:dyDescent="0.2">
      <c r="A392" s="26" t="s">
        <v>3093</v>
      </c>
      <c r="B392" s="27" t="s">
        <v>3094</v>
      </c>
      <c r="C392" s="28">
        <v>1</v>
      </c>
      <c r="D392" s="29">
        <v>6</v>
      </c>
      <c r="E392" s="29">
        <v>6</v>
      </c>
      <c r="F392" s="30">
        <v>13.99</v>
      </c>
      <c r="G392" s="29">
        <v>13.99</v>
      </c>
      <c r="H392" s="28" t="s">
        <v>609</v>
      </c>
      <c r="I392" s="27" t="s">
        <v>82</v>
      </c>
      <c r="J392" s="31" t="s">
        <v>21</v>
      </c>
      <c r="K392" s="27" t="s">
        <v>282</v>
      </c>
      <c r="L392" s="27" t="s">
        <v>260</v>
      </c>
      <c r="M392" s="32"/>
    </row>
    <row r="393" spans="1:13" ht="15.2" customHeight="1" x14ac:dyDescent="0.2">
      <c r="A393" s="26" t="s">
        <v>5578</v>
      </c>
      <c r="B393" s="27" t="s">
        <v>5579</v>
      </c>
      <c r="C393" s="28">
        <v>1</v>
      </c>
      <c r="D393" s="29">
        <v>6</v>
      </c>
      <c r="E393" s="29">
        <v>6</v>
      </c>
      <c r="F393" s="30">
        <v>13.99</v>
      </c>
      <c r="G393" s="29">
        <v>13.99</v>
      </c>
      <c r="H393" s="28" t="s">
        <v>609</v>
      </c>
      <c r="I393" s="27" t="s">
        <v>4</v>
      </c>
      <c r="J393" s="31" t="s">
        <v>5</v>
      </c>
      <c r="K393" s="27" t="s">
        <v>282</v>
      </c>
      <c r="L393" s="27" t="s">
        <v>260</v>
      </c>
      <c r="M393" s="32"/>
    </row>
    <row r="394" spans="1:13" ht="15.2" customHeight="1" x14ac:dyDescent="0.2">
      <c r="A394" s="26" t="s">
        <v>5946</v>
      </c>
      <c r="B394" s="27" t="s">
        <v>5947</v>
      </c>
      <c r="C394" s="28">
        <v>1</v>
      </c>
      <c r="D394" s="29">
        <v>6</v>
      </c>
      <c r="E394" s="29">
        <v>6</v>
      </c>
      <c r="F394" s="30">
        <v>13.99</v>
      </c>
      <c r="G394" s="29">
        <v>13.99</v>
      </c>
      <c r="H394" s="28" t="s">
        <v>609</v>
      </c>
      <c r="I394" s="27" t="s">
        <v>82</v>
      </c>
      <c r="J394" s="31" t="s">
        <v>5</v>
      </c>
      <c r="K394" s="27" t="s">
        <v>282</v>
      </c>
      <c r="L394" s="27" t="s">
        <v>260</v>
      </c>
      <c r="M394" s="32"/>
    </row>
    <row r="395" spans="1:13" ht="15.2" customHeight="1" x14ac:dyDescent="0.2">
      <c r="A395" s="26" t="s">
        <v>5948</v>
      </c>
      <c r="B395" s="27" t="s">
        <v>5949</v>
      </c>
      <c r="C395" s="28">
        <v>1</v>
      </c>
      <c r="D395" s="29">
        <v>6</v>
      </c>
      <c r="E395" s="29">
        <v>6</v>
      </c>
      <c r="F395" s="30">
        <v>13.99</v>
      </c>
      <c r="G395" s="29">
        <v>13.99</v>
      </c>
      <c r="H395" s="28" t="s">
        <v>609</v>
      </c>
      <c r="I395" s="27" t="s">
        <v>94</v>
      </c>
      <c r="J395" s="31" t="s">
        <v>71</v>
      </c>
      <c r="K395" s="27" t="s">
        <v>282</v>
      </c>
      <c r="L395" s="27" t="s">
        <v>260</v>
      </c>
      <c r="M395" s="32"/>
    </row>
    <row r="396" spans="1:13" ht="15.2" customHeight="1" x14ac:dyDescent="0.2">
      <c r="A396" s="26" t="s">
        <v>5950</v>
      </c>
      <c r="B396" s="27" t="s">
        <v>5951</v>
      </c>
      <c r="C396" s="28">
        <v>1</v>
      </c>
      <c r="D396" s="29">
        <v>6</v>
      </c>
      <c r="E396" s="29">
        <v>6</v>
      </c>
      <c r="F396" s="30">
        <v>12.99</v>
      </c>
      <c r="G396" s="29">
        <v>12.99</v>
      </c>
      <c r="H396" s="28" t="s">
        <v>5952</v>
      </c>
      <c r="I396" s="27" t="s">
        <v>82</v>
      </c>
      <c r="J396" s="31" t="s">
        <v>5</v>
      </c>
      <c r="K396" s="27" t="s">
        <v>282</v>
      </c>
      <c r="L396" s="27" t="s">
        <v>349</v>
      </c>
      <c r="M396" s="32"/>
    </row>
    <row r="397" spans="1:13" ht="15.2" customHeight="1" x14ac:dyDescent="0.2">
      <c r="A397" s="26" t="s">
        <v>5953</v>
      </c>
      <c r="B397" s="27" t="s">
        <v>5954</v>
      </c>
      <c r="C397" s="28">
        <v>1</v>
      </c>
      <c r="D397" s="29">
        <v>6</v>
      </c>
      <c r="E397" s="29">
        <v>6</v>
      </c>
      <c r="F397" s="30">
        <v>13.99</v>
      </c>
      <c r="G397" s="29">
        <v>13.99</v>
      </c>
      <c r="H397" s="28" t="s">
        <v>609</v>
      </c>
      <c r="I397" s="27" t="s">
        <v>75</v>
      </c>
      <c r="J397" s="31" t="s">
        <v>21</v>
      </c>
      <c r="K397" s="27" t="s">
        <v>282</v>
      </c>
      <c r="L397" s="27" t="s">
        <v>260</v>
      </c>
      <c r="M397" s="32"/>
    </row>
    <row r="398" spans="1:13" ht="15.2" customHeight="1" x14ac:dyDescent="0.2">
      <c r="A398" s="26" t="s">
        <v>5955</v>
      </c>
      <c r="B398" s="27" t="s">
        <v>5956</v>
      </c>
      <c r="C398" s="28">
        <v>1</v>
      </c>
      <c r="D398" s="29">
        <v>5.95</v>
      </c>
      <c r="E398" s="29">
        <v>5.95</v>
      </c>
      <c r="F398" s="30">
        <v>12.99</v>
      </c>
      <c r="G398" s="29">
        <v>12.99</v>
      </c>
      <c r="H398" s="28" t="s">
        <v>5957</v>
      </c>
      <c r="I398" s="27" t="s">
        <v>144</v>
      </c>
      <c r="J398" s="31" t="s">
        <v>21</v>
      </c>
      <c r="K398" s="27" t="s">
        <v>282</v>
      </c>
      <c r="L398" s="27" t="s">
        <v>358</v>
      </c>
      <c r="M398" s="32"/>
    </row>
    <row r="399" spans="1:13" ht="15.2" customHeight="1" x14ac:dyDescent="0.2">
      <c r="A399" s="26" t="s">
        <v>4590</v>
      </c>
      <c r="B399" s="27" t="s">
        <v>4591</v>
      </c>
      <c r="C399" s="28">
        <v>1</v>
      </c>
      <c r="D399" s="29">
        <v>5.9</v>
      </c>
      <c r="E399" s="29">
        <v>5.9</v>
      </c>
      <c r="F399" s="30">
        <v>13.99</v>
      </c>
      <c r="G399" s="29">
        <v>13.99</v>
      </c>
      <c r="H399" s="28" t="s">
        <v>4589</v>
      </c>
      <c r="I399" s="27" t="s">
        <v>22</v>
      </c>
      <c r="J399" s="31" t="s">
        <v>21</v>
      </c>
      <c r="K399" s="27" t="s">
        <v>282</v>
      </c>
      <c r="L399" s="27" t="s">
        <v>225</v>
      </c>
      <c r="M399" s="32"/>
    </row>
    <row r="400" spans="1:13" ht="15.2" customHeight="1" x14ac:dyDescent="0.2">
      <c r="A400" s="26" t="s">
        <v>611</v>
      </c>
      <c r="B400" s="27" t="s">
        <v>612</v>
      </c>
      <c r="C400" s="28">
        <v>1</v>
      </c>
      <c r="D400" s="29">
        <v>5.75</v>
      </c>
      <c r="E400" s="29">
        <v>5.75</v>
      </c>
      <c r="F400" s="30">
        <v>12.99</v>
      </c>
      <c r="G400" s="29">
        <v>12.99</v>
      </c>
      <c r="H400" s="28" t="s">
        <v>613</v>
      </c>
      <c r="I400" s="27" t="s">
        <v>4</v>
      </c>
      <c r="J400" s="31" t="s">
        <v>21</v>
      </c>
      <c r="K400" s="27" t="s">
        <v>282</v>
      </c>
      <c r="L400" s="27" t="s">
        <v>386</v>
      </c>
      <c r="M400" s="32"/>
    </row>
    <row r="401" spans="1:13" ht="15.2" customHeight="1" x14ac:dyDescent="0.2">
      <c r="A401" s="26" t="s">
        <v>4174</v>
      </c>
      <c r="B401" s="27" t="s">
        <v>3095</v>
      </c>
      <c r="C401" s="28">
        <v>1</v>
      </c>
      <c r="D401" s="29">
        <v>5.75</v>
      </c>
      <c r="E401" s="29">
        <v>5.75</v>
      </c>
      <c r="F401" s="30">
        <v>12.99</v>
      </c>
      <c r="G401" s="29">
        <v>12.99</v>
      </c>
      <c r="H401" s="28" t="s">
        <v>3096</v>
      </c>
      <c r="I401" s="27" t="s">
        <v>4</v>
      </c>
      <c r="J401" s="31" t="s">
        <v>52</v>
      </c>
      <c r="K401" s="27" t="s">
        <v>282</v>
      </c>
      <c r="L401" s="27" t="s">
        <v>386</v>
      </c>
      <c r="M401" s="32"/>
    </row>
    <row r="402" spans="1:13" ht="15.2" customHeight="1" x14ac:dyDescent="0.2">
      <c r="A402" s="26" t="s">
        <v>4176</v>
      </c>
      <c r="B402" s="27" t="s">
        <v>612</v>
      </c>
      <c r="C402" s="28">
        <v>1</v>
      </c>
      <c r="D402" s="29">
        <v>5.75</v>
      </c>
      <c r="E402" s="29">
        <v>5.75</v>
      </c>
      <c r="F402" s="30">
        <v>12.99</v>
      </c>
      <c r="G402" s="29">
        <v>12.99</v>
      </c>
      <c r="H402" s="28" t="s">
        <v>613</v>
      </c>
      <c r="I402" s="27" t="s">
        <v>4</v>
      </c>
      <c r="J402" s="31" t="s">
        <v>5</v>
      </c>
      <c r="K402" s="27" t="s">
        <v>282</v>
      </c>
      <c r="L402" s="27" t="s">
        <v>386</v>
      </c>
      <c r="M402" s="32"/>
    </row>
    <row r="403" spans="1:13" ht="15.2" customHeight="1" x14ac:dyDescent="0.2">
      <c r="A403" s="26" t="s">
        <v>4329</v>
      </c>
      <c r="B403" s="27" t="s">
        <v>4330</v>
      </c>
      <c r="C403" s="28">
        <v>2</v>
      </c>
      <c r="D403" s="29">
        <v>5.5</v>
      </c>
      <c r="E403" s="29">
        <v>11</v>
      </c>
      <c r="F403" s="30">
        <v>12.99</v>
      </c>
      <c r="G403" s="29">
        <v>25.98</v>
      </c>
      <c r="H403" s="28" t="s">
        <v>4182</v>
      </c>
      <c r="I403" s="27" t="s">
        <v>1</v>
      </c>
      <c r="J403" s="31" t="s">
        <v>40</v>
      </c>
      <c r="K403" s="27" t="s">
        <v>282</v>
      </c>
      <c r="L403" s="27" t="s">
        <v>283</v>
      </c>
      <c r="M403" s="32"/>
    </row>
    <row r="404" spans="1:13" ht="15.2" customHeight="1" x14ac:dyDescent="0.2">
      <c r="A404" s="26" t="s">
        <v>628</v>
      </c>
      <c r="B404" s="27" t="s">
        <v>629</v>
      </c>
      <c r="C404" s="28">
        <v>1</v>
      </c>
      <c r="D404" s="29">
        <v>5.5</v>
      </c>
      <c r="E404" s="29">
        <v>5.5</v>
      </c>
      <c r="F404" s="30">
        <v>12.99</v>
      </c>
      <c r="G404" s="29">
        <v>12.99</v>
      </c>
      <c r="H404" s="28" t="s">
        <v>630</v>
      </c>
      <c r="I404" s="27" t="s">
        <v>82</v>
      </c>
      <c r="J404" s="31" t="s">
        <v>40</v>
      </c>
      <c r="K404" s="27" t="s">
        <v>282</v>
      </c>
      <c r="L404" s="27" t="s">
        <v>312</v>
      </c>
      <c r="M404" s="32"/>
    </row>
    <row r="405" spans="1:13" ht="15.2" customHeight="1" x14ac:dyDescent="0.2">
      <c r="A405" s="26" t="s">
        <v>642</v>
      </c>
      <c r="B405" s="27" t="s">
        <v>643</v>
      </c>
      <c r="C405" s="28">
        <v>1</v>
      </c>
      <c r="D405" s="29">
        <v>5.5</v>
      </c>
      <c r="E405" s="29">
        <v>5.5</v>
      </c>
      <c r="F405" s="30">
        <v>13.99</v>
      </c>
      <c r="G405" s="29">
        <v>13.99</v>
      </c>
      <c r="H405" s="28" t="s">
        <v>619</v>
      </c>
      <c r="I405" s="27" t="s">
        <v>22</v>
      </c>
      <c r="J405" s="31" t="s">
        <v>5</v>
      </c>
      <c r="K405" s="27" t="s">
        <v>70</v>
      </c>
      <c r="L405" s="27" t="s">
        <v>353</v>
      </c>
      <c r="M405" s="32"/>
    </row>
    <row r="406" spans="1:13" ht="15.2" customHeight="1" x14ac:dyDescent="0.2">
      <c r="A406" s="26" t="s">
        <v>5958</v>
      </c>
      <c r="B406" s="27" t="s">
        <v>640</v>
      </c>
      <c r="C406" s="28">
        <v>1</v>
      </c>
      <c r="D406" s="29">
        <v>5.5</v>
      </c>
      <c r="E406" s="29">
        <v>5.5</v>
      </c>
      <c r="F406" s="30">
        <v>12.99</v>
      </c>
      <c r="G406" s="29">
        <v>12.99</v>
      </c>
      <c r="H406" s="28" t="s">
        <v>641</v>
      </c>
      <c r="I406" s="27" t="s">
        <v>144</v>
      </c>
      <c r="J406" s="31" t="s">
        <v>71</v>
      </c>
      <c r="K406" s="27" t="s">
        <v>282</v>
      </c>
      <c r="L406" s="27" t="s">
        <v>312</v>
      </c>
      <c r="M406" s="32"/>
    </row>
    <row r="407" spans="1:13" ht="15.2" customHeight="1" x14ac:dyDescent="0.2">
      <c r="A407" s="26" t="s">
        <v>4745</v>
      </c>
      <c r="B407" s="27" t="s">
        <v>4746</v>
      </c>
      <c r="C407" s="28">
        <v>1</v>
      </c>
      <c r="D407" s="29">
        <v>5.5</v>
      </c>
      <c r="E407" s="29">
        <v>5.5</v>
      </c>
      <c r="F407" s="30">
        <v>12.99</v>
      </c>
      <c r="G407" s="29">
        <v>12.99</v>
      </c>
      <c r="H407" s="28" t="s">
        <v>4179</v>
      </c>
      <c r="I407" s="27" t="s">
        <v>4</v>
      </c>
      <c r="J407" s="31" t="s">
        <v>52</v>
      </c>
      <c r="K407" s="27" t="s">
        <v>282</v>
      </c>
      <c r="L407" s="27" t="s">
        <v>283</v>
      </c>
      <c r="M407" s="32"/>
    </row>
    <row r="408" spans="1:13" ht="15.2" customHeight="1" x14ac:dyDescent="0.2">
      <c r="A408" s="26" t="s">
        <v>4180</v>
      </c>
      <c r="B408" s="27" t="s">
        <v>4181</v>
      </c>
      <c r="C408" s="28">
        <v>2</v>
      </c>
      <c r="D408" s="29">
        <v>5.5</v>
      </c>
      <c r="E408" s="29">
        <v>11</v>
      </c>
      <c r="F408" s="30">
        <v>12.99</v>
      </c>
      <c r="G408" s="29">
        <v>25.98</v>
      </c>
      <c r="H408" s="28" t="s">
        <v>4182</v>
      </c>
      <c r="I408" s="27" t="s">
        <v>1</v>
      </c>
      <c r="J408" s="31" t="s">
        <v>21</v>
      </c>
      <c r="K408" s="27" t="s">
        <v>282</v>
      </c>
      <c r="L408" s="27" t="s">
        <v>283</v>
      </c>
      <c r="M408" s="32"/>
    </row>
    <row r="409" spans="1:13" ht="15.2" customHeight="1" x14ac:dyDescent="0.2">
      <c r="A409" s="26" t="s">
        <v>2542</v>
      </c>
      <c r="B409" s="27" t="s">
        <v>2543</v>
      </c>
      <c r="C409" s="28">
        <v>1</v>
      </c>
      <c r="D409" s="29">
        <v>5.5</v>
      </c>
      <c r="E409" s="29">
        <v>5.5</v>
      </c>
      <c r="F409" s="30">
        <v>13.99</v>
      </c>
      <c r="G409" s="29">
        <v>13.99</v>
      </c>
      <c r="H409" s="28" t="s">
        <v>619</v>
      </c>
      <c r="I409" s="27" t="s">
        <v>94</v>
      </c>
      <c r="J409" s="31" t="s">
        <v>5</v>
      </c>
      <c r="K409" s="27" t="s">
        <v>70</v>
      </c>
      <c r="L409" s="27" t="s">
        <v>353</v>
      </c>
      <c r="M409" s="32"/>
    </row>
    <row r="410" spans="1:13" ht="15.2" customHeight="1" x14ac:dyDescent="0.2">
      <c r="A410" s="26" t="s">
        <v>646</v>
      </c>
      <c r="B410" s="27" t="s">
        <v>647</v>
      </c>
      <c r="C410" s="28">
        <v>1</v>
      </c>
      <c r="D410" s="29">
        <v>5.5</v>
      </c>
      <c r="E410" s="29">
        <v>5.5</v>
      </c>
      <c r="F410" s="30">
        <v>13.99</v>
      </c>
      <c r="G410" s="29">
        <v>13.99</v>
      </c>
      <c r="H410" s="28" t="s">
        <v>619</v>
      </c>
      <c r="I410" s="27" t="s">
        <v>94</v>
      </c>
      <c r="J410" s="31" t="s">
        <v>52</v>
      </c>
      <c r="K410" s="27" t="s">
        <v>70</v>
      </c>
      <c r="L410" s="27" t="s">
        <v>353</v>
      </c>
      <c r="M410" s="32"/>
    </row>
    <row r="411" spans="1:13" ht="15.2" customHeight="1" x14ac:dyDescent="0.2">
      <c r="A411" s="26" t="s">
        <v>4806</v>
      </c>
      <c r="B411" s="27" t="s">
        <v>4807</v>
      </c>
      <c r="C411" s="28">
        <v>1</v>
      </c>
      <c r="D411" s="29">
        <v>5.5</v>
      </c>
      <c r="E411" s="29">
        <v>5.5</v>
      </c>
      <c r="F411" s="30">
        <v>19.989999999999998</v>
      </c>
      <c r="G411" s="29">
        <v>19.989999999999998</v>
      </c>
      <c r="H411" s="28" t="s">
        <v>4593</v>
      </c>
      <c r="I411" s="27" t="s">
        <v>4</v>
      </c>
      <c r="J411" s="31" t="s">
        <v>40</v>
      </c>
      <c r="K411" s="27" t="s">
        <v>196</v>
      </c>
      <c r="L411" s="27" t="s">
        <v>225</v>
      </c>
      <c r="M411" s="32"/>
    </row>
  </sheetData>
  <pageMargins left="0.5" right="0.5" top="0.25" bottom="0.25" header="0.3" footer="0.3"/>
  <pageSetup scale="65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05"/>
  <sheetViews>
    <sheetView workbookViewId="0">
      <selection activeCell="B24" sqref="B24"/>
    </sheetView>
  </sheetViews>
  <sheetFormatPr defaultRowHeight="15.2" customHeight="1" x14ac:dyDescent="0.2"/>
  <cols>
    <col min="1" max="1" width="14.85546875" style="1" bestFit="1" customWidth="1"/>
    <col min="2" max="2" width="76.140625" style="1" bestFit="1" customWidth="1"/>
    <col min="3" max="3" width="6.42578125" style="1" bestFit="1" customWidth="1"/>
    <col min="4" max="4" width="7.5703125" style="1" bestFit="1" customWidth="1"/>
    <col min="5" max="5" width="9.5703125" style="1" bestFit="1" customWidth="1"/>
    <col min="6" max="6" width="7.5703125" style="1" bestFit="1" customWidth="1"/>
    <col min="7" max="7" width="11.140625" style="1" bestFit="1" customWidth="1"/>
    <col min="8" max="8" width="22.7109375" style="1" bestFit="1" customWidth="1"/>
    <col min="9" max="9" width="14.7109375" style="1" bestFit="1" customWidth="1"/>
    <col min="10" max="10" width="10.7109375" style="1" bestFit="1" customWidth="1"/>
    <col min="11" max="11" width="16.42578125" style="1" bestFit="1" customWidth="1"/>
    <col min="12" max="12" width="43.7109375" style="1" bestFit="1" customWidth="1"/>
    <col min="13" max="13" width="49.42578125" style="1" bestFit="1" customWidth="1"/>
    <col min="14" max="16384" width="9.140625" style="1"/>
  </cols>
  <sheetData>
    <row r="1" spans="1:13" ht="15.2" customHeight="1" x14ac:dyDescent="0.2">
      <c r="A1" s="25" t="s">
        <v>0</v>
      </c>
      <c r="B1" s="25" t="s">
        <v>11929</v>
      </c>
      <c r="C1" s="25" t="s">
        <v>11915</v>
      </c>
      <c r="D1" s="25" t="s">
        <v>11927</v>
      </c>
      <c r="E1" s="25" t="s">
        <v>11928</v>
      </c>
      <c r="F1" s="25" t="s">
        <v>11919</v>
      </c>
      <c r="G1" s="25" t="s">
        <v>11920</v>
      </c>
      <c r="H1" s="25" t="s">
        <v>11921</v>
      </c>
      <c r="I1" s="25" t="s">
        <v>11922</v>
      </c>
      <c r="J1" s="25" t="s">
        <v>11923</v>
      </c>
      <c r="K1" s="25" t="s">
        <v>11924</v>
      </c>
      <c r="L1" s="25" t="s">
        <v>11925</v>
      </c>
      <c r="M1" s="25" t="s">
        <v>11926</v>
      </c>
    </row>
    <row r="2" spans="1:13" ht="15.2" customHeight="1" x14ac:dyDescent="0.2">
      <c r="A2" s="26" t="s">
        <v>651</v>
      </c>
      <c r="B2" s="27" t="s">
        <v>652</v>
      </c>
      <c r="C2" s="28">
        <v>1</v>
      </c>
      <c r="D2" s="29">
        <v>31.83</v>
      </c>
      <c r="E2" s="29">
        <v>31.83</v>
      </c>
      <c r="F2" s="30">
        <v>72.989999999999995</v>
      </c>
      <c r="G2" s="29">
        <v>72.989999999999995</v>
      </c>
      <c r="H2" s="28" t="s">
        <v>653</v>
      </c>
      <c r="I2" s="27" t="s">
        <v>333</v>
      </c>
      <c r="J2" s="31" t="s">
        <v>71</v>
      </c>
      <c r="K2" s="27" t="s">
        <v>41</v>
      </c>
      <c r="L2" s="27" t="s">
        <v>649</v>
      </c>
      <c r="M2" s="32" t="str">
        <f>HYPERLINK("http://slimages.macys.com/is/image/MCY/3828767 ")</f>
        <v xml:space="preserve">http://slimages.macys.com/is/image/MCY/3828767 </v>
      </c>
    </row>
    <row r="3" spans="1:13" ht="15.2" customHeight="1" x14ac:dyDescent="0.2">
      <c r="A3" s="26" t="s">
        <v>6109</v>
      </c>
      <c r="B3" s="27" t="s">
        <v>6110</v>
      </c>
      <c r="C3" s="28">
        <v>1</v>
      </c>
      <c r="D3" s="29">
        <v>31.83</v>
      </c>
      <c r="E3" s="29">
        <v>31.83</v>
      </c>
      <c r="F3" s="30">
        <v>72.989999999999995</v>
      </c>
      <c r="G3" s="29">
        <v>72.989999999999995</v>
      </c>
      <c r="H3" s="28" t="s">
        <v>653</v>
      </c>
      <c r="I3" s="27" t="s">
        <v>333</v>
      </c>
      <c r="J3" s="31" t="s">
        <v>172</v>
      </c>
      <c r="K3" s="27" t="s">
        <v>41</v>
      </c>
      <c r="L3" s="27" t="s">
        <v>649</v>
      </c>
      <c r="M3" s="32" t="str">
        <f>HYPERLINK("http://slimages.macys.com/is/image/MCY/3828767 ")</f>
        <v xml:space="preserve">http://slimages.macys.com/is/image/MCY/3828767 </v>
      </c>
    </row>
    <row r="4" spans="1:13" ht="15.2" customHeight="1" x14ac:dyDescent="0.2">
      <c r="A4" s="26" t="s">
        <v>5986</v>
      </c>
      <c r="B4" s="27" t="s">
        <v>5987</v>
      </c>
      <c r="C4" s="28">
        <v>1</v>
      </c>
      <c r="D4" s="29">
        <v>27.2</v>
      </c>
      <c r="E4" s="29">
        <v>27.2</v>
      </c>
      <c r="F4" s="30">
        <v>79</v>
      </c>
      <c r="G4" s="29">
        <v>79</v>
      </c>
      <c r="H4" s="28" t="s">
        <v>5985</v>
      </c>
      <c r="I4" s="27" t="s">
        <v>22</v>
      </c>
      <c r="J4" s="31" t="s">
        <v>52</v>
      </c>
      <c r="K4" s="27" t="s">
        <v>42</v>
      </c>
      <c r="L4" s="27" t="s">
        <v>43</v>
      </c>
      <c r="M4" s="32" t="str">
        <f>HYPERLINK("http://slimages.macys.com/is/image/MCY/3611182 ")</f>
        <v xml:space="preserve">http://slimages.macys.com/is/image/MCY/3611182 </v>
      </c>
    </row>
    <row r="5" spans="1:13" ht="15.2" customHeight="1" x14ac:dyDescent="0.2">
      <c r="A5" s="26" t="s">
        <v>4435</v>
      </c>
      <c r="B5" s="27" t="s">
        <v>4436</v>
      </c>
      <c r="C5" s="28">
        <v>1</v>
      </c>
      <c r="D5" s="29">
        <v>24.97</v>
      </c>
      <c r="E5" s="29">
        <v>24.97</v>
      </c>
      <c r="F5" s="30">
        <v>69.5</v>
      </c>
      <c r="G5" s="29">
        <v>69.5</v>
      </c>
      <c r="H5" s="28" t="s">
        <v>1093</v>
      </c>
      <c r="I5" s="27" t="s">
        <v>22</v>
      </c>
      <c r="J5" s="31" t="s">
        <v>65</v>
      </c>
      <c r="K5" s="27" t="s">
        <v>41</v>
      </c>
      <c r="L5" s="27" t="s">
        <v>45</v>
      </c>
      <c r="M5" s="32" t="str">
        <f>HYPERLINK("http://slimages.macys.com/is/image/MCY/2962546 ")</f>
        <v xml:space="preserve">http://slimages.macys.com/is/image/MCY/2962546 </v>
      </c>
    </row>
    <row r="6" spans="1:13" ht="15.2" customHeight="1" x14ac:dyDescent="0.2">
      <c r="A6" s="26" t="s">
        <v>1729</v>
      </c>
      <c r="B6" s="27" t="s">
        <v>1730</v>
      </c>
      <c r="C6" s="28">
        <v>1</v>
      </c>
      <c r="D6" s="29">
        <v>24.97</v>
      </c>
      <c r="E6" s="29">
        <v>24.97</v>
      </c>
      <c r="F6" s="30">
        <v>69.5</v>
      </c>
      <c r="G6" s="29">
        <v>69.5</v>
      </c>
      <c r="H6" s="28" t="s">
        <v>1093</v>
      </c>
      <c r="I6" s="27" t="s">
        <v>22</v>
      </c>
      <c r="J6" s="31" t="s">
        <v>40</v>
      </c>
      <c r="K6" s="27" t="s">
        <v>41</v>
      </c>
      <c r="L6" s="27" t="s">
        <v>45</v>
      </c>
      <c r="M6" s="32" t="str">
        <f>HYPERLINK("http://slimages.macys.com/is/image/MCY/2962546 ")</f>
        <v xml:space="preserve">http://slimages.macys.com/is/image/MCY/2962546 </v>
      </c>
    </row>
    <row r="7" spans="1:13" ht="15.2" customHeight="1" x14ac:dyDescent="0.2">
      <c r="A7" s="26" t="s">
        <v>1094</v>
      </c>
      <c r="B7" s="27" t="s">
        <v>1095</v>
      </c>
      <c r="C7" s="28">
        <v>1</v>
      </c>
      <c r="D7" s="29">
        <v>24.97</v>
      </c>
      <c r="E7" s="29">
        <v>24.97</v>
      </c>
      <c r="F7" s="30">
        <v>69.5</v>
      </c>
      <c r="G7" s="29">
        <v>69.5</v>
      </c>
      <c r="H7" s="28" t="s">
        <v>1093</v>
      </c>
      <c r="I7" s="27" t="s">
        <v>22</v>
      </c>
      <c r="J7" s="31" t="s">
        <v>5</v>
      </c>
      <c r="K7" s="27" t="s">
        <v>41</v>
      </c>
      <c r="L7" s="27" t="s">
        <v>45</v>
      </c>
      <c r="M7" s="32" t="str">
        <f>HYPERLINK("http://slimages.macys.com/is/image/MCY/2962546 ")</f>
        <v xml:space="preserve">http://slimages.macys.com/is/image/MCY/2962546 </v>
      </c>
    </row>
    <row r="8" spans="1:13" ht="15.2" customHeight="1" x14ac:dyDescent="0.2">
      <c r="A8" s="26" t="s">
        <v>2077</v>
      </c>
      <c r="B8" s="27" t="s">
        <v>2078</v>
      </c>
      <c r="C8" s="28">
        <v>1</v>
      </c>
      <c r="D8" s="29">
        <v>24.97</v>
      </c>
      <c r="E8" s="29">
        <v>24.97</v>
      </c>
      <c r="F8" s="30">
        <v>69.5</v>
      </c>
      <c r="G8" s="29">
        <v>69.5</v>
      </c>
      <c r="H8" s="28" t="s">
        <v>1093</v>
      </c>
      <c r="I8" s="27" t="s">
        <v>22</v>
      </c>
      <c r="J8" s="31" t="s">
        <v>21</v>
      </c>
      <c r="K8" s="27" t="s">
        <v>41</v>
      </c>
      <c r="L8" s="27" t="s">
        <v>45</v>
      </c>
      <c r="M8" s="32" t="str">
        <f>HYPERLINK("http://slimages.macys.com/is/image/MCY/2962546 ")</f>
        <v xml:space="preserve">http://slimages.macys.com/is/image/MCY/2962546 </v>
      </c>
    </row>
    <row r="9" spans="1:13" ht="15.2" customHeight="1" x14ac:dyDescent="0.2">
      <c r="A9" s="26" t="s">
        <v>1096</v>
      </c>
      <c r="B9" s="27" t="s">
        <v>1097</v>
      </c>
      <c r="C9" s="28">
        <v>1</v>
      </c>
      <c r="D9" s="29">
        <v>24.45</v>
      </c>
      <c r="E9" s="29">
        <v>24.45</v>
      </c>
      <c r="F9" s="30">
        <v>79</v>
      </c>
      <c r="G9" s="29">
        <v>79</v>
      </c>
      <c r="H9" s="28" t="s">
        <v>1098</v>
      </c>
      <c r="I9" s="27" t="s">
        <v>20</v>
      </c>
      <c r="J9" s="31" t="s">
        <v>5</v>
      </c>
      <c r="K9" s="27" t="s">
        <v>42</v>
      </c>
      <c r="L9" s="27" t="s">
        <v>43</v>
      </c>
      <c r="M9" s="32" t="str">
        <f>HYPERLINK("http://slimages.macys.com/is/image/MCY/3503050 ")</f>
        <v xml:space="preserve">http://slimages.macys.com/is/image/MCY/3503050 </v>
      </c>
    </row>
    <row r="10" spans="1:13" ht="15.2" customHeight="1" x14ac:dyDescent="0.2">
      <c r="A10" s="26" t="s">
        <v>6111</v>
      </c>
      <c r="B10" s="27" t="s">
        <v>6112</v>
      </c>
      <c r="C10" s="28">
        <v>1</v>
      </c>
      <c r="D10" s="29">
        <v>24.25</v>
      </c>
      <c r="E10" s="29">
        <v>24.25</v>
      </c>
      <c r="F10" s="30">
        <v>69</v>
      </c>
      <c r="G10" s="29">
        <v>69</v>
      </c>
      <c r="H10" s="28" t="s">
        <v>6113</v>
      </c>
      <c r="I10" s="27" t="s">
        <v>82</v>
      </c>
      <c r="J10" s="31" t="s">
        <v>5</v>
      </c>
      <c r="K10" s="27" t="s">
        <v>37</v>
      </c>
      <c r="L10" s="27" t="s">
        <v>38</v>
      </c>
      <c r="M10" s="32" t="str">
        <f>HYPERLINK("http://slimages.macys.com/is/image/MCY/3503927 ")</f>
        <v xml:space="preserve">http://slimages.macys.com/is/image/MCY/3503927 </v>
      </c>
    </row>
    <row r="11" spans="1:13" ht="15.2" customHeight="1" x14ac:dyDescent="0.2">
      <c r="A11" s="26" t="s">
        <v>6114</v>
      </c>
      <c r="B11" s="27" t="s">
        <v>6115</v>
      </c>
      <c r="C11" s="28">
        <v>1</v>
      </c>
      <c r="D11" s="29">
        <v>24</v>
      </c>
      <c r="E11" s="29">
        <v>24</v>
      </c>
      <c r="F11" s="30">
        <v>69</v>
      </c>
      <c r="G11" s="29">
        <v>69</v>
      </c>
      <c r="H11" s="28" t="s">
        <v>2080</v>
      </c>
      <c r="I11" s="27" t="s">
        <v>377</v>
      </c>
      <c r="J11" s="31" t="s">
        <v>40</v>
      </c>
      <c r="K11" s="27" t="s">
        <v>37</v>
      </c>
      <c r="L11" s="27" t="s">
        <v>38</v>
      </c>
      <c r="M11" s="32" t="str">
        <f>HYPERLINK("http://slimages.macys.com/is/image/MCY/3827012 ")</f>
        <v xml:space="preserve">http://slimages.macys.com/is/image/MCY/3827012 </v>
      </c>
    </row>
    <row r="12" spans="1:13" ht="15.2" customHeight="1" x14ac:dyDescent="0.2">
      <c r="A12" s="26" t="s">
        <v>3698</v>
      </c>
      <c r="B12" s="27" t="s">
        <v>3699</v>
      </c>
      <c r="C12" s="28">
        <v>1</v>
      </c>
      <c r="D12" s="29">
        <v>22</v>
      </c>
      <c r="E12" s="29">
        <v>22</v>
      </c>
      <c r="F12" s="30">
        <v>69</v>
      </c>
      <c r="G12" s="29">
        <v>69</v>
      </c>
      <c r="H12" s="28" t="s">
        <v>2817</v>
      </c>
      <c r="I12" s="27" t="s">
        <v>1280</v>
      </c>
      <c r="J12" s="31" t="s">
        <v>113</v>
      </c>
      <c r="K12" s="27" t="s">
        <v>24</v>
      </c>
      <c r="L12" s="27" t="s">
        <v>25</v>
      </c>
      <c r="M12" s="32" t="str">
        <f>HYPERLINK("http://slimages.macys.com/is/image/MCY/3937114 ")</f>
        <v xml:space="preserve">http://slimages.macys.com/is/image/MCY/3937114 </v>
      </c>
    </row>
    <row r="13" spans="1:13" ht="15.2" customHeight="1" x14ac:dyDescent="0.2">
      <c r="A13" s="26" t="s">
        <v>6116</v>
      </c>
      <c r="B13" s="27" t="s">
        <v>6117</v>
      </c>
      <c r="C13" s="28">
        <v>1</v>
      </c>
      <c r="D13" s="29">
        <v>21.75</v>
      </c>
      <c r="E13" s="29">
        <v>21.75</v>
      </c>
      <c r="F13" s="30">
        <v>69</v>
      </c>
      <c r="G13" s="29">
        <v>69</v>
      </c>
      <c r="H13" s="28" t="s">
        <v>6118</v>
      </c>
      <c r="I13" s="27" t="s">
        <v>82</v>
      </c>
      <c r="J13" s="31" t="s">
        <v>52</v>
      </c>
      <c r="K13" s="27" t="s">
        <v>42</v>
      </c>
      <c r="L13" s="27" t="s">
        <v>43</v>
      </c>
      <c r="M13" s="32" t="str">
        <f>HYPERLINK("http://slimages.macys.com/is/image/MCY/3452080 ")</f>
        <v xml:space="preserve">http://slimages.macys.com/is/image/MCY/3452080 </v>
      </c>
    </row>
    <row r="14" spans="1:13" ht="15.2" customHeight="1" x14ac:dyDescent="0.2">
      <c r="A14" s="26" t="s">
        <v>6119</v>
      </c>
      <c r="B14" s="27" t="s">
        <v>6120</v>
      </c>
      <c r="C14" s="28">
        <v>1</v>
      </c>
      <c r="D14" s="29">
        <v>21.66</v>
      </c>
      <c r="E14" s="29">
        <v>21.66</v>
      </c>
      <c r="F14" s="30">
        <v>59.5</v>
      </c>
      <c r="G14" s="29">
        <v>59.5</v>
      </c>
      <c r="H14" s="28" t="s">
        <v>6121</v>
      </c>
      <c r="I14" s="27" t="s">
        <v>4</v>
      </c>
      <c r="J14" s="31" t="s">
        <v>52</v>
      </c>
      <c r="K14" s="27" t="s">
        <v>41</v>
      </c>
      <c r="L14" s="27" t="s">
        <v>45</v>
      </c>
      <c r="M14" s="32" t="str">
        <f>HYPERLINK("http://slimages.macys.com/is/image/MCY/3681954 ")</f>
        <v xml:space="preserve">http://slimages.macys.com/is/image/MCY/3681954 </v>
      </c>
    </row>
    <row r="15" spans="1:13" ht="15.2" customHeight="1" x14ac:dyDescent="0.2">
      <c r="A15" s="26" t="s">
        <v>3128</v>
      </c>
      <c r="B15" s="27" t="s">
        <v>3129</v>
      </c>
      <c r="C15" s="28">
        <v>1</v>
      </c>
      <c r="D15" s="29">
        <v>21.55</v>
      </c>
      <c r="E15" s="29">
        <v>21.55</v>
      </c>
      <c r="F15" s="30">
        <v>52.5</v>
      </c>
      <c r="G15" s="29">
        <v>52.5</v>
      </c>
      <c r="H15" s="28" t="s">
        <v>1735</v>
      </c>
      <c r="I15" s="27" t="s">
        <v>10</v>
      </c>
      <c r="J15" s="31" t="s">
        <v>214</v>
      </c>
      <c r="K15" s="27" t="s">
        <v>41</v>
      </c>
      <c r="L15" s="27" t="s">
        <v>45</v>
      </c>
      <c r="M15" s="32" t="str">
        <f>HYPERLINK("http://slimages.macys.com/is/image/MCY/3626088 ")</f>
        <v xml:space="preserve">http://slimages.macys.com/is/image/MCY/3626088 </v>
      </c>
    </row>
    <row r="16" spans="1:13" ht="15.2" customHeight="1" x14ac:dyDescent="0.2">
      <c r="A16" s="26" t="s">
        <v>6122</v>
      </c>
      <c r="B16" s="27" t="s">
        <v>6123</v>
      </c>
      <c r="C16" s="28">
        <v>1</v>
      </c>
      <c r="D16" s="29">
        <v>21.48</v>
      </c>
      <c r="E16" s="29">
        <v>21.48</v>
      </c>
      <c r="F16" s="30">
        <v>59.99</v>
      </c>
      <c r="G16" s="29">
        <v>59.99</v>
      </c>
      <c r="H16" s="28" t="s">
        <v>6124</v>
      </c>
      <c r="I16" s="27" t="s">
        <v>64</v>
      </c>
      <c r="J16" s="31" t="s">
        <v>5</v>
      </c>
      <c r="K16" s="27" t="s">
        <v>41</v>
      </c>
      <c r="L16" s="27" t="s">
        <v>83</v>
      </c>
      <c r="M16" s="32" t="str">
        <f>HYPERLINK("http://slimages.macys.com/is/image/MCY/2915075 ")</f>
        <v xml:space="preserve">http://slimages.macys.com/is/image/MCY/2915075 </v>
      </c>
    </row>
    <row r="17" spans="1:13" ht="15.2" customHeight="1" x14ac:dyDescent="0.2">
      <c r="A17" s="26" t="s">
        <v>6125</v>
      </c>
      <c r="B17" s="27" t="s">
        <v>6126</v>
      </c>
      <c r="C17" s="28">
        <v>1</v>
      </c>
      <c r="D17" s="29">
        <v>21.24</v>
      </c>
      <c r="E17" s="29">
        <v>21.24</v>
      </c>
      <c r="F17" s="30">
        <v>59.5</v>
      </c>
      <c r="G17" s="29">
        <v>59.5</v>
      </c>
      <c r="H17" s="28" t="s">
        <v>2555</v>
      </c>
      <c r="I17" s="27"/>
      <c r="J17" s="31" t="s">
        <v>5</v>
      </c>
      <c r="K17" s="27" t="s">
        <v>53</v>
      </c>
      <c r="L17" s="27" t="s">
        <v>54</v>
      </c>
      <c r="M17" s="32" t="str">
        <f>HYPERLINK("http://slimages.macys.com/is/image/MCY/3913152 ")</f>
        <v xml:space="preserve">http://slimages.macys.com/is/image/MCY/3913152 </v>
      </c>
    </row>
    <row r="18" spans="1:13" ht="15.2" customHeight="1" x14ac:dyDescent="0.2">
      <c r="A18" s="26" t="s">
        <v>6127</v>
      </c>
      <c r="B18" s="27" t="s">
        <v>6128</v>
      </c>
      <c r="C18" s="28">
        <v>1</v>
      </c>
      <c r="D18" s="29">
        <v>21.14</v>
      </c>
      <c r="E18" s="29">
        <v>21.14</v>
      </c>
      <c r="F18" s="30">
        <v>59.5</v>
      </c>
      <c r="G18" s="29">
        <v>59.5</v>
      </c>
      <c r="H18" s="28" t="s">
        <v>48</v>
      </c>
      <c r="I18" s="27" t="s">
        <v>49</v>
      </c>
      <c r="J18" s="31" t="s">
        <v>32</v>
      </c>
      <c r="K18" s="27" t="s">
        <v>12</v>
      </c>
      <c r="L18" s="27" t="s">
        <v>13</v>
      </c>
      <c r="M18" s="32" t="str">
        <f>HYPERLINK("http://slimages.macys.com/is/image/MCY/3922311 ")</f>
        <v xml:space="preserve">http://slimages.macys.com/is/image/MCY/3922311 </v>
      </c>
    </row>
    <row r="19" spans="1:13" ht="15.2" customHeight="1" x14ac:dyDescent="0.2">
      <c r="A19" s="26" t="s">
        <v>2083</v>
      </c>
      <c r="B19" s="27" t="s">
        <v>2084</v>
      </c>
      <c r="C19" s="28">
        <v>1</v>
      </c>
      <c r="D19" s="29">
        <v>20.85</v>
      </c>
      <c r="E19" s="29">
        <v>20.85</v>
      </c>
      <c r="F19" s="30">
        <v>69.5</v>
      </c>
      <c r="G19" s="29">
        <v>69.5</v>
      </c>
      <c r="H19" s="28">
        <v>49022899</v>
      </c>
      <c r="I19" s="27"/>
      <c r="J19" s="31" t="s">
        <v>52</v>
      </c>
      <c r="K19" s="27" t="s">
        <v>6</v>
      </c>
      <c r="L19" s="27" t="s">
        <v>7</v>
      </c>
      <c r="M19" s="32" t="str">
        <f>HYPERLINK("http://slimages.macys.com/is/image/MCY/3939789 ")</f>
        <v xml:space="preserve">http://slimages.macys.com/is/image/MCY/3939789 </v>
      </c>
    </row>
    <row r="20" spans="1:13" ht="15.2" customHeight="1" x14ac:dyDescent="0.2">
      <c r="A20" s="26" t="s">
        <v>2818</v>
      </c>
      <c r="B20" s="27" t="s">
        <v>2819</v>
      </c>
      <c r="C20" s="28">
        <v>1</v>
      </c>
      <c r="D20" s="29">
        <v>20.65</v>
      </c>
      <c r="E20" s="29">
        <v>20.65</v>
      </c>
      <c r="F20" s="30">
        <v>59</v>
      </c>
      <c r="G20" s="29">
        <v>59</v>
      </c>
      <c r="H20" s="28" t="s">
        <v>2820</v>
      </c>
      <c r="I20" s="27" t="s">
        <v>82</v>
      </c>
      <c r="J20" s="31" t="s">
        <v>172</v>
      </c>
      <c r="K20" s="27" t="s">
        <v>37</v>
      </c>
      <c r="L20" s="27" t="s">
        <v>38</v>
      </c>
      <c r="M20" s="32" t="str">
        <f>HYPERLINK("http://slimages.macys.com/is/image/MCY/3820587 ")</f>
        <v xml:space="preserve">http://slimages.macys.com/is/image/MCY/3820587 </v>
      </c>
    </row>
    <row r="21" spans="1:13" ht="15.2" customHeight="1" x14ac:dyDescent="0.2">
      <c r="A21" s="26" t="s">
        <v>6129</v>
      </c>
      <c r="B21" s="27" t="s">
        <v>6130</v>
      </c>
      <c r="C21" s="28">
        <v>1</v>
      </c>
      <c r="D21" s="29">
        <v>20.53</v>
      </c>
      <c r="E21" s="29">
        <v>20.53</v>
      </c>
      <c r="F21" s="30">
        <v>59.5</v>
      </c>
      <c r="G21" s="29">
        <v>59.5</v>
      </c>
      <c r="H21" s="28" t="s">
        <v>6084</v>
      </c>
      <c r="I21" s="27" t="s">
        <v>207</v>
      </c>
      <c r="J21" s="31" t="s">
        <v>5</v>
      </c>
      <c r="K21" s="27" t="s">
        <v>53</v>
      </c>
      <c r="L21" s="27" t="s">
        <v>54</v>
      </c>
      <c r="M21" s="32" t="str">
        <f>HYPERLINK("http://slimages.macys.com/is/image/MCY/3913120 ")</f>
        <v xml:space="preserve">http://slimages.macys.com/is/image/MCY/3913120 </v>
      </c>
    </row>
    <row r="22" spans="1:13" ht="15.2" customHeight="1" x14ac:dyDescent="0.2">
      <c r="A22" s="26" t="s">
        <v>6131</v>
      </c>
      <c r="B22" s="27" t="s">
        <v>6132</v>
      </c>
      <c r="C22" s="28">
        <v>1</v>
      </c>
      <c r="D22" s="29">
        <v>19.5</v>
      </c>
      <c r="E22" s="29">
        <v>19.5</v>
      </c>
      <c r="F22" s="30">
        <v>39.979999999999997</v>
      </c>
      <c r="G22" s="29">
        <v>39.979999999999997</v>
      </c>
      <c r="H22" s="28" t="s">
        <v>4601</v>
      </c>
      <c r="I22" s="27" t="s">
        <v>82</v>
      </c>
      <c r="J22" s="31"/>
      <c r="K22" s="27" t="s">
        <v>37</v>
      </c>
      <c r="L22" s="27" t="s">
        <v>38</v>
      </c>
      <c r="M22" s="32" t="str">
        <f>HYPERLINK("http://slimages.macys.com/is/image/MCY/2058387 ")</f>
        <v xml:space="preserve">http://slimages.macys.com/is/image/MCY/2058387 </v>
      </c>
    </row>
    <row r="23" spans="1:13" ht="15.2" customHeight="1" x14ac:dyDescent="0.2">
      <c r="A23" s="26" t="s">
        <v>4599</v>
      </c>
      <c r="B23" s="27" t="s">
        <v>4600</v>
      </c>
      <c r="C23" s="28">
        <v>1</v>
      </c>
      <c r="D23" s="29">
        <v>19.5</v>
      </c>
      <c r="E23" s="29">
        <v>19.5</v>
      </c>
      <c r="F23" s="30">
        <v>59</v>
      </c>
      <c r="G23" s="29">
        <v>59</v>
      </c>
      <c r="H23" s="28" t="s">
        <v>3143</v>
      </c>
      <c r="I23" s="27" t="s">
        <v>4</v>
      </c>
      <c r="J23" s="31" t="s">
        <v>205</v>
      </c>
      <c r="K23" s="27" t="s">
        <v>24</v>
      </c>
      <c r="L23" s="27" t="s">
        <v>650</v>
      </c>
      <c r="M23" s="32" t="str">
        <f>HYPERLINK("http://slimages.macys.com/is/image/MCY/3459665 ")</f>
        <v xml:space="preserve">http://slimages.macys.com/is/image/MCY/3459665 </v>
      </c>
    </row>
    <row r="24" spans="1:13" ht="15.2" customHeight="1" x14ac:dyDescent="0.2">
      <c r="A24" s="26" t="s">
        <v>4750</v>
      </c>
      <c r="B24" s="27" t="s">
        <v>4751</v>
      </c>
      <c r="C24" s="28">
        <v>1</v>
      </c>
      <c r="D24" s="29">
        <v>18.91</v>
      </c>
      <c r="E24" s="29">
        <v>18.91</v>
      </c>
      <c r="F24" s="30">
        <v>59.5</v>
      </c>
      <c r="G24" s="29">
        <v>59.5</v>
      </c>
      <c r="H24" s="28" t="s">
        <v>4752</v>
      </c>
      <c r="I24" s="27" t="s">
        <v>26</v>
      </c>
      <c r="J24" s="31" t="s">
        <v>40</v>
      </c>
      <c r="K24" s="27" t="s">
        <v>53</v>
      </c>
      <c r="L24" s="27" t="s">
        <v>54</v>
      </c>
      <c r="M24" s="32" t="str">
        <f>HYPERLINK("http://slimages.macys.com/is/image/MCY/3010471 ")</f>
        <v xml:space="preserve">http://slimages.macys.com/is/image/MCY/3010471 </v>
      </c>
    </row>
    <row r="25" spans="1:13" ht="15.2" customHeight="1" x14ac:dyDescent="0.2">
      <c r="A25" s="26" t="s">
        <v>691</v>
      </c>
      <c r="B25" s="27" t="s">
        <v>692</v>
      </c>
      <c r="C25" s="28">
        <v>1</v>
      </c>
      <c r="D25" s="29">
        <v>18.75</v>
      </c>
      <c r="E25" s="29">
        <v>18.75</v>
      </c>
      <c r="F25" s="30">
        <v>59</v>
      </c>
      <c r="G25" s="29">
        <v>59</v>
      </c>
      <c r="H25" s="28" t="s">
        <v>693</v>
      </c>
      <c r="I25" s="27" t="s">
        <v>10</v>
      </c>
      <c r="J25" s="31" t="s">
        <v>40</v>
      </c>
      <c r="K25" s="27" t="s">
        <v>37</v>
      </c>
      <c r="L25" s="27" t="s">
        <v>38</v>
      </c>
      <c r="M25" s="32" t="str">
        <f>HYPERLINK("http://slimages.macys.com/is/image/MCY/3563213 ")</f>
        <v xml:space="preserve">http://slimages.macys.com/is/image/MCY/3563213 </v>
      </c>
    </row>
    <row r="26" spans="1:13" ht="15.2" customHeight="1" x14ac:dyDescent="0.2">
      <c r="A26" s="26" t="s">
        <v>6133</v>
      </c>
      <c r="B26" s="27" t="s">
        <v>6134</v>
      </c>
      <c r="C26" s="28">
        <v>1</v>
      </c>
      <c r="D26" s="29">
        <v>18.75</v>
      </c>
      <c r="E26" s="29">
        <v>18.75</v>
      </c>
      <c r="F26" s="30">
        <v>59</v>
      </c>
      <c r="G26" s="29">
        <v>59</v>
      </c>
      <c r="H26" s="28" t="s">
        <v>1127</v>
      </c>
      <c r="I26" s="27" t="s">
        <v>82</v>
      </c>
      <c r="J26" s="31"/>
      <c r="K26" s="27" t="s">
        <v>37</v>
      </c>
      <c r="L26" s="27" t="s">
        <v>38</v>
      </c>
      <c r="M26" s="32" t="str">
        <f>HYPERLINK("http://slimages.macys.com/is/image/MCY/3626354 ")</f>
        <v xml:space="preserve">http://slimages.macys.com/is/image/MCY/3626354 </v>
      </c>
    </row>
    <row r="27" spans="1:13" ht="15.2" customHeight="1" x14ac:dyDescent="0.2">
      <c r="A27" s="26" t="s">
        <v>6135</v>
      </c>
      <c r="B27" s="27" t="s">
        <v>6136</v>
      </c>
      <c r="C27" s="28">
        <v>1</v>
      </c>
      <c r="D27" s="29">
        <v>18.5</v>
      </c>
      <c r="E27" s="29">
        <v>18.5</v>
      </c>
      <c r="F27" s="30">
        <v>41.99</v>
      </c>
      <c r="G27" s="29">
        <v>41.99</v>
      </c>
      <c r="H27" s="28" t="s">
        <v>2091</v>
      </c>
      <c r="I27" s="27" t="s">
        <v>59</v>
      </c>
      <c r="J27" s="31" t="s">
        <v>23</v>
      </c>
      <c r="K27" s="27" t="s">
        <v>70</v>
      </c>
      <c r="L27" s="27" t="s">
        <v>25</v>
      </c>
      <c r="M27" s="32" t="str">
        <f>HYPERLINK("http://slimages.macys.com/is/image/MCY/3121393 ")</f>
        <v xml:space="preserve">http://slimages.macys.com/is/image/MCY/3121393 </v>
      </c>
    </row>
    <row r="28" spans="1:13" ht="15.2" customHeight="1" x14ac:dyDescent="0.2">
      <c r="A28" s="26" t="s">
        <v>1139</v>
      </c>
      <c r="B28" s="27" t="s">
        <v>1140</v>
      </c>
      <c r="C28" s="28">
        <v>2</v>
      </c>
      <c r="D28" s="29">
        <v>18.23</v>
      </c>
      <c r="E28" s="29">
        <v>36.46</v>
      </c>
      <c r="F28" s="30">
        <v>49.99</v>
      </c>
      <c r="G28" s="29">
        <v>99.98</v>
      </c>
      <c r="H28" s="28" t="s">
        <v>79</v>
      </c>
      <c r="I28" s="27" t="s">
        <v>20</v>
      </c>
      <c r="J28" s="31" t="s">
        <v>5</v>
      </c>
      <c r="K28" s="27" t="s">
        <v>41</v>
      </c>
      <c r="L28" s="27" t="s">
        <v>80</v>
      </c>
      <c r="M28" s="32" t="str">
        <f>HYPERLINK("http://slimages.macys.com/is/image/MCY/3954963 ")</f>
        <v xml:space="preserve">http://slimages.macys.com/is/image/MCY/3954963 </v>
      </c>
    </row>
    <row r="29" spans="1:13" ht="15.2" customHeight="1" x14ac:dyDescent="0.2">
      <c r="A29" s="26" t="s">
        <v>2574</v>
      </c>
      <c r="B29" s="27" t="s">
        <v>2575</v>
      </c>
      <c r="C29" s="28">
        <v>1</v>
      </c>
      <c r="D29" s="29">
        <v>18.23</v>
      </c>
      <c r="E29" s="29">
        <v>18.23</v>
      </c>
      <c r="F29" s="30">
        <v>49.99</v>
      </c>
      <c r="G29" s="29">
        <v>49.99</v>
      </c>
      <c r="H29" s="28" t="s">
        <v>79</v>
      </c>
      <c r="I29" s="27" t="s">
        <v>20</v>
      </c>
      <c r="J29" s="31" t="s">
        <v>65</v>
      </c>
      <c r="K29" s="27" t="s">
        <v>41</v>
      </c>
      <c r="L29" s="27" t="s">
        <v>80</v>
      </c>
      <c r="M29" s="32" t="str">
        <f>HYPERLINK("http://slimages.macys.com/is/image/MCY/3954963 ")</f>
        <v xml:space="preserve">http://slimages.macys.com/is/image/MCY/3954963 </v>
      </c>
    </row>
    <row r="30" spans="1:13" ht="15.2" customHeight="1" x14ac:dyDescent="0.2">
      <c r="A30" s="26" t="s">
        <v>1137</v>
      </c>
      <c r="B30" s="27" t="s">
        <v>1138</v>
      </c>
      <c r="C30" s="28">
        <v>1</v>
      </c>
      <c r="D30" s="29">
        <v>18.23</v>
      </c>
      <c r="E30" s="29">
        <v>18.23</v>
      </c>
      <c r="F30" s="30">
        <v>49.99</v>
      </c>
      <c r="G30" s="29">
        <v>49.99</v>
      </c>
      <c r="H30" s="28" t="s">
        <v>79</v>
      </c>
      <c r="I30" s="27" t="s">
        <v>20</v>
      </c>
      <c r="J30" s="31" t="s">
        <v>40</v>
      </c>
      <c r="K30" s="27" t="s">
        <v>41</v>
      </c>
      <c r="L30" s="27" t="s">
        <v>80</v>
      </c>
      <c r="M30" s="32" t="str">
        <f>HYPERLINK("http://slimages.macys.com/is/image/MCY/3954963 ")</f>
        <v xml:space="preserve">http://slimages.macys.com/is/image/MCY/3954963 </v>
      </c>
    </row>
    <row r="31" spans="1:13" ht="15.2" customHeight="1" x14ac:dyDescent="0.2">
      <c r="A31" s="26" t="s">
        <v>6137</v>
      </c>
      <c r="B31" s="27" t="s">
        <v>6138</v>
      </c>
      <c r="C31" s="28">
        <v>1</v>
      </c>
      <c r="D31" s="29">
        <v>18.07</v>
      </c>
      <c r="E31" s="29">
        <v>18.07</v>
      </c>
      <c r="F31" s="30">
        <v>49.5</v>
      </c>
      <c r="G31" s="29">
        <v>49.5</v>
      </c>
      <c r="H31" s="28" t="s">
        <v>92</v>
      </c>
      <c r="I31" s="27" t="s">
        <v>82</v>
      </c>
      <c r="J31" s="31" t="s">
        <v>52</v>
      </c>
      <c r="K31" s="27" t="s">
        <v>41</v>
      </c>
      <c r="L31" s="27" t="s">
        <v>45</v>
      </c>
      <c r="M31" s="32" t="str">
        <f>HYPERLINK("http://slimages.macys.com/is/image/MCY/3802096 ")</f>
        <v xml:space="preserve">http://slimages.macys.com/is/image/MCY/3802096 </v>
      </c>
    </row>
    <row r="32" spans="1:13" ht="15.2" customHeight="1" x14ac:dyDescent="0.2">
      <c r="A32" s="26" t="s">
        <v>2095</v>
      </c>
      <c r="B32" s="27" t="s">
        <v>2096</v>
      </c>
      <c r="C32" s="28">
        <v>1</v>
      </c>
      <c r="D32" s="29">
        <v>18.07</v>
      </c>
      <c r="E32" s="29">
        <v>18.07</v>
      </c>
      <c r="F32" s="30">
        <v>49.5</v>
      </c>
      <c r="G32" s="29">
        <v>49.5</v>
      </c>
      <c r="H32" s="28" t="s">
        <v>2097</v>
      </c>
      <c r="I32" s="27" t="s">
        <v>49</v>
      </c>
      <c r="J32" s="31" t="s">
        <v>52</v>
      </c>
      <c r="K32" s="27" t="s">
        <v>41</v>
      </c>
      <c r="L32" s="27" t="s">
        <v>90</v>
      </c>
      <c r="M32" s="32" t="str">
        <f>HYPERLINK("http://slimages.macys.com/is/image/MCY/3802084 ")</f>
        <v xml:space="preserve">http://slimages.macys.com/is/image/MCY/3802084 </v>
      </c>
    </row>
    <row r="33" spans="1:13" ht="15.2" customHeight="1" x14ac:dyDescent="0.2">
      <c r="A33" s="26" t="s">
        <v>1146</v>
      </c>
      <c r="B33" s="27" t="s">
        <v>1147</v>
      </c>
      <c r="C33" s="28">
        <v>2</v>
      </c>
      <c r="D33" s="29">
        <v>18.059999999999999</v>
      </c>
      <c r="E33" s="29">
        <v>36.119999999999997</v>
      </c>
      <c r="F33" s="30">
        <v>49.5</v>
      </c>
      <c r="G33" s="29">
        <v>99</v>
      </c>
      <c r="H33" s="28" t="s">
        <v>93</v>
      </c>
      <c r="I33" s="27" t="s">
        <v>94</v>
      </c>
      <c r="J33" s="31" t="s">
        <v>71</v>
      </c>
      <c r="K33" s="27" t="s">
        <v>41</v>
      </c>
      <c r="L33" s="27" t="s">
        <v>45</v>
      </c>
      <c r="M33" s="32" t="str">
        <f>HYPERLINK("http://slimages.macys.com/is/image/MCY/3954975 ")</f>
        <v xml:space="preserve">http://slimages.macys.com/is/image/MCY/3954975 </v>
      </c>
    </row>
    <row r="34" spans="1:13" ht="15.2" customHeight="1" x14ac:dyDescent="0.2">
      <c r="A34" s="26" t="s">
        <v>4338</v>
      </c>
      <c r="B34" s="27" t="s">
        <v>4339</v>
      </c>
      <c r="C34" s="28">
        <v>1</v>
      </c>
      <c r="D34" s="29">
        <v>18.059999999999999</v>
      </c>
      <c r="E34" s="29">
        <v>18.059999999999999</v>
      </c>
      <c r="F34" s="30">
        <v>49.5</v>
      </c>
      <c r="G34" s="29">
        <v>49.5</v>
      </c>
      <c r="H34" s="28" t="s">
        <v>93</v>
      </c>
      <c r="I34" s="27" t="s">
        <v>94</v>
      </c>
      <c r="J34" s="31" t="s">
        <v>65</v>
      </c>
      <c r="K34" s="27" t="s">
        <v>41</v>
      </c>
      <c r="L34" s="27" t="s">
        <v>45</v>
      </c>
      <c r="M34" s="32" t="str">
        <f>HYPERLINK("http://slimages.macys.com/is/image/MCY/3954975 ")</f>
        <v xml:space="preserve">http://slimages.macys.com/is/image/MCY/3954975 </v>
      </c>
    </row>
    <row r="35" spans="1:13" ht="15.2" customHeight="1" x14ac:dyDescent="0.2">
      <c r="A35" s="26" t="s">
        <v>6139</v>
      </c>
      <c r="B35" s="27" t="s">
        <v>6140</v>
      </c>
      <c r="C35" s="28">
        <v>1</v>
      </c>
      <c r="D35" s="29">
        <v>18</v>
      </c>
      <c r="E35" s="29">
        <v>18</v>
      </c>
      <c r="F35" s="30">
        <v>59</v>
      </c>
      <c r="G35" s="29">
        <v>59</v>
      </c>
      <c r="H35" s="28" t="s">
        <v>100</v>
      </c>
      <c r="I35" s="27" t="s">
        <v>4</v>
      </c>
      <c r="J35" s="31" t="s">
        <v>5</v>
      </c>
      <c r="K35" s="27" t="s">
        <v>24</v>
      </c>
      <c r="L35" s="27" t="s">
        <v>101</v>
      </c>
      <c r="M35" s="32" t="str">
        <f>HYPERLINK("http://slimages.macys.com/is/image/MCY/3912998 ")</f>
        <v xml:space="preserve">http://slimages.macys.com/is/image/MCY/3912998 </v>
      </c>
    </row>
    <row r="36" spans="1:13" ht="15.2" customHeight="1" x14ac:dyDescent="0.2">
      <c r="A36" s="26" t="s">
        <v>6141</v>
      </c>
      <c r="B36" s="27" t="s">
        <v>6142</v>
      </c>
      <c r="C36" s="28">
        <v>1</v>
      </c>
      <c r="D36" s="29">
        <v>17.850000000000001</v>
      </c>
      <c r="E36" s="29">
        <v>17.850000000000001</v>
      </c>
      <c r="F36" s="30">
        <v>59.5</v>
      </c>
      <c r="G36" s="29">
        <v>59.5</v>
      </c>
      <c r="H36" s="28">
        <v>49022900</v>
      </c>
      <c r="I36" s="27" t="s">
        <v>4</v>
      </c>
      <c r="J36" s="31" t="s">
        <v>21</v>
      </c>
      <c r="K36" s="27" t="s">
        <v>6</v>
      </c>
      <c r="L36" s="27" t="s">
        <v>7</v>
      </c>
      <c r="M36" s="32" t="str">
        <f>HYPERLINK("http://slimages.macys.com/is/image/MCY/3939787 ")</f>
        <v xml:space="preserve">http://slimages.macys.com/is/image/MCY/3939787 </v>
      </c>
    </row>
    <row r="37" spans="1:13" ht="15.2" customHeight="1" x14ac:dyDescent="0.2">
      <c r="A37" s="26" t="s">
        <v>6143</v>
      </c>
      <c r="B37" s="27" t="s">
        <v>6144</v>
      </c>
      <c r="C37" s="28">
        <v>1</v>
      </c>
      <c r="D37" s="29">
        <v>17.850000000000001</v>
      </c>
      <c r="E37" s="29">
        <v>17.850000000000001</v>
      </c>
      <c r="F37" s="30">
        <v>59.5</v>
      </c>
      <c r="G37" s="29">
        <v>59.5</v>
      </c>
      <c r="H37" s="28">
        <v>49022900</v>
      </c>
      <c r="I37" s="27" t="s">
        <v>238</v>
      </c>
      <c r="J37" s="31" t="s">
        <v>71</v>
      </c>
      <c r="K37" s="27" t="s">
        <v>6</v>
      </c>
      <c r="L37" s="27" t="s">
        <v>7</v>
      </c>
      <c r="M37" s="32" t="str">
        <f>HYPERLINK("http://slimages.macys.com/is/image/MCY/3939787 ")</f>
        <v xml:space="preserve">http://slimages.macys.com/is/image/MCY/3939787 </v>
      </c>
    </row>
    <row r="38" spans="1:13" ht="15.2" customHeight="1" x14ac:dyDescent="0.2">
      <c r="A38" s="26" t="s">
        <v>4439</v>
      </c>
      <c r="B38" s="27" t="s">
        <v>4440</v>
      </c>
      <c r="C38" s="28">
        <v>1</v>
      </c>
      <c r="D38" s="29">
        <v>17.25</v>
      </c>
      <c r="E38" s="29">
        <v>17.25</v>
      </c>
      <c r="F38" s="30">
        <v>49</v>
      </c>
      <c r="G38" s="29">
        <v>49</v>
      </c>
      <c r="H38" s="28" t="s">
        <v>2828</v>
      </c>
      <c r="I38" s="27" t="s">
        <v>4</v>
      </c>
      <c r="J38" s="31" t="s">
        <v>5</v>
      </c>
      <c r="K38" s="27" t="s">
        <v>37</v>
      </c>
      <c r="L38" s="27" t="s">
        <v>38</v>
      </c>
      <c r="M38" s="32" t="str">
        <f>HYPERLINK("http://slimages.macys.com/is/image/MCY/3801775 ")</f>
        <v xml:space="preserve">http://slimages.macys.com/is/image/MCY/3801775 </v>
      </c>
    </row>
    <row r="39" spans="1:13" ht="15.2" customHeight="1" x14ac:dyDescent="0.2">
      <c r="A39" s="26" t="s">
        <v>6145</v>
      </c>
      <c r="B39" s="27" t="s">
        <v>6146</v>
      </c>
      <c r="C39" s="28">
        <v>1</v>
      </c>
      <c r="D39" s="29">
        <v>17</v>
      </c>
      <c r="E39" s="29">
        <v>17</v>
      </c>
      <c r="F39" s="30">
        <v>39.99</v>
      </c>
      <c r="G39" s="29">
        <v>39.99</v>
      </c>
      <c r="H39" s="28" t="s">
        <v>6147</v>
      </c>
      <c r="I39" s="27" t="s">
        <v>59</v>
      </c>
      <c r="J39" s="31" t="s">
        <v>65</v>
      </c>
      <c r="K39" s="27" t="s">
        <v>70</v>
      </c>
      <c r="L39" s="27" t="s">
        <v>999</v>
      </c>
      <c r="M39" s="32" t="str">
        <f>HYPERLINK("http://slimages.macys.com/is/image/MCY/3918108 ")</f>
        <v xml:space="preserve">http://slimages.macys.com/is/image/MCY/3918108 </v>
      </c>
    </row>
    <row r="40" spans="1:13" ht="15.2" customHeight="1" x14ac:dyDescent="0.2">
      <c r="A40" s="26" t="s">
        <v>6148</v>
      </c>
      <c r="B40" s="27" t="s">
        <v>6149</v>
      </c>
      <c r="C40" s="28">
        <v>2</v>
      </c>
      <c r="D40" s="29">
        <v>16.239999999999998</v>
      </c>
      <c r="E40" s="29">
        <v>32.479999999999997</v>
      </c>
      <c r="F40" s="30">
        <v>44.5</v>
      </c>
      <c r="G40" s="29">
        <v>89</v>
      </c>
      <c r="H40" s="28" t="s">
        <v>2593</v>
      </c>
      <c r="I40" s="27" t="s">
        <v>4</v>
      </c>
      <c r="J40" s="31" t="s">
        <v>40</v>
      </c>
      <c r="K40" s="27" t="s">
        <v>53</v>
      </c>
      <c r="L40" s="27" t="s">
        <v>167</v>
      </c>
      <c r="M40" s="32" t="str">
        <f>HYPERLINK("http://slimages.macys.com/is/image/MCY/3954897 ")</f>
        <v xml:space="preserve">http://slimages.macys.com/is/image/MCY/3954897 </v>
      </c>
    </row>
    <row r="41" spans="1:13" ht="15.2" customHeight="1" x14ac:dyDescent="0.2">
      <c r="A41" s="26" t="s">
        <v>6150</v>
      </c>
      <c r="B41" s="27" t="s">
        <v>6151</v>
      </c>
      <c r="C41" s="28">
        <v>1</v>
      </c>
      <c r="D41" s="29">
        <v>16.239999999999998</v>
      </c>
      <c r="E41" s="29">
        <v>16.239999999999998</v>
      </c>
      <c r="F41" s="30">
        <v>44.5</v>
      </c>
      <c r="G41" s="29">
        <v>44.5</v>
      </c>
      <c r="H41" s="28" t="s">
        <v>706</v>
      </c>
      <c r="I41" s="27" t="s">
        <v>22</v>
      </c>
      <c r="J41" s="31" t="s">
        <v>40</v>
      </c>
      <c r="K41" s="27" t="s">
        <v>41</v>
      </c>
      <c r="L41" s="27" t="s">
        <v>90</v>
      </c>
      <c r="M41" s="32" t="str">
        <f>HYPERLINK("http://slimages.macys.com/is/image/MCY/3774436 ")</f>
        <v xml:space="preserve">http://slimages.macys.com/is/image/MCY/3774436 </v>
      </c>
    </row>
    <row r="42" spans="1:13" ht="15.2" customHeight="1" x14ac:dyDescent="0.2">
      <c r="A42" s="26" t="s">
        <v>6152</v>
      </c>
      <c r="B42" s="27" t="s">
        <v>6153</v>
      </c>
      <c r="C42" s="28">
        <v>1</v>
      </c>
      <c r="D42" s="29">
        <v>16.239999999999998</v>
      </c>
      <c r="E42" s="29">
        <v>16.239999999999998</v>
      </c>
      <c r="F42" s="30">
        <v>44.5</v>
      </c>
      <c r="G42" s="29">
        <v>44.5</v>
      </c>
      <c r="H42" s="28" t="s">
        <v>6154</v>
      </c>
      <c r="I42" s="27" t="s">
        <v>4</v>
      </c>
      <c r="J42" s="31" t="s">
        <v>21</v>
      </c>
      <c r="K42" s="27" t="s">
        <v>53</v>
      </c>
      <c r="L42" s="27" t="s">
        <v>54</v>
      </c>
      <c r="M42" s="32" t="str">
        <f>HYPERLINK("http://slimages.macys.com/is/image/MCY/3745627 ")</f>
        <v xml:space="preserve">http://slimages.macys.com/is/image/MCY/3745627 </v>
      </c>
    </row>
    <row r="43" spans="1:13" ht="15.2" customHeight="1" x14ac:dyDescent="0.2">
      <c r="A43" s="26" t="s">
        <v>4340</v>
      </c>
      <c r="B43" s="27" t="s">
        <v>4341</v>
      </c>
      <c r="C43" s="28">
        <v>1</v>
      </c>
      <c r="D43" s="29">
        <v>16.239999999999998</v>
      </c>
      <c r="E43" s="29">
        <v>16.239999999999998</v>
      </c>
      <c r="F43" s="30">
        <v>44.5</v>
      </c>
      <c r="G43" s="29">
        <v>44.5</v>
      </c>
      <c r="H43" s="28" t="s">
        <v>2593</v>
      </c>
      <c r="I43" s="27" t="s">
        <v>4</v>
      </c>
      <c r="J43" s="31" t="s">
        <v>52</v>
      </c>
      <c r="K43" s="27" t="s">
        <v>53</v>
      </c>
      <c r="L43" s="27" t="s">
        <v>167</v>
      </c>
      <c r="M43" s="32" t="str">
        <f>HYPERLINK("http://slimages.macys.com/is/image/MCY/3954897 ")</f>
        <v xml:space="preserve">http://slimages.macys.com/is/image/MCY/3954897 </v>
      </c>
    </row>
    <row r="44" spans="1:13" ht="15.2" customHeight="1" x14ac:dyDescent="0.2">
      <c r="A44" s="26" t="s">
        <v>704</v>
      </c>
      <c r="B44" s="27" t="s">
        <v>705</v>
      </c>
      <c r="C44" s="28">
        <v>2</v>
      </c>
      <c r="D44" s="29">
        <v>16.239999999999998</v>
      </c>
      <c r="E44" s="29">
        <v>32.479999999999997</v>
      </c>
      <c r="F44" s="30">
        <v>44.5</v>
      </c>
      <c r="G44" s="29">
        <v>89</v>
      </c>
      <c r="H44" s="28" t="s">
        <v>706</v>
      </c>
      <c r="I44" s="27" t="s">
        <v>22</v>
      </c>
      <c r="J44" s="31" t="s">
        <v>5</v>
      </c>
      <c r="K44" s="27" t="s">
        <v>41</v>
      </c>
      <c r="L44" s="27" t="s">
        <v>90</v>
      </c>
      <c r="M44" s="32" t="str">
        <f>HYPERLINK("http://slimages.macys.com/is/image/MCY/3774436 ")</f>
        <v xml:space="preserve">http://slimages.macys.com/is/image/MCY/3774436 </v>
      </c>
    </row>
    <row r="45" spans="1:13" ht="15.2" customHeight="1" x14ac:dyDescent="0.2">
      <c r="A45" s="26" t="s">
        <v>2110</v>
      </c>
      <c r="B45" s="27" t="s">
        <v>2111</v>
      </c>
      <c r="C45" s="28">
        <v>3</v>
      </c>
      <c r="D45" s="29">
        <v>16.239999999999998</v>
      </c>
      <c r="E45" s="29">
        <v>48.72</v>
      </c>
      <c r="F45" s="30">
        <v>44.5</v>
      </c>
      <c r="G45" s="29">
        <v>133.5</v>
      </c>
      <c r="H45" s="28" t="s">
        <v>706</v>
      </c>
      <c r="I45" s="27" t="s">
        <v>22</v>
      </c>
      <c r="J45" s="31" t="s">
        <v>21</v>
      </c>
      <c r="K45" s="27" t="s">
        <v>41</v>
      </c>
      <c r="L45" s="27" t="s">
        <v>90</v>
      </c>
      <c r="M45" s="32" t="str">
        <f>HYPERLINK("http://slimages.macys.com/is/image/MCY/3774436 ")</f>
        <v xml:space="preserve">http://slimages.macys.com/is/image/MCY/3774436 </v>
      </c>
    </row>
    <row r="46" spans="1:13" ht="15.2" customHeight="1" x14ac:dyDescent="0.2">
      <c r="A46" s="26" t="s">
        <v>2591</v>
      </c>
      <c r="B46" s="27" t="s">
        <v>2592</v>
      </c>
      <c r="C46" s="28">
        <v>2</v>
      </c>
      <c r="D46" s="29">
        <v>16.239999999999998</v>
      </c>
      <c r="E46" s="29">
        <v>32.479999999999997</v>
      </c>
      <c r="F46" s="30">
        <v>44.5</v>
      </c>
      <c r="G46" s="29">
        <v>89</v>
      </c>
      <c r="H46" s="28" t="s">
        <v>2593</v>
      </c>
      <c r="I46" s="27" t="s">
        <v>4</v>
      </c>
      <c r="J46" s="31" t="s">
        <v>5</v>
      </c>
      <c r="K46" s="27" t="s">
        <v>53</v>
      </c>
      <c r="L46" s="27" t="s">
        <v>167</v>
      </c>
      <c r="M46" s="32" t="str">
        <f>HYPERLINK("http://slimages.macys.com/is/image/MCY/3954897 ")</f>
        <v xml:space="preserve">http://slimages.macys.com/is/image/MCY/3954897 </v>
      </c>
    </row>
    <row r="47" spans="1:13" ht="15.2" customHeight="1" x14ac:dyDescent="0.2">
      <c r="A47" s="26" t="s">
        <v>2121</v>
      </c>
      <c r="B47" s="27" t="s">
        <v>2122</v>
      </c>
      <c r="C47" s="28">
        <v>2</v>
      </c>
      <c r="D47" s="29">
        <v>16.239999999999998</v>
      </c>
      <c r="E47" s="29">
        <v>32.479999999999997</v>
      </c>
      <c r="F47" s="30">
        <v>44.5</v>
      </c>
      <c r="G47" s="29">
        <v>89</v>
      </c>
      <c r="H47" s="28" t="s">
        <v>706</v>
      </c>
      <c r="I47" s="27" t="s">
        <v>22</v>
      </c>
      <c r="J47" s="31" t="s">
        <v>52</v>
      </c>
      <c r="K47" s="27" t="s">
        <v>41</v>
      </c>
      <c r="L47" s="27" t="s">
        <v>90</v>
      </c>
      <c r="M47" s="32" t="str">
        <f>HYPERLINK("http://slimages.macys.com/is/image/MCY/3774436 ")</f>
        <v xml:space="preserve">http://slimages.macys.com/is/image/MCY/3774436 </v>
      </c>
    </row>
    <row r="48" spans="1:13" ht="15.2" customHeight="1" x14ac:dyDescent="0.2">
      <c r="A48" s="26" t="s">
        <v>6155</v>
      </c>
      <c r="B48" s="27" t="s">
        <v>6156</v>
      </c>
      <c r="C48" s="28">
        <v>1</v>
      </c>
      <c r="D48" s="29">
        <v>16</v>
      </c>
      <c r="E48" s="29">
        <v>16</v>
      </c>
      <c r="F48" s="30">
        <v>39.979999999999997</v>
      </c>
      <c r="G48" s="29">
        <v>39.979999999999997</v>
      </c>
      <c r="H48" s="28" t="s">
        <v>6157</v>
      </c>
      <c r="I48" s="27" t="s">
        <v>59</v>
      </c>
      <c r="J48" s="31" t="s">
        <v>21</v>
      </c>
      <c r="K48" s="27" t="s">
        <v>154</v>
      </c>
      <c r="L48" s="27" t="s">
        <v>155</v>
      </c>
      <c r="M48" s="32" t="str">
        <f>HYPERLINK("http://slimages.macys.com/is/image/MCY/1913271 ")</f>
        <v xml:space="preserve">http://slimages.macys.com/is/image/MCY/1913271 </v>
      </c>
    </row>
    <row r="49" spans="1:13" ht="15.2" customHeight="1" x14ac:dyDescent="0.2">
      <c r="A49" s="26" t="s">
        <v>147</v>
      </c>
      <c r="B49" s="27" t="s">
        <v>148</v>
      </c>
      <c r="C49" s="28">
        <v>2</v>
      </c>
      <c r="D49" s="29">
        <v>15.75</v>
      </c>
      <c r="E49" s="29">
        <v>31.5</v>
      </c>
      <c r="F49" s="30">
        <v>49</v>
      </c>
      <c r="G49" s="29">
        <v>98</v>
      </c>
      <c r="H49" s="28" t="s">
        <v>149</v>
      </c>
      <c r="I49" s="27" t="s">
        <v>82</v>
      </c>
      <c r="J49" s="31" t="s">
        <v>5</v>
      </c>
      <c r="K49" s="27" t="s">
        <v>37</v>
      </c>
      <c r="L49" s="27" t="s">
        <v>38</v>
      </c>
      <c r="M49" s="32" t="str">
        <f>HYPERLINK("http://slimages.macys.com/is/image/MCY/3937264 ")</f>
        <v xml:space="preserve">http://slimages.macys.com/is/image/MCY/3937264 </v>
      </c>
    </row>
    <row r="50" spans="1:13" ht="15.2" customHeight="1" x14ac:dyDescent="0.2">
      <c r="A50" s="26" t="s">
        <v>4447</v>
      </c>
      <c r="B50" s="27" t="s">
        <v>4448</v>
      </c>
      <c r="C50" s="28">
        <v>2</v>
      </c>
      <c r="D50" s="29">
        <v>15</v>
      </c>
      <c r="E50" s="29">
        <v>30</v>
      </c>
      <c r="F50" s="30">
        <v>49</v>
      </c>
      <c r="G50" s="29">
        <v>98</v>
      </c>
      <c r="H50" s="28" t="s">
        <v>153</v>
      </c>
      <c r="I50" s="27" t="s">
        <v>82</v>
      </c>
      <c r="J50" s="31" t="s">
        <v>40</v>
      </c>
      <c r="K50" s="27" t="s">
        <v>154</v>
      </c>
      <c r="L50" s="27" t="s">
        <v>155</v>
      </c>
      <c r="M50" s="32" t="str">
        <f>HYPERLINK("http://slimages.macys.com/is/image/MCY/3801894 ")</f>
        <v xml:space="preserve">http://slimages.macys.com/is/image/MCY/3801894 </v>
      </c>
    </row>
    <row r="51" spans="1:13" ht="15.2" customHeight="1" x14ac:dyDescent="0.2">
      <c r="A51" s="26" t="s">
        <v>2844</v>
      </c>
      <c r="B51" s="27" t="s">
        <v>2845</v>
      </c>
      <c r="C51" s="28">
        <v>3</v>
      </c>
      <c r="D51" s="29">
        <v>15</v>
      </c>
      <c r="E51" s="29">
        <v>45</v>
      </c>
      <c r="F51" s="30">
        <v>49</v>
      </c>
      <c r="G51" s="29">
        <v>147</v>
      </c>
      <c r="H51" s="28" t="s">
        <v>153</v>
      </c>
      <c r="I51" s="27" t="s">
        <v>82</v>
      </c>
      <c r="J51" s="31" t="s">
        <v>21</v>
      </c>
      <c r="K51" s="27" t="s">
        <v>154</v>
      </c>
      <c r="L51" s="27" t="s">
        <v>155</v>
      </c>
      <c r="M51" s="32" t="str">
        <f>HYPERLINK("http://slimages.macys.com/is/image/MCY/3801894 ")</f>
        <v xml:space="preserve">http://slimages.macys.com/is/image/MCY/3801894 </v>
      </c>
    </row>
    <row r="52" spans="1:13" ht="15.2" customHeight="1" x14ac:dyDescent="0.2">
      <c r="A52" s="26" t="s">
        <v>2124</v>
      </c>
      <c r="B52" s="27" t="s">
        <v>2125</v>
      </c>
      <c r="C52" s="28">
        <v>2</v>
      </c>
      <c r="D52" s="29">
        <v>15</v>
      </c>
      <c r="E52" s="29">
        <v>30</v>
      </c>
      <c r="F52" s="30">
        <v>49</v>
      </c>
      <c r="G52" s="29">
        <v>98</v>
      </c>
      <c r="H52" s="28" t="s">
        <v>153</v>
      </c>
      <c r="I52" s="27" t="s">
        <v>82</v>
      </c>
      <c r="J52" s="31" t="s">
        <v>5</v>
      </c>
      <c r="K52" s="27" t="s">
        <v>154</v>
      </c>
      <c r="L52" s="27" t="s">
        <v>155</v>
      </c>
      <c r="M52" s="32" t="str">
        <f>HYPERLINK("http://slimages.macys.com/is/image/MCY/3801894 ")</f>
        <v xml:space="preserve">http://slimages.macys.com/is/image/MCY/3801894 </v>
      </c>
    </row>
    <row r="53" spans="1:13" ht="15.2" customHeight="1" x14ac:dyDescent="0.2">
      <c r="A53" s="26" t="s">
        <v>2846</v>
      </c>
      <c r="B53" s="27" t="s">
        <v>2847</v>
      </c>
      <c r="C53" s="28">
        <v>1</v>
      </c>
      <c r="D53" s="29">
        <v>15</v>
      </c>
      <c r="E53" s="29">
        <v>15</v>
      </c>
      <c r="F53" s="30">
        <v>59</v>
      </c>
      <c r="G53" s="29">
        <v>59</v>
      </c>
      <c r="H53" s="28" t="s">
        <v>158</v>
      </c>
      <c r="I53" s="27"/>
      <c r="J53" s="31" t="s">
        <v>52</v>
      </c>
      <c r="K53" s="27" t="s">
        <v>154</v>
      </c>
      <c r="L53" s="27" t="s">
        <v>155</v>
      </c>
      <c r="M53" s="32" t="str">
        <f>HYPERLINK("http://slimages.macys.com/is/image/MCY/3667495 ")</f>
        <v xml:space="preserve">http://slimages.macys.com/is/image/MCY/3667495 </v>
      </c>
    </row>
    <row r="54" spans="1:13" ht="15.2" customHeight="1" x14ac:dyDescent="0.2">
      <c r="A54" s="26" t="s">
        <v>5530</v>
      </c>
      <c r="B54" s="27" t="s">
        <v>5531</v>
      </c>
      <c r="C54" s="28">
        <v>1</v>
      </c>
      <c r="D54" s="29">
        <v>15</v>
      </c>
      <c r="E54" s="29">
        <v>15</v>
      </c>
      <c r="F54" s="30">
        <v>59</v>
      </c>
      <c r="G54" s="29">
        <v>59</v>
      </c>
      <c r="H54" s="28" t="s">
        <v>158</v>
      </c>
      <c r="I54" s="27"/>
      <c r="J54" s="31" t="s">
        <v>5</v>
      </c>
      <c r="K54" s="27" t="s">
        <v>154</v>
      </c>
      <c r="L54" s="27" t="s">
        <v>155</v>
      </c>
      <c r="M54" s="32" t="str">
        <f>HYPERLINK("http://slimages.macys.com/is/image/MCY/3667495 ")</f>
        <v xml:space="preserve">http://slimages.macys.com/is/image/MCY/3667495 </v>
      </c>
    </row>
    <row r="55" spans="1:13" ht="15.2" customHeight="1" x14ac:dyDescent="0.2">
      <c r="A55" s="26" t="s">
        <v>3758</v>
      </c>
      <c r="B55" s="27" t="s">
        <v>3759</v>
      </c>
      <c r="C55" s="28">
        <v>1</v>
      </c>
      <c r="D55" s="29">
        <v>15</v>
      </c>
      <c r="E55" s="29">
        <v>15</v>
      </c>
      <c r="F55" s="30">
        <v>49</v>
      </c>
      <c r="G55" s="29">
        <v>49</v>
      </c>
      <c r="H55" s="28" t="s">
        <v>153</v>
      </c>
      <c r="I55" s="27" t="s">
        <v>82</v>
      </c>
      <c r="J55" s="31" t="s">
        <v>71</v>
      </c>
      <c r="K55" s="27" t="s">
        <v>154</v>
      </c>
      <c r="L55" s="27" t="s">
        <v>155</v>
      </c>
      <c r="M55" s="32" t="str">
        <f>HYPERLINK("http://slimages.macys.com/is/image/MCY/3801894 ")</f>
        <v xml:space="preserve">http://slimages.macys.com/is/image/MCY/3801894 </v>
      </c>
    </row>
    <row r="56" spans="1:13" ht="15.2" customHeight="1" x14ac:dyDescent="0.2">
      <c r="A56" s="26" t="s">
        <v>6158</v>
      </c>
      <c r="B56" s="27" t="s">
        <v>6159</v>
      </c>
      <c r="C56" s="28">
        <v>1</v>
      </c>
      <c r="D56" s="29">
        <v>14.77</v>
      </c>
      <c r="E56" s="29">
        <v>14.77</v>
      </c>
      <c r="F56" s="30">
        <v>39.5</v>
      </c>
      <c r="G56" s="29">
        <v>39.5</v>
      </c>
      <c r="H56" s="28" t="s">
        <v>3762</v>
      </c>
      <c r="I56" s="27" t="s">
        <v>215</v>
      </c>
      <c r="J56" s="31" t="s">
        <v>40</v>
      </c>
      <c r="K56" s="27" t="s">
        <v>41</v>
      </c>
      <c r="L56" s="27" t="s">
        <v>45</v>
      </c>
      <c r="M56" s="32" t="str">
        <f>HYPERLINK("http://slimages.macys.com/is/image/MCY/3802120 ")</f>
        <v xml:space="preserve">http://slimages.macys.com/is/image/MCY/3802120 </v>
      </c>
    </row>
    <row r="57" spans="1:13" ht="15.2" customHeight="1" x14ac:dyDescent="0.2">
      <c r="A57" s="26" t="s">
        <v>2128</v>
      </c>
      <c r="B57" s="27" t="s">
        <v>2129</v>
      </c>
      <c r="C57" s="28">
        <v>1</v>
      </c>
      <c r="D57" s="29">
        <v>14.5</v>
      </c>
      <c r="E57" s="29">
        <v>14.5</v>
      </c>
      <c r="F57" s="30">
        <v>39.5</v>
      </c>
      <c r="G57" s="29">
        <v>39.5</v>
      </c>
      <c r="H57" s="28" t="s">
        <v>164</v>
      </c>
      <c r="I57" s="27" t="s">
        <v>4</v>
      </c>
      <c r="J57" s="31" t="s">
        <v>40</v>
      </c>
      <c r="K57" s="27" t="s">
        <v>53</v>
      </c>
      <c r="L57" s="27" t="s">
        <v>165</v>
      </c>
      <c r="M57" s="32" t="str">
        <f>HYPERLINK("http://slimages.macys.com/is/image/MCY/3954949 ")</f>
        <v xml:space="preserve">http://slimages.macys.com/is/image/MCY/3954949 </v>
      </c>
    </row>
    <row r="58" spans="1:13" ht="15.2" customHeight="1" x14ac:dyDescent="0.2">
      <c r="A58" s="26" t="s">
        <v>6160</v>
      </c>
      <c r="B58" s="27" t="s">
        <v>6161</v>
      </c>
      <c r="C58" s="28">
        <v>1</v>
      </c>
      <c r="D58" s="29">
        <v>14.5</v>
      </c>
      <c r="E58" s="29">
        <v>14.5</v>
      </c>
      <c r="F58" s="30">
        <v>39.5</v>
      </c>
      <c r="G58" s="29">
        <v>39.5</v>
      </c>
      <c r="H58" s="28" t="s">
        <v>4453</v>
      </c>
      <c r="I58" s="27" t="s">
        <v>82</v>
      </c>
      <c r="J58" s="31" t="s">
        <v>5</v>
      </c>
      <c r="K58" s="27" t="s">
        <v>53</v>
      </c>
      <c r="L58" s="27" t="s">
        <v>54</v>
      </c>
      <c r="M58" s="32" t="str">
        <f>HYPERLINK("http://slimages.macys.com/is/image/MCY/3578227 ")</f>
        <v xml:space="preserve">http://slimages.macys.com/is/image/MCY/3578227 </v>
      </c>
    </row>
    <row r="59" spans="1:13" ht="15.2" customHeight="1" x14ac:dyDescent="0.2">
      <c r="A59" s="26" t="s">
        <v>730</v>
      </c>
      <c r="B59" s="27" t="s">
        <v>731</v>
      </c>
      <c r="C59" s="28">
        <v>1</v>
      </c>
      <c r="D59" s="29">
        <v>14.5</v>
      </c>
      <c r="E59" s="29">
        <v>14.5</v>
      </c>
      <c r="F59" s="30">
        <v>39.5</v>
      </c>
      <c r="G59" s="29">
        <v>39.5</v>
      </c>
      <c r="H59" s="28" t="s">
        <v>166</v>
      </c>
      <c r="I59" s="27" t="s">
        <v>4</v>
      </c>
      <c r="J59" s="31" t="s">
        <v>21</v>
      </c>
      <c r="K59" s="27" t="s">
        <v>53</v>
      </c>
      <c r="L59" s="27" t="s">
        <v>167</v>
      </c>
      <c r="M59" s="32" t="str">
        <f>HYPERLINK("http://slimages.macys.com/is/image/MCY/3954889 ")</f>
        <v xml:space="preserve">http://slimages.macys.com/is/image/MCY/3954889 </v>
      </c>
    </row>
    <row r="60" spans="1:13" ht="15.2" customHeight="1" x14ac:dyDescent="0.2">
      <c r="A60" s="26" t="s">
        <v>6162</v>
      </c>
      <c r="B60" s="27" t="s">
        <v>6163</v>
      </c>
      <c r="C60" s="28">
        <v>1</v>
      </c>
      <c r="D60" s="29">
        <v>14.5</v>
      </c>
      <c r="E60" s="29">
        <v>14.5</v>
      </c>
      <c r="F60" s="30">
        <v>34.99</v>
      </c>
      <c r="G60" s="29">
        <v>34.99</v>
      </c>
      <c r="H60" s="28" t="s">
        <v>6164</v>
      </c>
      <c r="I60" s="27" t="s">
        <v>82</v>
      </c>
      <c r="J60" s="31" t="s">
        <v>23</v>
      </c>
      <c r="K60" s="27" t="s">
        <v>200</v>
      </c>
      <c r="L60" s="27" t="s">
        <v>133</v>
      </c>
      <c r="M60" s="32" t="str">
        <f>HYPERLINK("http://slimages.macys.com/is/image/MCY/3207702 ")</f>
        <v xml:space="preserve">http://slimages.macys.com/is/image/MCY/3207702 </v>
      </c>
    </row>
    <row r="61" spans="1:13" ht="15.2" customHeight="1" x14ac:dyDescent="0.2">
      <c r="A61" s="26" t="s">
        <v>6165</v>
      </c>
      <c r="B61" s="27" t="s">
        <v>6166</v>
      </c>
      <c r="C61" s="28">
        <v>1</v>
      </c>
      <c r="D61" s="29">
        <v>14.5</v>
      </c>
      <c r="E61" s="29">
        <v>14.5</v>
      </c>
      <c r="F61" s="30">
        <v>59</v>
      </c>
      <c r="G61" s="29">
        <v>59</v>
      </c>
      <c r="H61" s="28" t="s">
        <v>2594</v>
      </c>
      <c r="I61" s="27" t="s">
        <v>746</v>
      </c>
      <c r="J61" s="31" t="s">
        <v>137</v>
      </c>
      <c r="K61" s="27" t="s">
        <v>132</v>
      </c>
      <c r="L61" s="27" t="s">
        <v>133</v>
      </c>
      <c r="M61" s="32" t="str">
        <f>HYPERLINK("http://slimages.macys.com/is/image/MCY/3798070 ")</f>
        <v xml:space="preserve">http://slimages.macys.com/is/image/MCY/3798070 </v>
      </c>
    </row>
    <row r="62" spans="1:13" ht="15.2" customHeight="1" x14ac:dyDescent="0.2">
      <c r="A62" s="26" t="s">
        <v>4199</v>
      </c>
      <c r="B62" s="27" t="s">
        <v>4200</v>
      </c>
      <c r="C62" s="28">
        <v>1</v>
      </c>
      <c r="D62" s="29">
        <v>14.5</v>
      </c>
      <c r="E62" s="29">
        <v>14.5</v>
      </c>
      <c r="F62" s="30">
        <v>45</v>
      </c>
      <c r="G62" s="29">
        <v>45</v>
      </c>
      <c r="H62" s="28" t="s">
        <v>1768</v>
      </c>
      <c r="I62" s="27" t="s">
        <v>26</v>
      </c>
      <c r="J62" s="31" t="s">
        <v>40</v>
      </c>
      <c r="K62" s="27" t="s">
        <v>154</v>
      </c>
      <c r="L62" s="27" t="s">
        <v>155</v>
      </c>
      <c r="M62" s="32" t="str">
        <f>HYPERLINK("http://slimages.macys.com/is/image/MCY/3841161 ")</f>
        <v xml:space="preserve">http://slimages.macys.com/is/image/MCY/3841161 </v>
      </c>
    </row>
    <row r="63" spans="1:13" ht="15.2" customHeight="1" x14ac:dyDescent="0.2">
      <c r="A63" s="26" t="s">
        <v>175</v>
      </c>
      <c r="B63" s="27" t="s">
        <v>176</v>
      </c>
      <c r="C63" s="28">
        <v>1</v>
      </c>
      <c r="D63" s="29">
        <v>14.49</v>
      </c>
      <c r="E63" s="29">
        <v>14.49</v>
      </c>
      <c r="F63" s="30">
        <v>39.5</v>
      </c>
      <c r="G63" s="29">
        <v>39.5</v>
      </c>
      <c r="H63" s="28" t="s">
        <v>177</v>
      </c>
      <c r="I63" s="27" t="s">
        <v>26</v>
      </c>
      <c r="J63" s="31" t="s">
        <v>5</v>
      </c>
      <c r="K63" s="27" t="s">
        <v>53</v>
      </c>
      <c r="L63" s="27" t="s">
        <v>54</v>
      </c>
      <c r="M63" s="32" t="str">
        <f>HYPERLINK("http://slimages.macys.com/is/image/MCY/3711087 ")</f>
        <v xml:space="preserve">http://slimages.macys.com/is/image/MCY/3711087 </v>
      </c>
    </row>
    <row r="64" spans="1:13" ht="15.2" customHeight="1" x14ac:dyDescent="0.2">
      <c r="A64" s="26" t="s">
        <v>6167</v>
      </c>
      <c r="B64" s="27" t="s">
        <v>6168</v>
      </c>
      <c r="C64" s="28">
        <v>1</v>
      </c>
      <c r="D64" s="29">
        <v>13.25</v>
      </c>
      <c r="E64" s="29">
        <v>13.25</v>
      </c>
      <c r="F64" s="30">
        <v>29.99</v>
      </c>
      <c r="G64" s="29">
        <v>29.99</v>
      </c>
      <c r="H64" s="28" t="s">
        <v>4611</v>
      </c>
      <c r="I64" s="27" t="s">
        <v>59</v>
      </c>
      <c r="J64" s="31" t="s">
        <v>113</v>
      </c>
      <c r="K64" s="27" t="s">
        <v>200</v>
      </c>
      <c r="L64" s="27" t="s">
        <v>1196</v>
      </c>
      <c r="M64" s="32" t="str">
        <f>HYPERLINK("http://slimages.macys.com/is/image/MCY/3954548 ")</f>
        <v xml:space="preserve">http://slimages.macys.com/is/image/MCY/3954548 </v>
      </c>
    </row>
    <row r="65" spans="1:13" ht="15.2" customHeight="1" x14ac:dyDescent="0.2">
      <c r="A65" s="26" t="s">
        <v>6169</v>
      </c>
      <c r="B65" s="27" t="s">
        <v>6170</v>
      </c>
      <c r="C65" s="28">
        <v>1</v>
      </c>
      <c r="D65" s="29">
        <v>13</v>
      </c>
      <c r="E65" s="29">
        <v>13</v>
      </c>
      <c r="F65" s="30">
        <v>29.99</v>
      </c>
      <c r="G65" s="29">
        <v>29.99</v>
      </c>
      <c r="H65" s="28" t="s">
        <v>6171</v>
      </c>
      <c r="I65" s="27" t="s">
        <v>59</v>
      </c>
      <c r="J65" s="31" t="s">
        <v>205</v>
      </c>
      <c r="K65" s="27" t="s">
        <v>200</v>
      </c>
      <c r="L65" s="27" t="s">
        <v>201</v>
      </c>
      <c r="M65" s="32" t="str">
        <f>HYPERLINK("http://slimages.macys.com/is/image/MCY/2927282 ")</f>
        <v xml:space="preserve">http://slimages.macys.com/is/image/MCY/2927282 </v>
      </c>
    </row>
    <row r="66" spans="1:13" ht="15.2" customHeight="1" x14ac:dyDescent="0.2">
      <c r="A66" s="26" t="s">
        <v>6172</v>
      </c>
      <c r="B66" s="27" t="s">
        <v>6173</v>
      </c>
      <c r="C66" s="28">
        <v>1</v>
      </c>
      <c r="D66" s="29">
        <v>13</v>
      </c>
      <c r="E66" s="29">
        <v>13</v>
      </c>
      <c r="F66" s="30">
        <v>39</v>
      </c>
      <c r="G66" s="29">
        <v>39</v>
      </c>
      <c r="H66" s="28" t="s">
        <v>6174</v>
      </c>
      <c r="I66" s="27" t="s">
        <v>377</v>
      </c>
      <c r="J66" s="31" t="s">
        <v>40</v>
      </c>
      <c r="K66" s="27" t="s">
        <v>154</v>
      </c>
      <c r="L66" s="27" t="s">
        <v>155</v>
      </c>
      <c r="M66" s="32" t="str">
        <f>HYPERLINK("http://slimages.macys.com/is/image/MCY/3534328 ")</f>
        <v xml:space="preserve">http://slimages.macys.com/is/image/MCY/3534328 </v>
      </c>
    </row>
    <row r="67" spans="1:13" ht="15.2" customHeight="1" x14ac:dyDescent="0.2">
      <c r="A67" s="26" t="s">
        <v>1212</v>
      </c>
      <c r="B67" s="27" t="s">
        <v>1213</v>
      </c>
      <c r="C67" s="28">
        <v>1</v>
      </c>
      <c r="D67" s="29">
        <v>12.77</v>
      </c>
      <c r="E67" s="29">
        <v>12.77</v>
      </c>
      <c r="F67" s="30">
        <v>34.99</v>
      </c>
      <c r="G67" s="29">
        <v>34.99</v>
      </c>
      <c r="H67" s="28" t="s">
        <v>758</v>
      </c>
      <c r="I67" s="27" t="s">
        <v>94</v>
      </c>
      <c r="J67" s="31" t="s">
        <v>5</v>
      </c>
      <c r="K67" s="27" t="s">
        <v>41</v>
      </c>
      <c r="L67" s="27" t="s">
        <v>90</v>
      </c>
      <c r="M67" s="32" t="str">
        <f t="shared" ref="M67:M76" si="0">HYPERLINK("http://slimages.macys.com/is/image/MCY/3913270 ")</f>
        <v xml:space="preserve">http://slimages.macys.com/is/image/MCY/3913270 </v>
      </c>
    </row>
    <row r="68" spans="1:13" ht="15.2" customHeight="1" x14ac:dyDescent="0.2">
      <c r="A68" s="26" t="s">
        <v>2149</v>
      </c>
      <c r="B68" s="27" t="s">
        <v>2150</v>
      </c>
      <c r="C68" s="28">
        <v>2</v>
      </c>
      <c r="D68" s="29">
        <v>12.77</v>
      </c>
      <c r="E68" s="29">
        <v>25.54</v>
      </c>
      <c r="F68" s="30">
        <v>34.99</v>
      </c>
      <c r="G68" s="29">
        <v>69.98</v>
      </c>
      <c r="H68" s="28" t="s">
        <v>758</v>
      </c>
      <c r="I68" s="27" t="s">
        <v>22</v>
      </c>
      <c r="J68" s="31" t="s">
        <v>21</v>
      </c>
      <c r="K68" s="27" t="s">
        <v>41</v>
      </c>
      <c r="L68" s="27" t="s">
        <v>90</v>
      </c>
      <c r="M68" s="32" t="str">
        <f t="shared" si="0"/>
        <v xml:space="preserve">http://slimages.macys.com/is/image/MCY/3913270 </v>
      </c>
    </row>
    <row r="69" spans="1:13" ht="15.2" customHeight="1" x14ac:dyDescent="0.2">
      <c r="A69" s="26" t="s">
        <v>756</v>
      </c>
      <c r="B69" s="27" t="s">
        <v>757</v>
      </c>
      <c r="C69" s="28">
        <v>1</v>
      </c>
      <c r="D69" s="29">
        <v>12.77</v>
      </c>
      <c r="E69" s="29">
        <v>12.77</v>
      </c>
      <c r="F69" s="30">
        <v>34.99</v>
      </c>
      <c r="G69" s="29">
        <v>34.99</v>
      </c>
      <c r="H69" s="28" t="s">
        <v>758</v>
      </c>
      <c r="I69" s="27" t="s">
        <v>33</v>
      </c>
      <c r="J69" s="31" t="s">
        <v>21</v>
      </c>
      <c r="K69" s="27" t="s">
        <v>41</v>
      </c>
      <c r="L69" s="27" t="s">
        <v>90</v>
      </c>
      <c r="M69" s="32" t="str">
        <f t="shared" si="0"/>
        <v xml:space="preserve">http://slimages.macys.com/is/image/MCY/3913270 </v>
      </c>
    </row>
    <row r="70" spans="1:13" ht="15.2" customHeight="1" x14ac:dyDescent="0.2">
      <c r="A70" s="26" t="s">
        <v>1214</v>
      </c>
      <c r="B70" s="27" t="s">
        <v>1215</v>
      </c>
      <c r="C70" s="28">
        <v>1</v>
      </c>
      <c r="D70" s="29">
        <v>12.77</v>
      </c>
      <c r="E70" s="29">
        <v>12.77</v>
      </c>
      <c r="F70" s="30">
        <v>34.99</v>
      </c>
      <c r="G70" s="29">
        <v>34.99</v>
      </c>
      <c r="H70" s="28" t="s">
        <v>758</v>
      </c>
      <c r="I70" s="27" t="s">
        <v>22</v>
      </c>
      <c r="J70" s="31" t="s">
        <v>52</v>
      </c>
      <c r="K70" s="27" t="s">
        <v>41</v>
      </c>
      <c r="L70" s="27" t="s">
        <v>90</v>
      </c>
      <c r="M70" s="32" t="str">
        <f t="shared" si="0"/>
        <v xml:space="preserve">http://slimages.macys.com/is/image/MCY/3913270 </v>
      </c>
    </row>
    <row r="71" spans="1:13" ht="15.2" customHeight="1" x14ac:dyDescent="0.2">
      <c r="A71" s="26" t="s">
        <v>6175</v>
      </c>
      <c r="B71" s="27" t="s">
        <v>6176</v>
      </c>
      <c r="C71" s="28">
        <v>1</v>
      </c>
      <c r="D71" s="29">
        <v>12.77</v>
      </c>
      <c r="E71" s="29">
        <v>12.77</v>
      </c>
      <c r="F71" s="30">
        <v>34.99</v>
      </c>
      <c r="G71" s="29">
        <v>34.99</v>
      </c>
      <c r="H71" s="28" t="s">
        <v>758</v>
      </c>
      <c r="I71" s="27" t="s">
        <v>82</v>
      </c>
      <c r="J71" s="31" t="s">
        <v>52</v>
      </c>
      <c r="K71" s="27" t="s">
        <v>41</v>
      </c>
      <c r="L71" s="27" t="s">
        <v>90</v>
      </c>
      <c r="M71" s="32" t="str">
        <f t="shared" si="0"/>
        <v xml:space="preserve">http://slimages.macys.com/is/image/MCY/3913270 </v>
      </c>
    </row>
    <row r="72" spans="1:13" ht="15.2" customHeight="1" x14ac:dyDescent="0.2">
      <c r="A72" s="26" t="s">
        <v>2151</v>
      </c>
      <c r="B72" s="27" t="s">
        <v>2152</v>
      </c>
      <c r="C72" s="28">
        <v>2</v>
      </c>
      <c r="D72" s="29">
        <v>12.77</v>
      </c>
      <c r="E72" s="29">
        <v>25.54</v>
      </c>
      <c r="F72" s="30">
        <v>34.99</v>
      </c>
      <c r="G72" s="29">
        <v>69.98</v>
      </c>
      <c r="H72" s="28" t="s">
        <v>758</v>
      </c>
      <c r="I72" s="27" t="s">
        <v>33</v>
      </c>
      <c r="J72" s="31" t="s">
        <v>40</v>
      </c>
      <c r="K72" s="27" t="s">
        <v>41</v>
      </c>
      <c r="L72" s="27" t="s">
        <v>90</v>
      </c>
      <c r="M72" s="32" t="str">
        <f t="shared" si="0"/>
        <v xml:space="preserve">http://slimages.macys.com/is/image/MCY/3913270 </v>
      </c>
    </row>
    <row r="73" spans="1:13" ht="15.2" customHeight="1" x14ac:dyDescent="0.2">
      <c r="A73" s="26" t="s">
        <v>1783</v>
      </c>
      <c r="B73" s="27" t="s">
        <v>1784</v>
      </c>
      <c r="C73" s="28">
        <v>1</v>
      </c>
      <c r="D73" s="29">
        <v>12.77</v>
      </c>
      <c r="E73" s="29">
        <v>12.77</v>
      </c>
      <c r="F73" s="30">
        <v>34.99</v>
      </c>
      <c r="G73" s="29">
        <v>34.99</v>
      </c>
      <c r="H73" s="28" t="s">
        <v>758</v>
      </c>
      <c r="I73" s="27" t="s">
        <v>33</v>
      </c>
      <c r="J73" s="31" t="s">
        <v>5</v>
      </c>
      <c r="K73" s="27" t="s">
        <v>41</v>
      </c>
      <c r="L73" s="27" t="s">
        <v>90</v>
      </c>
      <c r="M73" s="32" t="str">
        <f t="shared" si="0"/>
        <v xml:space="preserve">http://slimages.macys.com/is/image/MCY/3913270 </v>
      </c>
    </row>
    <row r="74" spans="1:13" ht="15.2" customHeight="1" x14ac:dyDescent="0.2">
      <c r="A74" s="26" t="s">
        <v>2153</v>
      </c>
      <c r="B74" s="27" t="s">
        <v>2154</v>
      </c>
      <c r="C74" s="28">
        <v>1</v>
      </c>
      <c r="D74" s="29">
        <v>12.77</v>
      </c>
      <c r="E74" s="29">
        <v>12.77</v>
      </c>
      <c r="F74" s="30">
        <v>34.99</v>
      </c>
      <c r="G74" s="29">
        <v>34.99</v>
      </c>
      <c r="H74" s="28" t="s">
        <v>758</v>
      </c>
      <c r="I74" s="27" t="s">
        <v>94</v>
      </c>
      <c r="J74" s="31" t="s">
        <v>21</v>
      </c>
      <c r="K74" s="27" t="s">
        <v>41</v>
      </c>
      <c r="L74" s="27" t="s">
        <v>90</v>
      </c>
      <c r="M74" s="32" t="str">
        <f t="shared" si="0"/>
        <v xml:space="preserve">http://slimages.macys.com/is/image/MCY/3913270 </v>
      </c>
    </row>
    <row r="75" spans="1:13" ht="15.2" customHeight="1" x14ac:dyDescent="0.2">
      <c r="A75" s="26" t="s">
        <v>6177</v>
      </c>
      <c r="B75" s="27" t="s">
        <v>6178</v>
      </c>
      <c r="C75" s="28">
        <v>1</v>
      </c>
      <c r="D75" s="29">
        <v>12.77</v>
      </c>
      <c r="E75" s="29">
        <v>12.77</v>
      </c>
      <c r="F75" s="30">
        <v>34.99</v>
      </c>
      <c r="G75" s="29">
        <v>34.99</v>
      </c>
      <c r="H75" s="28" t="s">
        <v>758</v>
      </c>
      <c r="I75" s="27" t="s">
        <v>22</v>
      </c>
      <c r="J75" s="31" t="s">
        <v>172</v>
      </c>
      <c r="K75" s="27" t="s">
        <v>41</v>
      </c>
      <c r="L75" s="27" t="s">
        <v>90</v>
      </c>
      <c r="M75" s="32" t="str">
        <f t="shared" si="0"/>
        <v xml:space="preserve">http://slimages.macys.com/is/image/MCY/3913270 </v>
      </c>
    </row>
    <row r="76" spans="1:13" ht="15.2" customHeight="1" x14ac:dyDescent="0.2">
      <c r="A76" s="26" t="s">
        <v>6179</v>
      </c>
      <c r="B76" s="27" t="s">
        <v>6180</v>
      </c>
      <c r="C76" s="28">
        <v>2</v>
      </c>
      <c r="D76" s="29">
        <v>12.77</v>
      </c>
      <c r="E76" s="29">
        <v>25.54</v>
      </c>
      <c r="F76" s="30">
        <v>34.99</v>
      </c>
      <c r="G76" s="29">
        <v>69.98</v>
      </c>
      <c r="H76" s="28" t="s">
        <v>758</v>
      </c>
      <c r="I76" s="27" t="s">
        <v>94</v>
      </c>
      <c r="J76" s="31" t="s">
        <v>71</v>
      </c>
      <c r="K76" s="27" t="s">
        <v>41</v>
      </c>
      <c r="L76" s="27" t="s">
        <v>90</v>
      </c>
      <c r="M76" s="32" t="str">
        <f t="shared" si="0"/>
        <v xml:space="preserve">http://slimages.macys.com/is/image/MCY/3913270 </v>
      </c>
    </row>
    <row r="77" spans="1:13" ht="15.2" customHeight="1" x14ac:dyDescent="0.2">
      <c r="A77" s="26" t="s">
        <v>6181</v>
      </c>
      <c r="B77" s="27" t="s">
        <v>6182</v>
      </c>
      <c r="C77" s="28">
        <v>1</v>
      </c>
      <c r="D77" s="29">
        <v>12.65</v>
      </c>
      <c r="E77" s="29">
        <v>12.65</v>
      </c>
      <c r="F77" s="30">
        <v>29.99</v>
      </c>
      <c r="G77" s="29">
        <v>29.99</v>
      </c>
      <c r="H77" s="28" t="s">
        <v>2159</v>
      </c>
      <c r="I77" s="27" t="s">
        <v>1</v>
      </c>
      <c r="J77" s="31" t="s">
        <v>234</v>
      </c>
      <c r="K77" s="27" t="s">
        <v>200</v>
      </c>
      <c r="L77" s="27" t="s">
        <v>765</v>
      </c>
      <c r="M77" s="32" t="str">
        <f>HYPERLINK("http://slimages.macys.com/is/image/MCY/3773746 ")</f>
        <v xml:space="preserve">http://slimages.macys.com/is/image/MCY/3773746 </v>
      </c>
    </row>
    <row r="78" spans="1:13" ht="15.2" customHeight="1" x14ac:dyDescent="0.2">
      <c r="A78" s="26" t="s">
        <v>767</v>
      </c>
      <c r="B78" s="27" t="s">
        <v>768</v>
      </c>
      <c r="C78" s="28">
        <v>2</v>
      </c>
      <c r="D78" s="29">
        <v>12.6</v>
      </c>
      <c r="E78" s="29">
        <v>25.2</v>
      </c>
      <c r="F78" s="30">
        <v>29.99</v>
      </c>
      <c r="G78" s="29">
        <v>59.98</v>
      </c>
      <c r="H78" s="28" t="s">
        <v>769</v>
      </c>
      <c r="I78" s="27" t="s">
        <v>64</v>
      </c>
      <c r="J78" s="31" t="s">
        <v>21</v>
      </c>
      <c r="K78" s="27" t="s">
        <v>159</v>
      </c>
      <c r="L78" s="27" t="s">
        <v>160</v>
      </c>
      <c r="M78" s="32" t="str">
        <f>HYPERLINK("http://slimages.macys.com/is/image/MCY/3857674 ")</f>
        <v xml:space="preserve">http://slimages.macys.com/is/image/MCY/3857674 </v>
      </c>
    </row>
    <row r="79" spans="1:13" ht="15.2" customHeight="1" x14ac:dyDescent="0.2">
      <c r="A79" s="26" t="s">
        <v>5963</v>
      </c>
      <c r="B79" s="27" t="s">
        <v>5964</v>
      </c>
      <c r="C79" s="28">
        <v>1</v>
      </c>
      <c r="D79" s="29">
        <v>12.6</v>
      </c>
      <c r="E79" s="29">
        <v>12.6</v>
      </c>
      <c r="F79" s="30">
        <v>29.99</v>
      </c>
      <c r="G79" s="29">
        <v>29.99</v>
      </c>
      <c r="H79" s="28" t="s">
        <v>769</v>
      </c>
      <c r="I79" s="27" t="s">
        <v>64</v>
      </c>
      <c r="J79" s="31" t="s">
        <v>52</v>
      </c>
      <c r="K79" s="27" t="s">
        <v>159</v>
      </c>
      <c r="L79" s="27" t="s">
        <v>160</v>
      </c>
      <c r="M79" s="32" t="str">
        <f>HYPERLINK("http://slimages.macys.com/is/image/MCY/3857674 ")</f>
        <v xml:space="preserve">http://slimages.macys.com/is/image/MCY/3857674 </v>
      </c>
    </row>
    <row r="80" spans="1:13" ht="15.2" customHeight="1" x14ac:dyDescent="0.2">
      <c r="A80" s="26" t="s">
        <v>6183</v>
      </c>
      <c r="B80" s="27" t="s">
        <v>6184</v>
      </c>
      <c r="C80" s="28">
        <v>1</v>
      </c>
      <c r="D80" s="29">
        <v>12.5</v>
      </c>
      <c r="E80" s="29">
        <v>12.5</v>
      </c>
      <c r="F80" s="30">
        <v>49</v>
      </c>
      <c r="G80" s="29">
        <v>49</v>
      </c>
      <c r="H80" s="28" t="s">
        <v>1223</v>
      </c>
      <c r="I80" s="27" t="s">
        <v>66</v>
      </c>
      <c r="J80" s="31" t="s">
        <v>71</v>
      </c>
      <c r="K80" s="27" t="s">
        <v>154</v>
      </c>
      <c r="L80" s="27" t="s">
        <v>155</v>
      </c>
      <c r="M80" s="32" t="str">
        <f>HYPERLINK("http://slimages.macys.com/is/image/MCY/3852652 ")</f>
        <v xml:space="preserve">http://slimages.macys.com/is/image/MCY/3852652 </v>
      </c>
    </row>
    <row r="81" spans="1:13" ht="15.2" customHeight="1" x14ac:dyDescent="0.2">
      <c r="A81" s="26" t="s">
        <v>6085</v>
      </c>
      <c r="B81" s="27" t="s">
        <v>6086</v>
      </c>
      <c r="C81" s="28">
        <v>1</v>
      </c>
      <c r="D81" s="29">
        <v>12</v>
      </c>
      <c r="E81" s="29">
        <v>12</v>
      </c>
      <c r="F81" s="30">
        <v>27.99</v>
      </c>
      <c r="G81" s="29">
        <v>27.99</v>
      </c>
      <c r="H81" s="28" t="s">
        <v>1228</v>
      </c>
      <c r="I81" s="27" t="s">
        <v>4</v>
      </c>
      <c r="J81" s="31" t="s">
        <v>5</v>
      </c>
      <c r="K81" s="27" t="s">
        <v>224</v>
      </c>
      <c r="L81" s="27" t="s">
        <v>237</v>
      </c>
      <c r="M81" s="32" t="str">
        <f>HYPERLINK("http://slimages.macys.com/is/image/MCY/3853650 ")</f>
        <v xml:space="preserve">http://slimages.macys.com/is/image/MCY/3853650 </v>
      </c>
    </row>
    <row r="82" spans="1:13" ht="15.2" customHeight="1" x14ac:dyDescent="0.2">
      <c r="A82" s="26" t="s">
        <v>6185</v>
      </c>
      <c r="B82" s="27" t="s">
        <v>6186</v>
      </c>
      <c r="C82" s="28">
        <v>1</v>
      </c>
      <c r="D82" s="29">
        <v>12</v>
      </c>
      <c r="E82" s="29">
        <v>12</v>
      </c>
      <c r="F82" s="30">
        <v>39</v>
      </c>
      <c r="G82" s="29">
        <v>39</v>
      </c>
      <c r="H82" s="28" t="s">
        <v>1229</v>
      </c>
      <c r="I82" s="27" t="s">
        <v>82</v>
      </c>
      <c r="J82" s="31" t="s">
        <v>40</v>
      </c>
      <c r="K82" s="27" t="s">
        <v>154</v>
      </c>
      <c r="L82" s="27" t="s">
        <v>155</v>
      </c>
      <c r="M82" s="32" t="str">
        <f>HYPERLINK("http://slimages.macys.com/is/image/MCY/3781182 ")</f>
        <v xml:space="preserve">http://slimages.macys.com/is/image/MCY/3781182 </v>
      </c>
    </row>
    <row r="83" spans="1:13" ht="15.2" customHeight="1" x14ac:dyDescent="0.2">
      <c r="A83" s="26" t="s">
        <v>6187</v>
      </c>
      <c r="B83" s="27" t="s">
        <v>6188</v>
      </c>
      <c r="C83" s="28">
        <v>1</v>
      </c>
      <c r="D83" s="29">
        <v>12</v>
      </c>
      <c r="E83" s="29">
        <v>12</v>
      </c>
      <c r="F83" s="30">
        <v>39</v>
      </c>
      <c r="G83" s="29">
        <v>39</v>
      </c>
      <c r="H83" s="28" t="s">
        <v>6189</v>
      </c>
      <c r="I83" s="27"/>
      <c r="J83" s="31" t="s">
        <v>5</v>
      </c>
      <c r="K83" s="27" t="s">
        <v>154</v>
      </c>
      <c r="L83" s="27" t="s">
        <v>155</v>
      </c>
      <c r="M83" s="32" t="str">
        <f>HYPERLINK("http://slimages.macys.com/is/image/MCY/3718973 ")</f>
        <v xml:space="preserve">http://slimages.macys.com/is/image/MCY/3718973 </v>
      </c>
    </row>
    <row r="84" spans="1:13" ht="15.2" customHeight="1" x14ac:dyDescent="0.2">
      <c r="A84" s="26" t="s">
        <v>6190</v>
      </c>
      <c r="B84" s="27" t="s">
        <v>6191</v>
      </c>
      <c r="C84" s="28">
        <v>1</v>
      </c>
      <c r="D84" s="29">
        <v>12</v>
      </c>
      <c r="E84" s="29">
        <v>12</v>
      </c>
      <c r="F84" s="30">
        <v>25.99</v>
      </c>
      <c r="G84" s="29">
        <v>25.99</v>
      </c>
      <c r="H84" s="28" t="s">
        <v>209</v>
      </c>
      <c r="I84" s="27" t="s">
        <v>29</v>
      </c>
      <c r="J84" s="31" t="s">
        <v>234</v>
      </c>
      <c r="K84" s="27" t="s">
        <v>200</v>
      </c>
      <c r="L84" s="27" t="s">
        <v>133</v>
      </c>
      <c r="M84" s="32" t="str">
        <f>HYPERLINK("http://slimages.macys.com/is/image/MCY/2877996 ")</f>
        <v xml:space="preserve">http://slimages.macys.com/is/image/MCY/2877996 </v>
      </c>
    </row>
    <row r="85" spans="1:13" ht="15.2" customHeight="1" x14ac:dyDescent="0.2">
      <c r="A85" s="26" t="s">
        <v>1801</v>
      </c>
      <c r="B85" s="27" t="s">
        <v>1802</v>
      </c>
      <c r="C85" s="28">
        <v>1</v>
      </c>
      <c r="D85" s="29">
        <v>11.95</v>
      </c>
      <c r="E85" s="29">
        <v>11.95</v>
      </c>
      <c r="F85" s="30">
        <v>29.99</v>
      </c>
      <c r="G85" s="29">
        <v>29.99</v>
      </c>
      <c r="H85" s="28" t="s">
        <v>1803</v>
      </c>
      <c r="I85" s="27" t="s">
        <v>29</v>
      </c>
      <c r="J85" s="31" t="s">
        <v>214</v>
      </c>
      <c r="K85" s="27" t="s">
        <v>200</v>
      </c>
      <c r="L85" s="27" t="s">
        <v>201</v>
      </c>
      <c r="M85" s="32" t="str">
        <f>HYPERLINK("http://slimages.macys.com/is/image/MCY/3825657 ")</f>
        <v xml:space="preserve">http://slimages.macys.com/is/image/MCY/3825657 </v>
      </c>
    </row>
    <row r="86" spans="1:13" ht="15.2" customHeight="1" x14ac:dyDescent="0.2">
      <c r="A86" s="26" t="s">
        <v>4757</v>
      </c>
      <c r="B86" s="27" t="s">
        <v>4758</v>
      </c>
      <c r="C86" s="28">
        <v>1</v>
      </c>
      <c r="D86" s="29">
        <v>11.89</v>
      </c>
      <c r="E86" s="29">
        <v>11.89</v>
      </c>
      <c r="F86" s="30">
        <v>27.99</v>
      </c>
      <c r="G86" s="29">
        <v>27.99</v>
      </c>
      <c r="H86" s="28" t="s">
        <v>778</v>
      </c>
      <c r="I86" s="27" t="s">
        <v>280</v>
      </c>
      <c r="J86" s="31" t="s">
        <v>40</v>
      </c>
      <c r="K86" s="27" t="s">
        <v>224</v>
      </c>
      <c r="L86" s="27" t="s">
        <v>237</v>
      </c>
      <c r="M86" s="32" t="str">
        <f>HYPERLINK("http://slimages.macys.com/is/image/MCY/3910851 ")</f>
        <v xml:space="preserve">http://slimages.macys.com/is/image/MCY/3910851 </v>
      </c>
    </row>
    <row r="87" spans="1:13" ht="15.2" customHeight="1" x14ac:dyDescent="0.2">
      <c r="A87" s="26" t="s">
        <v>1244</v>
      </c>
      <c r="B87" s="27" t="s">
        <v>1245</v>
      </c>
      <c r="C87" s="28">
        <v>1</v>
      </c>
      <c r="D87" s="29">
        <v>11.89</v>
      </c>
      <c r="E87" s="29">
        <v>11.89</v>
      </c>
      <c r="F87" s="30">
        <v>27.99</v>
      </c>
      <c r="G87" s="29">
        <v>27.99</v>
      </c>
      <c r="H87" s="28" t="s">
        <v>778</v>
      </c>
      <c r="I87" s="27" t="s">
        <v>238</v>
      </c>
      <c r="J87" s="31" t="s">
        <v>21</v>
      </c>
      <c r="K87" s="27" t="s">
        <v>224</v>
      </c>
      <c r="L87" s="27" t="s">
        <v>237</v>
      </c>
      <c r="M87" s="32" t="str">
        <f>HYPERLINK("http://slimages.macys.com/is/image/MCY/3910851 ")</f>
        <v xml:space="preserve">http://slimages.macys.com/is/image/MCY/3910851 </v>
      </c>
    </row>
    <row r="88" spans="1:13" ht="15.2" customHeight="1" x14ac:dyDescent="0.2">
      <c r="A88" s="26" t="s">
        <v>4208</v>
      </c>
      <c r="B88" s="27" t="s">
        <v>4209</v>
      </c>
      <c r="C88" s="28">
        <v>2</v>
      </c>
      <c r="D88" s="29">
        <v>11.89</v>
      </c>
      <c r="E88" s="29">
        <v>23.78</v>
      </c>
      <c r="F88" s="30">
        <v>27.99</v>
      </c>
      <c r="G88" s="29">
        <v>55.98</v>
      </c>
      <c r="H88" s="28" t="s">
        <v>778</v>
      </c>
      <c r="I88" s="27" t="s">
        <v>29</v>
      </c>
      <c r="J88" s="31" t="s">
        <v>21</v>
      </c>
      <c r="K88" s="27" t="s">
        <v>224</v>
      </c>
      <c r="L88" s="27" t="s">
        <v>237</v>
      </c>
      <c r="M88" s="32" t="str">
        <f>HYPERLINK("http://slimages.macys.com/is/image/MCY/3910851 ")</f>
        <v xml:space="preserve">http://slimages.macys.com/is/image/MCY/3910851 </v>
      </c>
    </row>
    <row r="89" spans="1:13" ht="15.2" customHeight="1" x14ac:dyDescent="0.2">
      <c r="A89" s="26" t="s">
        <v>4210</v>
      </c>
      <c r="B89" s="27" t="s">
        <v>4211</v>
      </c>
      <c r="C89" s="28">
        <v>1</v>
      </c>
      <c r="D89" s="29">
        <v>11.89</v>
      </c>
      <c r="E89" s="29">
        <v>11.89</v>
      </c>
      <c r="F89" s="30">
        <v>27.99</v>
      </c>
      <c r="G89" s="29">
        <v>27.99</v>
      </c>
      <c r="H89" s="28" t="s">
        <v>778</v>
      </c>
      <c r="I89" s="27" t="s">
        <v>4</v>
      </c>
      <c r="J89" s="31" t="s">
        <v>21</v>
      </c>
      <c r="K89" s="27" t="s">
        <v>224</v>
      </c>
      <c r="L89" s="27" t="s">
        <v>237</v>
      </c>
      <c r="M89" s="32" t="str">
        <f>HYPERLINK("http://slimages.macys.com/is/image/MCY/3910851 ")</f>
        <v xml:space="preserve">http://slimages.macys.com/is/image/MCY/3910851 </v>
      </c>
    </row>
    <row r="90" spans="1:13" ht="15.2" customHeight="1" x14ac:dyDescent="0.2">
      <c r="A90" s="26" t="s">
        <v>6192</v>
      </c>
      <c r="B90" s="27" t="s">
        <v>6193</v>
      </c>
      <c r="C90" s="28">
        <v>1</v>
      </c>
      <c r="D90" s="29">
        <v>11.8</v>
      </c>
      <c r="E90" s="29">
        <v>11.8</v>
      </c>
      <c r="F90" s="30">
        <v>39</v>
      </c>
      <c r="G90" s="29">
        <v>39</v>
      </c>
      <c r="H90" s="28" t="s">
        <v>4824</v>
      </c>
      <c r="I90" s="27" t="s">
        <v>4</v>
      </c>
      <c r="J90" s="31" t="s">
        <v>5</v>
      </c>
      <c r="K90" s="27" t="s">
        <v>42</v>
      </c>
      <c r="L90" s="27" t="s">
        <v>43</v>
      </c>
      <c r="M90" s="32" t="str">
        <f>HYPERLINK("http://slimages.macys.com/is/image/MCY/3777289 ")</f>
        <v xml:space="preserve">http://slimages.macys.com/is/image/MCY/3777289 </v>
      </c>
    </row>
    <row r="91" spans="1:13" ht="15.2" customHeight="1" x14ac:dyDescent="0.2">
      <c r="A91" s="26" t="s">
        <v>5536</v>
      </c>
      <c r="B91" s="27" t="s">
        <v>5537</v>
      </c>
      <c r="C91" s="28">
        <v>1</v>
      </c>
      <c r="D91" s="29">
        <v>11.65</v>
      </c>
      <c r="E91" s="29">
        <v>11.65</v>
      </c>
      <c r="F91" s="30">
        <v>27.99</v>
      </c>
      <c r="G91" s="29">
        <v>27.99</v>
      </c>
      <c r="H91" s="28" t="s">
        <v>1256</v>
      </c>
      <c r="I91" s="27" t="s">
        <v>36</v>
      </c>
      <c r="J91" s="31" t="s">
        <v>71</v>
      </c>
      <c r="K91" s="27" t="s">
        <v>159</v>
      </c>
      <c r="L91" s="27" t="s">
        <v>160</v>
      </c>
      <c r="M91" s="32" t="str">
        <f>HYPERLINK("http://slimages.macys.com/is/image/MCY/3870613 ")</f>
        <v xml:space="preserve">http://slimages.macys.com/is/image/MCY/3870613 </v>
      </c>
    </row>
    <row r="92" spans="1:13" ht="15.2" customHeight="1" x14ac:dyDescent="0.2">
      <c r="A92" s="26" t="s">
        <v>6194</v>
      </c>
      <c r="B92" s="27" t="s">
        <v>6195</v>
      </c>
      <c r="C92" s="28">
        <v>1</v>
      </c>
      <c r="D92" s="29">
        <v>11.5</v>
      </c>
      <c r="E92" s="29">
        <v>11.5</v>
      </c>
      <c r="F92" s="30">
        <v>29.99</v>
      </c>
      <c r="G92" s="29">
        <v>29.99</v>
      </c>
      <c r="H92" s="28" t="s">
        <v>220</v>
      </c>
      <c r="I92" s="27" t="s">
        <v>189</v>
      </c>
      <c r="J92" s="31" t="s">
        <v>210</v>
      </c>
      <c r="K92" s="27" t="s">
        <v>200</v>
      </c>
      <c r="L92" s="27" t="s">
        <v>201</v>
      </c>
      <c r="M92" s="32" t="str">
        <f>HYPERLINK("http://slimages.macys.com/is/image/MCY/3899641 ")</f>
        <v xml:space="preserve">http://slimages.macys.com/is/image/MCY/3899641 </v>
      </c>
    </row>
    <row r="93" spans="1:13" ht="15.2" customHeight="1" x14ac:dyDescent="0.2">
      <c r="A93" s="26" t="s">
        <v>6196</v>
      </c>
      <c r="B93" s="27" t="s">
        <v>6197</v>
      </c>
      <c r="C93" s="28">
        <v>1</v>
      </c>
      <c r="D93" s="29">
        <v>11.5</v>
      </c>
      <c r="E93" s="29">
        <v>11.5</v>
      </c>
      <c r="F93" s="30">
        <v>39</v>
      </c>
      <c r="G93" s="29">
        <v>39</v>
      </c>
      <c r="H93" s="28" t="s">
        <v>781</v>
      </c>
      <c r="I93" s="27" t="s">
        <v>4</v>
      </c>
      <c r="J93" s="31" t="s">
        <v>40</v>
      </c>
      <c r="K93" s="27" t="s">
        <v>154</v>
      </c>
      <c r="L93" s="27" t="s">
        <v>155</v>
      </c>
      <c r="M93" s="32" t="str">
        <f>HYPERLINK("http://slimages.macys.com/is/image/MCY/3907587 ")</f>
        <v xml:space="preserve">http://slimages.macys.com/is/image/MCY/3907587 </v>
      </c>
    </row>
    <row r="94" spans="1:13" ht="15.2" customHeight="1" x14ac:dyDescent="0.2">
      <c r="A94" s="26" t="s">
        <v>6198</v>
      </c>
      <c r="B94" s="27" t="s">
        <v>6199</v>
      </c>
      <c r="C94" s="28">
        <v>1</v>
      </c>
      <c r="D94" s="29">
        <v>11.5</v>
      </c>
      <c r="E94" s="29">
        <v>11.5</v>
      </c>
      <c r="F94" s="30">
        <v>39</v>
      </c>
      <c r="G94" s="29">
        <v>39</v>
      </c>
      <c r="H94" s="28" t="s">
        <v>6200</v>
      </c>
      <c r="I94" s="27" t="s">
        <v>82</v>
      </c>
      <c r="J94" s="31" t="s">
        <v>65</v>
      </c>
      <c r="K94" s="27" t="s">
        <v>154</v>
      </c>
      <c r="L94" s="27" t="s">
        <v>155</v>
      </c>
      <c r="M94" s="32" t="str">
        <f>HYPERLINK("http://slimages.macys.com/is/image/MCY/3912606 ")</f>
        <v xml:space="preserve">http://slimages.macys.com/is/image/MCY/3912606 </v>
      </c>
    </row>
    <row r="95" spans="1:13" ht="15.2" customHeight="1" x14ac:dyDescent="0.2">
      <c r="A95" s="26" t="s">
        <v>6201</v>
      </c>
      <c r="B95" s="27" t="s">
        <v>6202</v>
      </c>
      <c r="C95" s="28">
        <v>1</v>
      </c>
      <c r="D95" s="29">
        <v>11.5</v>
      </c>
      <c r="E95" s="29">
        <v>11.5</v>
      </c>
      <c r="F95" s="30">
        <v>27.99</v>
      </c>
      <c r="G95" s="29">
        <v>27.99</v>
      </c>
      <c r="H95" s="28" t="s">
        <v>223</v>
      </c>
      <c r="I95" s="27" t="s">
        <v>59</v>
      </c>
      <c r="J95" s="31" t="s">
        <v>71</v>
      </c>
      <c r="K95" s="27" t="s">
        <v>224</v>
      </c>
      <c r="L95" s="27" t="s">
        <v>225</v>
      </c>
      <c r="M95" s="32" t="str">
        <f>HYPERLINK("http://slimages.macys.com/is/image/MCY/3777812 ")</f>
        <v xml:space="preserve">http://slimages.macys.com/is/image/MCY/3777812 </v>
      </c>
    </row>
    <row r="96" spans="1:13" ht="15.2" customHeight="1" x14ac:dyDescent="0.2">
      <c r="A96" s="26" t="s">
        <v>6203</v>
      </c>
      <c r="B96" s="27" t="s">
        <v>6204</v>
      </c>
      <c r="C96" s="28">
        <v>1</v>
      </c>
      <c r="D96" s="29">
        <v>11.5</v>
      </c>
      <c r="E96" s="29">
        <v>11.5</v>
      </c>
      <c r="F96" s="30">
        <v>22.99</v>
      </c>
      <c r="G96" s="29">
        <v>22.99</v>
      </c>
      <c r="H96" s="28" t="s">
        <v>4212</v>
      </c>
      <c r="I96" s="27" t="s">
        <v>8</v>
      </c>
      <c r="J96" s="31" t="s">
        <v>52</v>
      </c>
      <c r="K96" s="27" t="s">
        <v>200</v>
      </c>
      <c r="L96" s="27" t="s">
        <v>552</v>
      </c>
      <c r="M96" s="32" t="str">
        <f>HYPERLINK("http://slimages.macys.com/is/image/MCY/3954124 ")</f>
        <v xml:space="preserve">http://slimages.macys.com/is/image/MCY/3954124 </v>
      </c>
    </row>
    <row r="97" spans="1:13" ht="15.2" customHeight="1" x14ac:dyDescent="0.2">
      <c r="A97" s="26" t="s">
        <v>3290</v>
      </c>
      <c r="B97" s="27" t="s">
        <v>3291</v>
      </c>
      <c r="C97" s="28">
        <v>1</v>
      </c>
      <c r="D97" s="29">
        <v>11.5</v>
      </c>
      <c r="E97" s="29">
        <v>11.5</v>
      </c>
      <c r="F97" s="30">
        <v>29.99</v>
      </c>
      <c r="G97" s="29">
        <v>29.99</v>
      </c>
      <c r="H97" s="28" t="s">
        <v>233</v>
      </c>
      <c r="I97" s="27" t="s">
        <v>4</v>
      </c>
      <c r="J97" s="31" t="s">
        <v>214</v>
      </c>
      <c r="K97" s="27" t="s">
        <v>200</v>
      </c>
      <c r="L97" s="27" t="s">
        <v>201</v>
      </c>
      <c r="M97" s="32" t="str">
        <f>HYPERLINK("http://slimages.macys.com/is/image/MCY/3899544 ")</f>
        <v xml:space="preserve">http://slimages.macys.com/is/image/MCY/3899544 </v>
      </c>
    </row>
    <row r="98" spans="1:13" ht="15.2" customHeight="1" x14ac:dyDescent="0.2">
      <c r="A98" s="26" t="s">
        <v>6205</v>
      </c>
      <c r="B98" s="27" t="s">
        <v>6206</v>
      </c>
      <c r="C98" s="28">
        <v>1</v>
      </c>
      <c r="D98" s="29">
        <v>11.25</v>
      </c>
      <c r="E98" s="29">
        <v>11.25</v>
      </c>
      <c r="F98" s="30">
        <v>25.99</v>
      </c>
      <c r="G98" s="29">
        <v>25.99</v>
      </c>
      <c r="H98" s="28" t="s">
        <v>5538</v>
      </c>
      <c r="I98" s="27" t="s">
        <v>4</v>
      </c>
      <c r="J98" s="31" t="s">
        <v>23</v>
      </c>
      <c r="K98" s="27" t="s">
        <v>200</v>
      </c>
      <c r="L98" s="27" t="s">
        <v>552</v>
      </c>
      <c r="M98" s="32" t="str">
        <f>HYPERLINK("http://slimages.macys.com/is/image/MCY/3755250 ")</f>
        <v xml:space="preserve">http://slimages.macys.com/is/image/MCY/3755250 </v>
      </c>
    </row>
    <row r="99" spans="1:13" ht="15.2" customHeight="1" x14ac:dyDescent="0.2">
      <c r="A99" s="26" t="s">
        <v>6207</v>
      </c>
      <c r="B99" s="27" t="s">
        <v>6208</v>
      </c>
      <c r="C99" s="28">
        <v>1</v>
      </c>
      <c r="D99" s="29">
        <v>10.76</v>
      </c>
      <c r="E99" s="29">
        <v>10.76</v>
      </c>
      <c r="F99" s="30">
        <v>29.5</v>
      </c>
      <c r="G99" s="29">
        <v>29.5</v>
      </c>
      <c r="H99" s="28" t="s">
        <v>3304</v>
      </c>
      <c r="I99" s="27" t="s">
        <v>22</v>
      </c>
      <c r="J99" s="31" t="s">
        <v>71</v>
      </c>
      <c r="K99" s="27" t="s">
        <v>41</v>
      </c>
      <c r="L99" s="27" t="s">
        <v>45</v>
      </c>
      <c r="M99" s="32" t="str">
        <f>HYPERLINK("http://slimages.macys.com/is/image/MCY/3700884 ")</f>
        <v xml:space="preserve">http://slimages.macys.com/is/image/MCY/3700884 </v>
      </c>
    </row>
    <row r="100" spans="1:13" ht="15.2" customHeight="1" x14ac:dyDescent="0.2">
      <c r="A100" s="26" t="s">
        <v>6209</v>
      </c>
      <c r="B100" s="27" t="s">
        <v>6210</v>
      </c>
      <c r="C100" s="28">
        <v>1</v>
      </c>
      <c r="D100" s="29">
        <v>10.6</v>
      </c>
      <c r="E100" s="29">
        <v>10.6</v>
      </c>
      <c r="F100" s="30">
        <v>24.99</v>
      </c>
      <c r="G100" s="29">
        <v>24.99</v>
      </c>
      <c r="H100" s="28" t="s">
        <v>2617</v>
      </c>
      <c r="I100" s="27" t="s">
        <v>280</v>
      </c>
      <c r="J100" s="31" t="s">
        <v>52</v>
      </c>
      <c r="K100" s="27" t="s">
        <v>208</v>
      </c>
      <c r="L100" s="27" t="s">
        <v>197</v>
      </c>
      <c r="M100" s="32" t="str">
        <f>HYPERLINK("http://slimages.macys.com/is/image/MCY/3832165 ")</f>
        <v xml:space="preserve">http://slimages.macys.com/is/image/MCY/3832165 </v>
      </c>
    </row>
    <row r="101" spans="1:13" ht="15.2" customHeight="1" x14ac:dyDescent="0.2">
      <c r="A101" s="26" t="s">
        <v>245</v>
      </c>
      <c r="B101" s="27" t="s">
        <v>246</v>
      </c>
      <c r="C101" s="28">
        <v>1</v>
      </c>
      <c r="D101" s="29">
        <v>10.6</v>
      </c>
      <c r="E101" s="29">
        <v>10.6</v>
      </c>
      <c r="F101" s="30">
        <v>24.99</v>
      </c>
      <c r="G101" s="29">
        <v>24.99</v>
      </c>
      <c r="H101" s="28" t="s">
        <v>247</v>
      </c>
      <c r="I101" s="27" t="s">
        <v>248</v>
      </c>
      <c r="J101" s="31" t="s">
        <v>5</v>
      </c>
      <c r="K101" s="27" t="s">
        <v>208</v>
      </c>
      <c r="L101" s="27" t="s">
        <v>197</v>
      </c>
      <c r="M101" s="32" t="str">
        <f>HYPERLINK("http://slimages.macys.com/is/image/MCY/3899669 ")</f>
        <v xml:space="preserve">http://slimages.macys.com/is/image/MCY/3899669 </v>
      </c>
    </row>
    <row r="102" spans="1:13" ht="15.2" customHeight="1" x14ac:dyDescent="0.2">
      <c r="A102" s="26" t="s">
        <v>4462</v>
      </c>
      <c r="B102" s="27" t="s">
        <v>4463</v>
      </c>
      <c r="C102" s="28">
        <v>1</v>
      </c>
      <c r="D102" s="29">
        <v>10.5</v>
      </c>
      <c r="E102" s="29">
        <v>10.5</v>
      </c>
      <c r="F102" s="30">
        <v>24.99</v>
      </c>
      <c r="G102" s="29">
        <v>24.99</v>
      </c>
      <c r="H102" s="28" t="s">
        <v>259</v>
      </c>
      <c r="I102" s="27" t="s">
        <v>39</v>
      </c>
      <c r="J102" s="31" t="s">
        <v>5</v>
      </c>
      <c r="K102" s="27" t="s">
        <v>224</v>
      </c>
      <c r="L102" s="27" t="s">
        <v>260</v>
      </c>
      <c r="M102" s="32" t="str">
        <f>HYPERLINK("http://slimages.macys.com/is/image/MCY/3832935 ")</f>
        <v xml:space="preserve">http://slimages.macys.com/is/image/MCY/3832935 </v>
      </c>
    </row>
    <row r="103" spans="1:13" ht="15.2" customHeight="1" x14ac:dyDescent="0.2">
      <c r="A103" s="26" t="s">
        <v>1301</v>
      </c>
      <c r="B103" s="27" t="s">
        <v>1302</v>
      </c>
      <c r="C103" s="28">
        <v>1</v>
      </c>
      <c r="D103" s="29">
        <v>10.5</v>
      </c>
      <c r="E103" s="29">
        <v>10.5</v>
      </c>
      <c r="F103" s="30">
        <v>27.99</v>
      </c>
      <c r="G103" s="29">
        <v>27.99</v>
      </c>
      <c r="H103" s="28" t="s">
        <v>790</v>
      </c>
      <c r="I103" s="27" t="s">
        <v>189</v>
      </c>
      <c r="J103" s="31" t="s">
        <v>5</v>
      </c>
      <c r="K103" s="27" t="s">
        <v>224</v>
      </c>
      <c r="L103" s="27" t="s">
        <v>239</v>
      </c>
      <c r="M103" s="32" t="str">
        <f>HYPERLINK("http://slimages.macys.com/is/image/MCY/3910853 ")</f>
        <v xml:space="preserve">http://slimages.macys.com/is/image/MCY/3910853 </v>
      </c>
    </row>
    <row r="104" spans="1:13" ht="15.2" customHeight="1" x14ac:dyDescent="0.2">
      <c r="A104" s="26" t="s">
        <v>6211</v>
      </c>
      <c r="B104" s="27" t="s">
        <v>6212</v>
      </c>
      <c r="C104" s="28">
        <v>1</v>
      </c>
      <c r="D104" s="29">
        <v>10.49</v>
      </c>
      <c r="E104" s="29">
        <v>10.49</v>
      </c>
      <c r="F104" s="30">
        <v>29.5</v>
      </c>
      <c r="G104" s="29">
        <v>29.5</v>
      </c>
      <c r="H104" s="28" t="s">
        <v>261</v>
      </c>
      <c r="I104" s="27" t="s">
        <v>26</v>
      </c>
      <c r="J104" s="31" t="s">
        <v>21</v>
      </c>
      <c r="K104" s="27" t="s">
        <v>53</v>
      </c>
      <c r="L104" s="27" t="s">
        <v>165</v>
      </c>
      <c r="M104" s="32" t="str">
        <f>HYPERLINK("http://slimages.macys.com/is/image/MCY/3789872 ")</f>
        <v xml:space="preserve">http://slimages.macys.com/is/image/MCY/3789872 </v>
      </c>
    </row>
    <row r="105" spans="1:13" ht="15.2" customHeight="1" x14ac:dyDescent="0.2">
      <c r="A105" s="26" t="s">
        <v>2626</v>
      </c>
      <c r="B105" s="27" t="s">
        <v>2627</v>
      </c>
      <c r="C105" s="28">
        <v>1</v>
      </c>
      <c r="D105" s="29">
        <v>10.49</v>
      </c>
      <c r="E105" s="29">
        <v>10.49</v>
      </c>
      <c r="F105" s="30">
        <v>29.5</v>
      </c>
      <c r="G105" s="29">
        <v>29.5</v>
      </c>
      <c r="H105" s="28" t="s">
        <v>261</v>
      </c>
      <c r="I105" s="27" t="s">
        <v>4</v>
      </c>
      <c r="J105" s="31" t="s">
        <v>40</v>
      </c>
      <c r="K105" s="27" t="s">
        <v>53</v>
      </c>
      <c r="L105" s="27" t="s">
        <v>165</v>
      </c>
      <c r="M105" s="32" t="str">
        <f>HYPERLINK("http://slimages.macys.com/is/image/MCY/3789872 ")</f>
        <v xml:space="preserve">http://slimages.macys.com/is/image/MCY/3789872 </v>
      </c>
    </row>
    <row r="106" spans="1:13" ht="15.2" customHeight="1" x14ac:dyDescent="0.2">
      <c r="A106" s="26" t="s">
        <v>1317</v>
      </c>
      <c r="B106" s="27" t="s">
        <v>1318</v>
      </c>
      <c r="C106" s="28">
        <v>1</v>
      </c>
      <c r="D106" s="29">
        <v>10.49</v>
      </c>
      <c r="E106" s="29">
        <v>10.49</v>
      </c>
      <c r="F106" s="30">
        <v>29.5</v>
      </c>
      <c r="G106" s="29">
        <v>29.5</v>
      </c>
      <c r="H106" s="28" t="s">
        <v>261</v>
      </c>
      <c r="I106" s="27" t="s">
        <v>4</v>
      </c>
      <c r="J106" s="31" t="s">
        <v>5</v>
      </c>
      <c r="K106" s="27" t="s">
        <v>53</v>
      </c>
      <c r="L106" s="27" t="s">
        <v>165</v>
      </c>
      <c r="M106" s="32" t="str">
        <f>HYPERLINK("http://slimages.macys.com/is/image/MCY/3789872 ")</f>
        <v xml:space="preserve">http://slimages.macys.com/is/image/MCY/3789872 </v>
      </c>
    </row>
    <row r="107" spans="1:13" ht="15.2" customHeight="1" x14ac:dyDescent="0.2">
      <c r="A107" s="26" t="s">
        <v>4216</v>
      </c>
      <c r="B107" s="27" t="s">
        <v>4217</v>
      </c>
      <c r="C107" s="28">
        <v>1</v>
      </c>
      <c r="D107" s="29">
        <v>10.49</v>
      </c>
      <c r="E107" s="29">
        <v>10.49</v>
      </c>
      <c r="F107" s="30">
        <v>29.5</v>
      </c>
      <c r="G107" s="29">
        <v>29.5</v>
      </c>
      <c r="H107" s="28" t="s">
        <v>261</v>
      </c>
      <c r="I107" s="27" t="s">
        <v>4</v>
      </c>
      <c r="J107" s="31" t="s">
        <v>71</v>
      </c>
      <c r="K107" s="27" t="s">
        <v>53</v>
      </c>
      <c r="L107" s="27" t="s">
        <v>165</v>
      </c>
      <c r="M107" s="32" t="str">
        <f>HYPERLINK("http://slimages.macys.com/is/image/MCY/3789872 ")</f>
        <v xml:space="preserve">http://slimages.macys.com/is/image/MCY/3789872 </v>
      </c>
    </row>
    <row r="108" spans="1:13" ht="15.2" customHeight="1" x14ac:dyDescent="0.2">
      <c r="A108" s="26" t="s">
        <v>5050</v>
      </c>
      <c r="B108" s="27" t="s">
        <v>5051</v>
      </c>
      <c r="C108" s="28">
        <v>1</v>
      </c>
      <c r="D108" s="29">
        <v>10.49</v>
      </c>
      <c r="E108" s="29">
        <v>10.49</v>
      </c>
      <c r="F108" s="30">
        <v>29.5</v>
      </c>
      <c r="G108" s="29">
        <v>29.5</v>
      </c>
      <c r="H108" s="28" t="s">
        <v>261</v>
      </c>
      <c r="I108" s="27" t="s">
        <v>26</v>
      </c>
      <c r="J108" s="31" t="s">
        <v>5</v>
      </c>
      <c r="K108" s="27" t="s">
        <v>53</v>
      </c>
      <c r="L108" s="27" t="s">
        <v>165</v>
      </c>
      <c r="M108" s="32" t="str">
        <f>HYPERLINK("http://slimages.macys.com/is/image/MCY/3789872 ")</f>
        <v xml:space="preserve">http://slimages.macys.com/is/image/MCY/3789872 </v>
      </c>
    </row>
    <row r="109" spans="1:13" ht="15.2" customHeight="1" x14ac:dyDescent="0.2">
      <c r="A109" s="26" t="s">
        <v>2630</v>
      </c>
      <c r="B109" s="27" t="s">
        <v>2631</v>
      </c>
      <c r="C109" s="28">
        <v>1</v>
      </c>
      <c r="D109" s="29">
        <v>10.4</v>
      </c>
      <c r="E109" s="29">
        <v>10.4</v>
      </c>
      <c r="F109" s="30">
        <v>24.99</v>
      </c>
      <c r="G109" s="29">
        <v>24.99</v>
      </c>
      <c r="H109" s="28" t="s">
        <v>264</v>
      </c>
      <c r="I109" s="27" t="s">
        <v>248</v>
      </c>
      <c r="J109" s="31" t="s">
        <v>21</v>
      </c>
      <c r="K109" s="27" t="s">
        <v>208</v>
      </c>
      <c r="L109" s="27" t="s">
        <v>197</v>
      </c>
      <c r="M109" s="32" t="str">
        <f>HYPERLINK("http://slimages.macys.com/is/image/MCY/3883081 ")</f>
        <v xml:space="preserve">http://slimages.macys.com/is/image/MCY/3883081 </v>
      </c>
    </row>
    <row r="110" spans="1:13" ht="15.2" customHeight="1" x14ac:dyDescent="0.2">
      <c r="A110" s="26" t="s">
        <v>2628</v>
      </c>
      <c r="B110" s="27" t="s">
        <v>2629</v>
      </c>
      <c r="C110" s="28">
        <v>1</v>
      </c>
      <c r="D110" s="29">
        <v>10.4</v>
      </c>
      <c r="E110" s="29">
        <v>10.4</v>
      </c>
      <c r="F110" s="30">
        <v>24.99</v>
      </c>
      <c r="G110" s="29">
        <v>24.99</v>
      </c>
      <c r="H110" s="28" t="s">
        <v>264</v>
      </c>
      <c r="I110" s="27" t="s">
        <v>248</v>
      </c>
      <c r="J110" s="31" t="s">
        <v>5</v>
      </c>
      <c r="K110" s="27" t="s">
        <v>208</v>
      </c>
      <c r="L110" s="27" t="s">
        <v>197</v>
      </c>
      <c r="M110" s="32" t="str">
        <f>HYPERLINK("http://slimages.macys.com/is/image/MCY/3883081 ")</f>
        <v xml:space="preserve">http://slimages.macys.com/is/image/MCY/3883081 </v>
      </c>
    </row>
    <row r="111" spans="1:13" ht="15.2" customHeight="1" x14ac:dyDescent="0.2">
      <c r="A111" s="26" t="s">
        <v>6213</v>
      </c>
      <c r="B111" s="27" t="s">
        <v>6214</v>
      </c>
      <c r="C111" s="28">
        <v>1</v>
      </c>
      <c r="D111" s="29">
        <v>10.199999999999999</v>
      </c>
      <c r="E111" s="29">
        <v>10.199999999999999</v>
      </c>
      <c r="F111" s="30">
        <v>22.99</v>
      </c>
      <c r="G111" s="29">
        <v>22.99</v>
      </c>
      <c r="H111" s="28" t="s">
        <v>794</v>
      </c>
      <c r="I111" s="27" t="s">
        <v>36</v>
      </c>
      <c r="J111" s="31" t="s">
        <v>5</v>
      </c>
      <c r="K111" s="27" t="s">
        <v>208</v>
      </c>
      <c r="L111" s="27" t="s">
        <v>197</v>
      </c>
      <c r="M111" s="32" t="str">
        <f>HYPERLINK("http://slimages.macys.com/is/image/MCY/3732584 ")</f>
        <v xml:space="preserve">http://slimages.macys.com/is/image/MCY/3732584 </v>
      </c>
    </row>
    <row r="112" spans="1:13" ht="15.2" customHeight="1" x14ac:dyDescent="0.2">
      <c r="A112" s="26" t="s">
        <v>4218</v>
      </c>
      <c r="B112" s="27" t="s">
        <v>4219</v>
      </c>
      <c r="C112" s="28">
        <v>1</v>
      </c>
      <c r="D112" s="29">
        <v>10</v>
      </c>
      <c r="E112" s="29">
        <v>10</v>
      </c>
      <c r="F112" s="30">
        <v>24.99</v>
      </c>
      <c r="G112" s="29">
        <v>24.99</v>
      </c>
      <c r="H112" s="28" t="s">
        <v>270</v>
      </c>
      <c r="I112" s="27" t="s">
        <v>75</v>
      </c>
      <c r="J112" s="31" t="s">
        <v>5</v>
      </c>
      <c r="K112" s="27" t="s">
        <v>224</v>
      </c>
      <c r="L112" s="27" t="s">
        <v>260</v>
      </c>
      <c r="M112" s="32" t="str">
        <f t="shared" ref="M112:M118" si="1">HYPERLINK("http://slimages.macys.com/is/image/MCY/3931167 ")</f>
        <v xml:space="preserve">http://slimages.macys.com/is/image/MCY/3931167 </v>
      </c>
    </row>
    <row r="113" spans="1:13" ht="15.2" customHeight="1" x14ac:dyDescent="0.2">
      <c r="A113" s="26" t="s">
        <v>3843</v>
      </c>
      <c r="B113" s="27" t="s">
        <v>3844</v>
      </c>
      <c r="C113" s="28">
        <v>1</v>
      </c>
      <c r="D113" s="29">
        <v>10</v>
      </c>
      <c r="E113" s="29">
        <v>10</v>
      </c>
      <c r="F113" s="30">
        <v>24.99</v>
      </c>
      <c r="G113" s="29">
        <v>24.99</v>
      </c>
      <c r="H113" s="28" t="s">
        <v>270</v>
      </c>
      <c r="I113" s="27" t="s">
        <v>75</v>
      </c>
      <c r="J113" s="31" t="s">
        <v>40</v>
      </c>
      <c r="K113" s="27" t="s">
        <v>224</v>
      </c>
      <c r="L113" s="27" t="s">
        <v>260</v>
      </c>
      <c r="M113" s="32" t="str">
        <f t="shared" si="1"/>
        <v xml:space="preserve">http://slimages.macys.com/is/image/MCY/3931167 </v>
      </c>
    </row>
    <row r="114" spans="1:13" ht="15.2" customHeight="1" x14ac:dyDescent="0.2">
      <c r="A114" s="26" t="s">
        <v>6215</v>
      </c>
      <c r="B114" s="27" t="s">
        <v>6216</v>
      </c>
      <c r="C114" s="28">
        <v>2</v>
      </c>
      <c r="D114" s="29">
        <v>10</v>
      </c>
      <c r="E114" s="29">
        <v>20</v>
      </c>
      <c r="F114" s="30">
        <v>24.99</v>
      </c>
      <c r="G114" s="29">
        <v>49.98</v>
      </c>
      <c r="H114" s="28" t="s">
        <v>270</v>
      </c>
      <c r="I114" s="27" t="s">
        <v>274</v>
      </c>
      <c r="J114" s="31" t="s">
        <v>21</v>
      </c>
      <c r="K114" s="27" t="s">
        <v>224</v>
      </c>
      <c r="L114" s="27" t="s">
        <v>260</v>
      </c>
      <c r="M114" s="32" t="str">
        <f t="shared" si="1"/>
        <v xml:space="preserve">http://slimages.macys.com/is/image/MCY/3931167 </v>
      </c>
    </row>
    <row r="115" spans="1:13" ht="15.2" customHeight="1" x14ac:dyDescent="0.2">
      <c r="A115" s="26" t="s">
        <v>2915</v>
      </c>
      <c r="B115" s="27" t="s">
        <v>2916</v>
      </c>
      <c r="C115" s="28">
        <v>1</v>
      </c>
      <c r="D115" s="29">
        <v>10</v>
      </c>
      <c r="E115" s="29">
        <v>10</v>
      </c>
      <c r="F115" s="30">
        <v>24.99</v>
      </c>
      <c r="G115" s="29">
        <v>24.99</v>
      </c>
      <c r="H115" s="28" t="s">
        <v>270</v>
      </c>
      <c r="I115" s="27" t="s">
        <v>75</v>
      </c>
      <c r="J115" s="31" t="s">
        <v>71</v>
      </c>
      <c r="K115" s="27" t="s">
        <v>224</v>
      </c>
      <c r="L115" s="27" t="s">
        <v>260</v>
      </c>
      <c r="M115" s="32" t="str">
        <f t="shared" si="1"/>
        <v xml:space="preserve">http://slimages.macys.com/is/image/MCY/3931167 </v>
      </c>
    </row>
    <row r="116" spans="1:13" ht="15.2" customHeight="1" x14ac:dyDescent="0.2">
      <c r="A116" s="26" t="s">
        <v>1322</v>
      </c>
      <c r="B116" s="27" t="s">
        <v>1323</v>
      </c>
      <c r="C116" s="28">
        <v>2</v>
      </c>
      <c r="D116" s="29">
        <v>10</v>
      </c>
      <c r="E116" s="29">
        <v>20</v>
      </c>
      <c r="F116" s="30">
        <v>24.99</v>
      </c>
      <c r="G116" s="29">
        <v>49.98</v>
      </c>
      <c r="H116" s="28" t="s">
        <v>270</v>
      </c>
      <c r="I116" s="27" t="s">
        <v>4</v>
      </c>
      <c r="J116" s="31" t="s">
        <v>5</v>
      </c>
      <c r="K116" s="27" t="s">
        <v>224</v>
      </c>
      <c r="L116" s="27" t="s">
        <v>260</v>
      </c>
      <c r="M116" s="32" t="str">
        <f t="shared" si="1"/>
        <v xml:space="preserve">http://slimages.macys.com/is/image/MCY/3931167 </v>
      </c>
    </row>
    <row r="117" spans="1:13" ht="15.2" customHeight="1" x14ac:dyDescent="0.2">
      <c r="A117" s="26" t="s">
        <v>3342</v>
      </c>
      <c r="B117" s="27" t="s">
        <v>3343</v>
      </c>
      <c r="C117" s="28">
        <v>2</v>
      </c>
      <c r="D117" s="29">
        <v>10</v>
      </c>
      <c r="E117" s="29">
        <v>20</v>
      </c>
      <c r="F117" s="30">
        <v>24.99</v>
      </c>
      <c r="G117" s="29">
        <v>49.98</v>
      </c>
      <c r="H117" s="28" t="s">
        <v>270</v>
      </c>
      <c r="I117" s="27" t="s">
        <v>274</v>
      </c>
      <c r="J117" s="31" t="s">
        <v>5</v>
      </c>
      <c r="K117" s="27" t="s">
        <v>224</v>
      </c>
      <c r="L117" s="27" t="s">
        <v>260</v>
      </c>
      <c r="M117" s="32" t="str">
        <f t="shared" si="1"/>
        <v xml:space="preserve">http://slimages.macys.com/is/image/MCY/3931167 </v>
      </c>
    </row>
    <row r="118" spans="1:13" ht="15.2" customHeight="1" x14ac:dyDescent="0.2">
      <c r="A118" s="26" t="s">
        <v>6087</v>
      </c>
      <c r="B118" s="27" t="s">
        <v>6088</v>
      </c>
      <c r="C118" s="28">
        <v>1</v>
      </c>
      <c r="D118" s="29">
        <v>10</v>
      </c>
      <c r="E118" s="29">
        <v>10</v>
      </c>
      <c r="F118" s="30">
        <v>24.99</v>
      </c>
      <c r="G118" s="29">
        <v>24.99</v>
      </c>
      <c r="H118" s="28" t="s">
        <v>270</v>
      </c>
      <c r="I118" s="27" t="s">
        <v>271</v>
      </c>
      <c r="J118" s="31" t="s">
        <v>21</v>
      </c>
      <c r="K118" s="27" t="s">
        <v>224</v>
      </c>
      <c r="L118" s="27" t="s">
        <v>260</v>
      </c>
      <c r="M118" s="32" t="str">
        <f t="shared" si="1"/>
        <v xml:space="preserve">http://slimages.macys.com/is/image/MCY/3931167 </v>
      </c>
    </row>
    <row r="119" spans="1:13" ht="15.2" customHeight="1" x14ac:dyDescent="0.2">
      <c r="A119" s="26" t="s">
        <v>6217</v>
      </c>
      <c r="B119" s="27" t="s">
        <v>6218</v>
      </c>
      <c r="C119" s="28">
        <v>1</v>
      </c>
      <c r="D119" s="29">
        <v>9.65</v>
      </c>
      <c r="E119" s="29">
        <v>9.65</v>
      </c>
      <c r="F119" s="30">
        <v>27.99</v>
      </c>
      <c r="G119" s="29">
        <v>27.99</v>
      </c>
      <c r="H119" s="28" t="s">
        <v>279</v>
      </c>
      <c r="I119" s="27" t="s">
        <v>280</v>
      </c>
      <c r="J119" s="31" t="s">
        <v>40</v>
      </c>
      <c r="K119" s="27" t="s">
        <v>224</v>
      </c>
      <c r="L119" s="27" t="s">
        <v>237</v>
      </c>
      <c r="M119" s="32" t="str">
        <f>HYPERLINK("http://slimages.macys.com/is/image/MCY/3820978 ")</f>
        <v xml:space="preserve">http://slimages.macys.com/is/image/MCY/3820978 </v>
      </c>
    </row>
    <row r="120" spans="1:13" ht="15.2" customHeight="1" x14ac:dyDescent="0.2">
      <c r="A120" s="26" t="s">
        <v>2920</v>
      </c>
      <c r="B120" s="27" t="s">
        <v>2921</v>
      </c>
      <c r="C120" s="28">
        <v>1</v>
      </c>
      <c r="D120" s="29">
        <v>9.5</v>
      </c>
      <c r="E120" s="29">
        <v>9.5</v>
      </c>
      <c r="F120" s="30">
        <v>24.99</v>
      </c>
      <c r="G120" s="29">
        <v>24.99</v>
      </c>
      <c r="H120" s="28" t="s">
        <v>288</v>
      </c>
      <c r="I120" s="27" t="s">
        <v>66</v>
      </c>
      <c r="J120" s="31" t="s">
        <v>40</v>
      </c>
      <c r="K120" s="27" t="s">
        <v>224</v>
      </c>
      <c r="L120" s="27" t="s">
        <v>239</v>
      </c>
      <c r="M120" s="32" t="str">
        <f>HYPERLINK("http://slimages.macys.com/is/image/MCY/3719840 ")</f>
        <v xml:space="preserve">http://slimages.macys.com/is/image/MCY/3719840 </v>
      </c>
    </row>
    <row r="121" spans="1:13" ht="15.2" customHeight="1" x14ac:dyDescent="0.2">
      <c r="A121" s="26" t="s">
        <v>6219</v>
      </c>
      <c r="B121" s="27" t="s">
        <v>6220</v>
      </c>
      <c r="C121" s="28">
        <v>4</v>
      </c>
      <c r="D121" s="29">
        <v>9.25</v>
      </c>
      <c r="E121" s="29">
        <v>37</v>
      </c>
      <c r="F121" s="30">
        <v>19.989999999999998</v>
      </c>
      <c r="G121" s="29">
        <v>79.959999999999994</v>
      </c>
      <c r="H121" s="28" t="s">
        <v>2934</v>
      </c>
      <c r="I121" s="27" t="s">
        <v>22</v>
      </c>
      <c r="J121" s="31" t="s">
        <v>21</v>
      </c>
      <c r="K121" s="27" t="s">
        <v>282</v>
      </c>
      <c r="L121" s="27" t="s">
        <v>283</v>
      </c>
      <c r="M121" s="32" t="str">
        <f>HYPERLINK("http://slimages.macys.com/is/image/MCY/3875951 ")</f>
        <v xml:space="preserve">http://slimages.macys.com/is/image/MCY/3875951 </v>
      </c>
    </row>
    <row r="122" spans="1:13" ht="15.2" customHeight="1" x14ac:dyDescent="0.2">
      <c r="A122" s="26" t="s">
        <v>2935</v>
      </c>
      <c r="B122" s="27" t="s">
        <v>2936</v>
      </c>
      <c r="C122" s="28">
        <v>2</v>
      </c>
      <c r="D122" s="29">
        <v>9.25</v>
      </c>
      <c r="E122" s="29">
        <v>18.5</v>
      </c>
      <c r="F122" s="30">
        <v>19.989999999999998</v>
      </c>
      <c r="G122" s="29">
        <v>39.979999999999997</v>
      </c>
      <c r="H122" s="28" t="s">
        <v>2934</v>
      </c>
      <c r="I122" s="27" t="s">
        <v>22</v>
      </c>
      <c r="J122" s="31" t="s">
        <v>5</v>
      </c>
      <c r="K122" s="27" t="s">
        <v>282</v>
      </c>
      <c r="L122" s="27" t="s">
        <v>283</v>
      </c>
      <c r="M122" s="32" t="str">
        <f>HYPERLINK("http://slimages.macys.com/is/image/MCY/3875951 ")</f>
        <v xml:space="preserve">http://slimages.macys.com/is/image/MCY/3875951 </v>
      </c>
    </row>
    <row r="123" spans="1:13" ht="15.2" customHeight="1" x14ac:dyDescent="0.2">
      <c r="A123" s="26" t="s">
        <v>2932</v>
      </c>
      <c r="B123" s="27" t="s">
        <v>2933</v>
      </c>
      <c r="C123" s="28">
        <v>1</v>
      </c>
      <c r="D123" s="29">
        <v>9.25</v>
      </c>
      <c r="E123" s="29">
        <v>9.25</v>
      </c>
      <c r="F123" s="30">
        <v>19.989999999999998</v>
      </c>
      <c r="G123" s="29">
        <v>19.989999999999998</v>
      </c>
      <c r="H123" s="28" t="s">
        <v>2934</v>
      </c>
      <c r="I123" s="27" t="s">
        <v>22</v>
      </c>
      <c r="J123" s="31" t="s">
        <v>52</v>
      </c>
      <c r="K123" s="27" t="s">
        <v>282</v>
      </c>
      <c r="L123" s="27" t="s">
        <v>283</v>
      </c>
      <c r="M123" s="32" t="str">
        <f>HYPERLINK("http://slimages.macys.com/is/image/MCY/3875951 ")</f>
        <v xml:space="preserve">http://slimages.macys.com/is/image/MCY/3875951 </v>
      </c>
    </row>
    <row r="124" spans="1:13" ht="15.2" customHeight="1" x14ac:dyDescent="0.2">
      <c r="A124" s="26" t="s">
        <v>6221</v>
      </c>
      <c r="B124" s="27" t="s">
        <v>6222</v>
      </c>
      <c r="C124" s="28">
        <v>1</v>
      </c>
      <c r="D124" s="29">
        <v>9.25</v>
      </c>
      <c r="E124" s="29">
        <v>9.25</v>
      </c>
      <c r="F124" s="30">
        <v>19.989999999999998</v>
      </c>
      <c r="G124" s="29">
        <v>19.989999999999998</v>
      </c>
      <c r="H124" s="28">
        <v>60427717</v>
      </c>
      <c r="I124" s="27" t="s">
        <v>33</v>
      </c>
      <c r="J124" s="31" t="s">
        <v>21</v>
      </c>
      <c r="K124" s="27" t="s">
        <v>208</v>
      </c>
      <c r="L124" s="27" t="s">
        <v>255</v>
      </c>
      <c r="M124" s="32" t="str">
        <f>HYPERLINK("http://slimages.macys.com/is/image/MCY/3503053 ")</f>
        <v xml:space="preserve">http://slimages.macys.com/is/image/MCY/3503053 </v>
      </c>
    </row>
    <row r="125" spans="1:13" ht="15.2" customHeight="1" x14ac:dyDescent="0.2">
      <c r="A125" s="26" t="s">
        <v>2233</v>
      </c>
      <c r="B125" s="27" t="s">
        <v>2234</v>
      </c>
      <c r="C125" s="28">
        <v>1</v>
      </c>
      <c r="D125" s="29">
        <v>9.2200000000000006</v>
      </c>
      <c r="E125" s="29">
        <v>9.2200000000000006</v>
      </c>
      <c r="F125" s="30">
        <v>21.99</v>
      </c>
      <c r="G125" s="29">
        <v>21.99</v>
      </c>
      <c r="H125" s="28" t="s">
        <v>294</v>
      </c>
      <c r="I125" s="27" t="s">
        <v>4</v>
      </c>
      <c r="J125" s="31" t="s">
        <v>65</v>
      </c>
      <c r="K125" s="27" t="s">
        <v>159</v>
      </c>
      <c r="L125" s="27" t="s">
        <v>160</v>
      </c>
      <c r="M125" s="32" t="str">
        <f>HYPERLINK("http://slimages.macys.com/is/image/MCY/3857709 ")</f>
        <v xml:space="preserve">http://slimages.macys.com/is/image/MCY/3857709 </v>
      </c>
    </row>
    <row r="126" spans="1:13" ht="15.2" customHeight="1" x14ac:dyDescent="0.2">
      <c r="A126" s="26" t="s">
        <v>810</v>
      </c>
      <c r="B126" s="27" t="s">
        <v>811</v>
      </c>
      <c r="C126" s="28">
        <v>2</v>
      </c>
      <c r="D126" s="29">
        <v>9.2200000000000006</v>
      </c>
      <c r="E126" s="29">
        <v>18.440000000000001</v>
      </c>
      <c r="F126" s="30">
        <v>21.99</v>
      </c>
      <c r="G126" s="29">
        <v>43.98</v>
      </c>
      <c r="H126" s="28" t="s">
        <v>812</v>
      </c>
      <c r="I126" s="27" t="s">
        <v>4</v>
      </c>
      <c r="J126" s="31" t="s">
        <v>21</v>
      </c>
      <c r="K126" s="27" t="s">
        <v>159</v>
      </c>
      <c r="L126" s="27" t="s">
        <v>160</v>
      </c>
      <c r="M126" s="32" t="str">
        <f>HYPERLINK("http://slimages.macys.com/is/image/MCY/3857711 ")</f>
        <v xml:space="preserve">http://slimages.macys.com/is/image/MCY/3857711 </v>
      </c>
    </row>
    <row r="127" spans="1:13" ht="15.2" customHeight="1" x14ac:dyDescent="0.2">
      <c r="A127" s="26" t="s">
        <v>3356</v>
      </c>
      <c r="B127" s="27" t="s">
        <v>3357</v>
      </c>
      <c r="C127" s="28">
        <v>1</v>
      </c>
      <c r="D127" s="29">
        <v>9.2200000000000006</v>
      </c>
      <c r="E127" s="29">
        <v>9.2200000000000006</v>
      </c>
      <c r="F127" s="30">
        <v>21.99</v>
      </c>
      <c r="G127" s="29">
        <v>21.99</v>
      </c>
      <c r="H127" s="28" t="s">
        <v>299</v>
      </c>
      <c r="I127" s="27" t="s">
        <v>4</v>
      </c>
      <c r="J127" s="31" t="s">
        <v>65</v>
      </c>
      <c r="K127" s="27" t="s">
        <v>159</v>
      </c>
      <c r="L127" s="27" t="s">
        <v>160</v>
      </c>
      <c r="M127" s="32" t="str">
        <f>HYPERLINK("http://slimages.macys.com/is/image/MCY/3857694 ")</f>
        <v xml:space="preserve">http://slimages.macys.com/is/image/MCY/3857694 </v>
      </c>
    </row>
    <row r="128" spans="1:13" ht="15.2" customHeight="1" x14ac:dyDescent="0.2">
      <c r="A128" s="26" t="s">
        <v>6223</v>
      </c>
      <c r="B128" s="27" t="s">
        <v>6224</v>
      </c>
      <c r="C128" s="28">
        <v>1</v>
      </c>
      <c r="D128" s="29">
        <v>9.2200000000000006</v>
      </c>
      <c r="E128" s="29">
        <v>9.2200000000000006</v>
      </c>
      <c r="F128" s="30">
        <v>21.99</v>
      </c>
      <c r="G128" s="29">
        <v>21.99</v>
      </c>
      <c r="H128" s="28" t="s">
        <v>294</v>
      </c>
      <c r="I128" s="27" t="s">
        <v>295</v>
      </c>
      <c r="J128" s="31" t="s">
        <v>21</v>
      </c>
      <c r="K128" s="27" t="s">
        <v>159</v>
      </c>
      <c r="L128" s="27" t="s">
        <v>160</v>
      </c>
      <c r="M128" s="32" t="str">
        <f>HYPERLINK("http://slimages.macys.com/is/image/MCY/3857709 ")</f>
        <v xml:space="preserve">http://slimages.macys.com/is/image/MCY/3857709 </v>
      </c>
    </row>
    <row r="129" spans="1:13" ht="15.2" customHeight="1" x14ac:dyDescent="0.2">
      <c r="A129" s="26" t="s">
        <v>2639</v>
      </c>
      <c r="B129" s="27" t="s">
        <v>2640</v>
      </c>
      <c r="C129" s="28">
        <v>4</v>
      </c>
      <c r="D129" s="29">
        <v>9.2200000000000006</v>
      </c>
      <c r="E129" s="29">
        <v>36.880000000000003</v>
      </c>
      <c r="F129" s="30">
        <v>21.99</v>
      </c>
      <c r="G129" s="29">
        <v>87.96</v>
      </c>
      <c r="H129" s="28" t="s">
        <v>294</v>
      </c>
      <c r="I129" s="27" t="s">
        <v>295</v>
      </c>
      <c r="J129" s="31" t="s">
        <v>5</v>
      </c>
      <c r="K129" s="27" t="s">
        <v>159</v>
      </c>
      <c r="L129" s="27" t="s">
        <v>160</v>
      </c>
      <c r="M129" s="32" t="str">
        <f>HYPERLINK("http://slimages.macys.com/is/image/MCY/3857709 ")</f>
        <v xml:space="preserve">http://slimages.macys.com/is/image/MCY/3857709 </v>
      </c>
    </row>
    <row r="130" spans="1:13" ht="15.2" customHeight="1" x14ac:dyDescent="0.2">
      <c r="A130" s="26" t="s">
        <v>1343</v>
      </c>
      <c r="B130" s="27" t="s">
        <v>1344</v>
      </c>
      <c r="C130" s="28">
        <v>3</v>
      </c>
      <c r="D130" s="29">
        <v>9.2200000000000006</v>
      </c>
      <c r="E130" s="29">
        <v>27.66</v>
      </c>
      <c r="F130" s="30">
        <v>21.99</v>
      </c>
      <c r="G130" s="29">
        <v>65.97</v>
      </c>
      <c r="H130" s="28" t="s">
        <v>294</v>
      </c>
      <c r="I130" s="27" t="s">
        <v>4</v>
      </c>
      <c r="J130" s="31" t="s">
        <v>5</v>
      </c>
      <c r="K130" s="27" t="s">
        <v>159</v>
      </c>
      <c r="L130" s="27" t="s">
        <v>160</v>
      </c>
      <c r="M130" s="32" t="str">
        <f>HYPERLINK("http://slimages.macys.com/is/image/MCY/3857709 ")</f>
        <v xml:space="preserve">http://slimages.macys.com/is/image/MCY/3857709 </v>
      </c>
    </row>
    <row r="131" spans="1:13" ht="15.2" customHeight="1" x14ac:dyDescent="0.2">
      <c r="A131" s="26" t="s">
        <v>2641</v>
      </c>
      <c r="B131" s="27" t="s">
        <v>2642</v>
      </c>
      <c r="C131" s="28">
        <v>1</v>
      </c>
      <c r="D131" s="29">
        <v>9.2200000000000006</v>
      </c>
      <c r="E131" s="29">
        <v>9.2200000000000006</v>
      </c>
      <c r="F131" s="30">
        <v>21.99</v>
      </c>
      <c r="G131" s="29">
        <v>21.99</v>
      </c>
      <c r="H131" s="28" t="s">
        <v>1347</v>
      </c>
      <c r="I131" s="27" t="s">
        <v>4</v>
      </c>
      <c r="J131" s="31" t="s">
        <v>5</v>
      </c>
      <c r="K131" s="27" t="s">
        <v>159</v>
      </c>
      <c r="L131" s="27" t="s">
        <v>160</v>
      </c>
      <c r="M131" s="32" t="str">
        <f>HYPERLINK("http://slimages.macys.com/is/image/MCY/3870610 ")</f>
        <v xml:space="preserve">http://slimages.macys.com/is/image/MCY/3870610 </v>
      </c>
    </row>
    <row r="132" spans="1:13" ht="15.2" customHeight="1" x14ac:dyDescent="0.2">
      <c r="A132" s="26" t="s">
        <v>2944</v>
      </c>
      <c r="B132" s="27" t="s">
        <v>2945</v>
      </c>
      <c r="C132" s="28">
        <v>2</v>
      </c>
      <c r="D132" s="29">
        <v>9.2200000000000006</v>
      </c>
      <c r="E132" s="29">
        <v>18.440000000000001</v>
      </c>
      <c r="F132" s="30">
        <v>21.99</v>
      </c>
      <c r="G132" s="29">
        <v>43.98</v>
      </c>
      <c r="H132" s="28" t="s">
        <v>294</v>
      </c>
      <c r="I132" s="27" t="s">
        <v>295</v>
      </c>
      <c r="J132" s="31" t="s">
        <v>65</v>
      </c>
      <c r="K132" s="27" t="s">
        <v>159</v>
      </c>
      <c r="L132" s="27" t="s">
        <v>160</v>
      </c>
      <c r="M132" s="32" t="str">
        <f>HYPERLINK("http://slimages.macys.com/is/image/MCY/3857709 ")</f>
        <v xml:space="preserve">http://slimages.macys.com/is/image/MCY/3857709 </v>
      </c>
    </row>
    <row r="133" spans="1:13" ht="15.2" customHeight="1" x14ac:dyDescent="0.2">
      <c r="A133" s="26" t="s">
        <v>3361</v>
      </c>
      <c r="B133" s="27" t="s">
        <v>3362</v>
      </c>
      <c r="C133" s="28">
        <v>2</v>
      </c>
      <c r="D133" s="29">
        <v>9.2200000000000006</v>
      </c>
      <c r="E133" s="29">
        <v>18.440000000000001</v>
      </c>
      <c r="F133" s="30">
        <v>21.99</v>
      </c>
      <c r="G133" s="29">
        <v>43.98</v>
      </c>
      <c r="H133" s="28" t="s">
        <v>296</v>
      </c>
      <c r="I133" s="27" t="s">
        <v>36</v>
      </c>
      <c r="J133" s="31" t="s">
        <v>52</v>
      </c>
      <c r="K133" s="27" t="s">
        <v>159</v>
      </c>
      <c r="L133" s="27" t="s">
        <v>160</v>
      </c>
      <c r="M133" s="32" t="str">
        <f>HYPERLINK("http://slimages.macys.com/is/image/MCY/3857710 ")</f>
        <v xml:space="preserve">http://slimages.macys.com/is/image/MCY/3857710 </v>
      </c>
    </row>
    <row r="134" spans="1:13" ht="15.2" customHeight="1" x14ac:dyDescent="0.2">
      <c r="A134" s="26" t="s">
        <v>1825</v>
      </c>
      <c r="B134" s="27" t="s">
        <v>1826</v>
      </c>
      <c r="C134" s="28">
        <v>2</v>
      </c>
      <c r="D134" s="29">
        <v>9.2200000000000006</v>
      </c>
      <c r="E134" s="29">
        <v>18.440000000000001</v>
      </c>
      <c r="F134" s="30">
        <v>21.99</v>
      </c>
      <c r="G134" s="29">
        <v>43.98</v>
      </c>
      <c r="H134" s="28" t="s">
        <v>294</v>
      </c>
      <c r="I134" s="27" t="s">
        <v>4</v>
      </c>
      <c r="J134" s="31" t="s">
        <v>40</v>
      </c>
      <c r="K134" s="27" t="s">
        <v>159</v>
      </c>
      <c r="L134" s="27" t="s">
        <v>160</v>
      </c>
      <c r="M134" s="32" t="str">
        <f>HYPERLINK("http://slimages.macys.com/is/image/MCY/3857709 ")</f>
        <v xml:space="preserve">http://slimages.macys.com/is/image/MCY/3857709 </v>
      </c>
    </row>
    <row r="135" spans="1:13" ht="15.2" customHeight="1" x14ac:dyDescent="0.2">
      <c r="A135" s="26" t="s">
        <v>816</v>
      </c>
      <c r="B135" s="27" t="s">
        <v>817</v>
      </c>
      <c r="C135" s="28">
        <v>1</v>
      </c>
      <c r="D135" s="29">
        <v>9.1999999999999993</v>
      </c>
      <c r="E135" s="29">
        <v>9.1999999999999993</v>
      </c>
      <c r="F135" s="30">
        <v>21.99</v>
      </c>
      <c r="G135" s="29">
        <v>21.99</v>
      </c>
      <c r="H135" s="28" t="s">
        <v>300</v>
      </c>
      <c r="I135" s="27" t="s">
        <v>1</v>
      </c>
      <c r="J135" s="31" t="s">
        <v>40</v>
      </c>
      <c r="K135" s="27" t="s">
        <v>159</v>
      </c>
      <c r="L135" s="27" t="s">
        <v>160</v>
      </c>
      <c r="M135" s="32" t="str">
        <f>HYPERLINK("http://slimages.macys.com/is/image/MCY/3857655 ")</f>
        <v xml:space="preserve">http://slimages.macys.com/is/image/MCY/3857655 </v>
      </c>
    </row>
    <row r="136" spans="1:13" ht="15.2" customHeight="1" x14ac:dyDescent="0.2">
      <c r="A136" s="26" t="s">
        <v>2647</v>
      </c>
      <c r="B136" s="27" t="s">
        <v>2648</v>
      </c>
      <c r="C136" s="28">
        <v>1</v>
      </c>
      <c r="D136" s="29">
        <v>9.1999999999999993</v>
      </c>
      <c r="E136" s="29">
        <v>9.1999999999999993</v>
      </c>
      <c r="F136" s="30">
        <v>21.99</v>
      </c>
      <c r="G136" s="29">
        <v>21.99</v>
      </c>
      <c r="H136" s="28" t="s">
        <v>1837</v>
      </c>
      <c r="I136" s="27" t="s">
        <v>103</v>
      </c>
      <c r="J136" s="31" t="s">
        <v>21</v>
      </c>
      <c r="K136" s="27" t="s">
        <v>159</v>
      </c>
      <c r="L136" s="27" t="s">
        <v>160</v>
      </c>
      <c r="M136" s="32" t="str">
        <f>HYPERLINK("http://slimages.macys.com/is/image/MCY/3857655 ")</f>
        <v xml:space="preserve">http://slimages.macys.com/is/image/MCY/3857655 </v>
      </c>
    </row>
    <row r="137" spans="1:13" ht="15.2" customHeight="1" x14ac:dyDescent="0.2">
      <c r="A137" s="26" t="s">
        <v>6225</v>
      </c>
      <c r="B137" s="27" t="s">
        <v>6226</v>
      </c>
      <c r="C137" s="28">
        <v>1</v>
      </c>
      <c r="D137" s="29">
        <v>9.1</v>
      </c>
      <c r="E137" s="29">
        <v>9.1</v>
      </c>
      <c r="F137" s="30">
        <v>19.989999999999998</v>
      </c>
      <c r="G137" s="29">
        <v>19.989999999999998</v>
      </c>
      <c r="H137" s="28" t="s">
        <v>1353</v>
      </c>
      <c r="I137" s="27" t="s">
        <v>10</v>
      </c>
      <c r="J137" s="31" t="s">
        <v>71</v>
      </c>
      <c r="K137" s="27" t="s">
        <v>224</v>
      </c>
      <c r="L137" s="27" t="s">
        <v>276</v>
      </c>
      <c r="M137" s="32" t="str">
        <f>HYPERLINK("http://slimages.macys.com/is/image/MCY/3821784 ")</f>
        <v xml:space="preserve">http://slimages.macys.com/is/image/MCY/3821784 </v>
      </c>
    </row>
    <row r="138" spans="1:13" ht="15.2" customHeight="1" x14ac:dyDescent="0.2">
      <c r="A138" s="26" t="s">
        <v>6227</v>
      </c>
      <c r="B138" s="27" t="s">
        <v>6228</v>
      </c>
      <c r="C138" s="28">
        <v>1</v>
      </c>
      <c r="D138" s="29">
        <v>9.1</v>
      </c>
      <c r="E138" s="29">
        <v>9.1</v>
      </c>
      <c r="F138" s="30">
        <v>19.989999999999998</v>
      </c>
      <c r="G138" s="29">
        <v>19.989999999999998</v>
      </c>
      <c r="H138" s="28" t="s">
        <v>1353</v>
      </c>
      <c r="I138" s="27" t="s">
        <v>10</v>
      </c>
      <c r="J138" s="31" t="s">
        <v>40</v>
      </c>
      <c r="K138" s="27" t="s">
        <v>224</v>
      </c>
      <c r="L138" s="27" t="s">
        <v>276</v>
      </c>
      <c r="M138" s="32" t="str">
        <f>HYPERLINK("http://slimages.macys.com/is/image/MCY/3821784 ")</f>
        <v xml:space="preserve">http://slimages.macys.com/is/image/MCY/3821784 </v>
      </c>
    </row>
    <row r="139" spans="1:13" ht="15.2" customHeight="1" x14ac:dyDescent="0.2">
      <c r="A139" s="26" t="s">
        <v>3374</v>
      </c>
      <c r="B139" s="27" t="s">
        <v>3375</v>
      </c>
      <c r="C139" s="28">
        <v>1</v>
      </c>
      <c r="D139" s="29">
        <v>9.1</v>
      </c>
      <c r="E139" s="29">
        <v>9.1</v>
      </c>
      <c r="F139" s="30">
        <v>19.989999999999998</v>
      </c>
      <c r="G139" s="29">
        <v>19.989999999999998</v>
      </c>
      <c r="H139" s="28" t="s">
        <v>1353</v>
      </c>
      <c r="I139" s="27" t="s">
        <v>215</v>
      </c>
      <c r="J139" s="31" t="s">
        <v>40</v>
      </c>
      <c r="K139" s="27" t="s">
        <v>224</v>
      </c>
      <c r="L139" s="27" t="s">
        <v>276</v>
      </c>
      <c r="M139" s="32" t="str">
        <f>HYPERLINK("http://slimages.macys.com/is/image/MCY/3820944 ")</f>
        <v xml:space="preserve">http://slimages.macys.com/is/image/MCY/3820944 </v>
      </c>
    </row>
    <row r="140" spans="1:13" ht="15.2" customHeight="1" x14ac:dyDescent="0.2">
      <c r="A140" s="26" t="s">
        <v>1853</v>
      </c>
      <c r="B140" s="27" t="s">
        <v>1854</v>
      </c>
      <c r="C140" s="28">
        <v>1</v>
      </c>
      <c r="D140" s="29">
        <v>9</v>
      </c>
      <c r="E140" s="29">
        <v>9</v>
      </c>
      <c r="F140" s="30">
        <v>19.989999999999998</v>
      </c>
      <c r="G140" s="29">
        <v>19.989999999999998</v>
      </c>
      <c r="H140" s="28">
        <v>60433877</v>
      </c>
      <c r="I140" s="27" t="s">
        <v>59</v>
      </c>
      <c r="J140" s="31" t="s">
        <v>52</v>
      </c>
      <c r="K140" s="27" t="s">
        <v>224</v>
      </c>
      <c r="L140" s="27" t="s">
        <v>255</v>
      </c>
      <c r="M140" s="32" t="str">
        <f>HYPERLINK("http://slimages.macys.com/is/image/MCY/3910888 ")</f>
        <v xml:space="preserve">http://slimages.macys.com/is/image/MCY/3910888 </v>
      </c>
    </row>
    <row r="141" spans="1:13" ht="15.2" customHeight="1" x14ac:dyDescent="0.2">
      <c r="A141" s="26" t="s">
        <v>2962</v>
      </c>
      <c r="B141" s="27" t="s">
        <v>2963</v>
      </c>
      <c r="C141" s="28">
        <v>1</v>
      </c>
      <c r="D141" s="29">
        <v>9</v>
      </c>
      <c r="E141" s="29">
        <v>9</v>
      </c>
      <c r="F141" s="30">
        <v>19.989999999999998</v>
      </c>
      <c r="G141" s="29">
        <v>19.989999999999998</v>
      </c>
      <c r="H141" s="28" t="s">
        <v>311</v>
      </c>
      <c r="I141" s="27" t="s">
        <v>215</v>
      </c>
      <c r="J141" s="31" t="s">
        <v>52</v>
      </c>
      <c r="K141" s="27" t="s">
        <v>196</v>
      </c>
      <c r="L141" s="27" t="s">
        <v>239</v>
      </c>
      <c r="M141" s="32" t="str">
        <f>HYPERLINK("http://slimages.macys.com/is/image/MCY/3890895 ")</f>
        <v xml:space="preserve">http://slimages.macys.com/is/image/MCY/3890895 </v>
      </c>
    </row>
    <row r="142" spans="1:13" ht="15.2" customHeight="1" x14ac:dyDescent="0.2">
      <c r="A142" s="26" t="s">
        <v>6229</v>
      </c>
      <c r="B142" s="27" t="s">
        <v>6230</v>
      </c>
      <c r="C142" s="28">
        <v>1</v>
      </c>
      <c r="D142" s="29">
        <v>9</v>
      </c>
      <c r="E142" s="29">
        <v>9</v>
      </c>
      <c r="F142" s="30">
        <v>59</v>
      </c>
      <c r="G142" s="29">
        <v>59</v>
      </c>
      <c r="H142" s="28" t="s">
        <v>4224</v>
      </c>
      <c r="I142" s="27" t="s">
        <v>4</v>
      </c>
      <c r="J142" s="31" t="s">
        <v>172</v>
      </c>
      <c r="K142" s="27" t="s">
        <v>132</v>
      </c>
      <c r="L142" s="27" t="s">
        <v>190</v>
      </c>
      <c r="M142" s="32" t="str">
        <f>HYPERLINK("http://slimages.macys.com/is/image/MCY/3688692 ")</f>
        <v xml:space="preserve">http://slimages.macys.com/is/image/MCY/3688692 </v>
      </c>
    </row>
    <row r="143" spans="1:13" ht="15.2" customHeight="1" x14ac:dyDescent="0.2">
      <c r="A143" s="26" t="s">
        <v>2964</v>
      </c>
      <c r="B143" s="27" t="s">
        <v>2965</v>
      </c>
      <c r="C143" s="28">
        <v>1</v>
      </c>
      <c r="D143" s="29">
        <v>8.9</v>
      </c>
      <c r="E143" s="29">
        <v>8.9</v>
      </c>
      <c r="F143" s="30">
        <v>19.989999999999998</v>
      </c>
      <c r="G143" s="29">
        <v>19.989999999999998</v>
      </c>
      <c r="H143" s="28" t="s">
        <v>1856</v>
      </c>
      <c r="I143" s="27" t="s">
        <v>94</v>
      </c>
      <c r="J143" s="31" t="s">
        <v>21</v>
      </c>
      <c r="K143" s="27" t="s">
        <v>224</v>
      </c>
      <c r="L143" s="27" t="s">
        <v>239</v>
      </c>
      <c r="M143" s="32" t="str">
        <f>HYPERLINK("http://slimages.macys.com/is/image/MCY/3844915 ")</f>
        <v xml:space="preserve">http://slimages.macys.com/is/image/MCY/3844915 </v>
      </c>
    </row>
    <row r="144" spans="1:13" ht="15.2" customHeight="1" x14ac:dyDescent="0.2">
      <c r="A144" s="26" t="s">
        <v>6089</v>
      </c>
      <c r="B144" s="27" t="s">
        <v>6090</v>
      </c>
      <c r="C144" s="28">
        <v>1</v>
      </c>
      <c r="D144" s="29">
        <v>8.75</v>
      </c>
      <c r="E144" s="29">
        <v>8.75</v>
      </c>
      <c r="F144" s="30">
        <v>19.989999999999998</v>
      </c>
      <c r="G144" s="29">
        <v>19.989999999999998</v>
      </c>
      <c r="H144" s="28">
        <v>60433875</v>
      </c>
      <c r="I144" s="27" t="s">
        <v>75</v>
      </c>
      <c r="J144" s="31" t="s">
        <v>71</v>
      </c>
      <c r="K144" s="27" t="s">
        <v>224</v>
      </c>
      <c r="L144" s="27" t="s">
        <v>255</v>
      </c>
      <c r="M144" s="32" t="str">
        <f>HYPERLINK("http://slimages.macys.com/is/image/MCY/3915853 ")</f>
        <v xml:space="preserve">http://slimages.macys.com/is/image/MCY/3915853 </v>
      </c>
    </row>
    <row r="145" spans="1:13" ht="15.2" customHeight="1" x14ac:dyDescent="0.2">
      <c r="A145" s="26" t="s">
        <v>3394</v>
      </c>
      <c r="B145" s="27" t="s">
        <v>3395</v>
      </c>
      <c r="C145" s="28">
        <v>1</v>
      </c>
      <c r="D145" s="29">
        <v>8.5500000000000007</v>
      </c>
      <c r="E145" s="29">
        <v>8.5500000000000007</v>
      </c>
      <c r="F145" s="30">
        <v>19.989999999999998</v>
      </c>
      <c r="G145" s="29">
        <v>19.989999999999998</v>
      </c>
      <c r="H145" s="28" t="s">
        <v>1365</v>
      </c>
      <c r="I145" s="27"/>
      <c r="J145" s="31" t="s">
        <v>40</v>
      </c>
      <c r="K145" s="27" t="s">
        <v>224</v>
      </c>
      <c r="L145" s="27" t="s">
        <v>254</v>
      </c>
      <c r="M145" s="32" t="str">
        <f>HYPERLINK("http://slimages.macys.com/is/image/MCY/3815102 ")</f>
        <v xml:space="preserve">http://slimages.macys.com/is/image/MCY/3815102 </v>
      </c>
    </row>
    <row r="146" spans="1:13" ht="15.2" customHeight="1" x14ac:dyDescent="0.2">
      <c r="A146" s="26" t="s">
        <v>3402</v>
      </c>
      <c r="B146" s="27" t="s">
        <v>3403</v>
      </c>
      <c r="C146" s="28">
        <v>1</v>
      </c>
      <c r="D146" s="29">
        <v>8.5500000000000007</v>
      </c>
      <c r="E146" s="29">
        <v>8.5500000000000007</v>
      </c>
      <c r="F146" s="30">
        <v>19.989999999999998</v>
      </c>
      <c r="G146" s="29">
        <v>19.989999999999998</v>
      </c>
      <c r="H146" s="28" t="s">
        <v>3398</v>
      </c>
      <c r="I146" s="27" t="s">
        <v>1</v>
      </c>
      <c r="J146" s="31" t="s">
        <v>21</v>
      </c>
      <c r="K146" s="27" t="s">
        <v>224</v>
      </c>
      <c r="L146" s="27" t="s">
        <v>254</v>
      </c>
      <c r="M146" s="32" t="str">
        <f>HYPERLINK("http://slimages.macys.com/is/image/MCY/3931020 ")</f>
        <v xml:space="preserve">http://slimages.macys.com/is/image/MCY/3931020 </v>
      </c>
    </row>
    <row r="147" spans="1:13" ht="15.2" customHeight="1" x14ac:dyDescent="0.2">
      <c r="A147" s="26" t="s">
        <v>6231</v>
      </c>
      <c r="B147" s="27" t="s">
        <v>6232</v>
      </c>
      <c r="C147" s="28">
        <v>1</v>
      </c>
      <c r="D147" s="29">
        <v>8.5</v>
      </c>
      <c r="E147" s="29">
        <v>8.5</v>
      </c>
      <c r="F147" s="30">
        <v>19.989999999999998</v>
      </c>
      <c r="G147" s="29">
        <v>19.989999999999998</v>
      </c>
      <c r="H147" s="28" t="s">
        <v>334</v>
      </c>
      <c r="I147" s="27" t="s">
        <v>189</v>
      </c>
      <c r="J147" s="31" t="s">
        <v>71</v>
      </c>
      <c r="K147" s="27" t="s">
        <v>196</v>
      </c>
      <c r="L147" s="27" t="s">
        <v>239</v>
      </c>
      <c r="M147" s="32" t="str">
        <f>HYPERLINK("http://slimages.macys.com/is/image/MCY/3890886 ")</f>
        <v xml:space="preserve">http://slimages.macys.com/is/image/MCY/3890886 </v>
      </c>
    </row>
    <row r="148" spans="1:13" ht="15.2" customHeight="1" x14ac:dyDescent="0.2">
      <c r="A148" s="26" t="s">
        <v>1383</v>
      </c>
      <c r="B148" s="27" t="s">
        <v>1384</v>
      </c>
      <c r="C148" s="28">
        <v>1</v>
      </c>
      <c r="D148" s="29">
        <v>8.5</v>
      </c>
      <c r="E148" s="29">
        <v>8.5</v>
      </c>
      <c r="F148" s="30">
        <v>19.989999999999998</v>
      </c>
      <c r="G148" s="29">
        <v>19.989999999999998</v>
      </c>
      <c r="H148" s="28" t="s">
        <v>321</v>
      </c>
      <c r="I148" s="27" t="s">
        <v>333</v>
      </c>
      <c r="J148" s="31" t="s">
        <v>52</v>
      </c>
      <c r="K148" s="27" t="s">
        <v>196</v>
      </c>
      <c r="L148" s="27" t="s">
        <v>322</v>
      </c>
      <c r="M148" s="32" t="str">
        <f>HYPERLINK("http://slimages.macys.com/is/image/MCY/3910788 ")</f>
        <v xml:space="preserve">http://slimages.macys.com/is/image/MCY/3910788 </v>
      </c>
    </row>
    <row r="149" spans="1:13" ht="15.2" customHeight="1" x14ac:dyDescent="0.2">
      <c r="A149" s="26" t="s">
        <v>3873</v>
      </c>
      <c r="B149" s="27" t="s">
        <v>3874</v>
      </c>
      <c r="C149" s="28">
        <v>1</v>
      </c>
      <c r="D149" s="29">
        <v>8.5</v>
      </c>
      <c r="E149" s="29">
        <v>8.5</v>
      </c>
      <c r="F149" s="30">
        <v>19.989999999999998</v>
      </c>
      <c r="G149" s="29">
        <v>19.989999999999998</v>
      </c>
      <c r="H149" s="28">
        <v>60433871</v>
      </c>
      <c r="I149" s="27" t="s">
        <v>215</v>
      </c>
      <c r="J149" s="31" t="s">
        <v>40</v>
      </c>
      <c r="K149" s="27" t="s">
        <v>224</v>
      </c>
      <c r="L149" s="27" t="s">
        <v>255</v>
      </c>
      <c r="M149" s="32" t="str">
        <f>HYPERLINK("http://slimages.macys.com/is/image/MCY/3910875 ")</f>
        <v xml:space="preserve">http://slimages.macys.com/is/image/MCY/3910875 </v>
      </c>
    </row>
    <row r="150" spans="1:13" ht="15.2" customHeight="1" x14ac:dyDescent="0.2">
      <c r="A150" s="26" t="s">
        <v>2266</v>
      </c>
      <c r="B150" s="27" t="s">
        <v>2267</v>
      </c>
      <c r="C150" s="28">
        <v>1</v>
      </c>
      <c r="D150" s="29">
        <v>8.5</v>
      </c>
      <c r="E150" s="29">
        <v>8.5</v>
      </c>
      <c r="F150" s="30">
        <v>19.989999999999998</v>
      </c>
      <c r="G150" s="29">
        <v>19.989999999999998</v>
      </c>
      <c r="H150" s="28" t="s">
        <v>334</v>
      </c>
      <c r="I150" s="27" t="s">
        <v>274</v>
      </c>
      <c r="J150" s="31" t="s">
        <v>71</v>
      </c>
      <c r="K150" s="27" t="s">
        <v>196</v>
      </c>
      <c r="L150" s="27" t="s">
        <v>239</v>
      </c>
      <c r="M150" s="32" t="str">
        <f>HYPERLINK("http://slimages.macys.com/is/image/MCY/3890886 ")</f>
        <v xml:space="preserve">http://slimages.macys.com/is/image/MCY/3890886 </v>
      </c>
    </row>
    <row r="151" spans="1:13" ht="15.2" customHeight="1" x14ac:dyDescent="0.2">
      <c r="A151" s="26" t="s">
        <v>6233</v>
      </c>
      <c r="B151" s="27" t="s">
        <v>6234</v>
      </c>
      <c r="C151" s="28">
        <v>1</v>
      </c>
      <c r="D151" s="29">
        <v>8.3000000000000007</v>
      </c>
      <c r="E151" s="29">
        <v>8.3000000000000007</v>
      </c>
      <c r="F151" s="30">
        <v>19.989999999999998</v>
      </c>
      <c r="G151" s="29">
        <v>19.989999999999998</v>
      </c>
      <c r="H151" s="28" t="s">
        <v>6235</v>
      </c>
      <c r="I151" s="27"/>
      <c r="J151" s="31" t="s">
        <v>52</v>
      </c>
      <c r="K151" s="27" t="s">
        <v>159</v>
      </c>
      <c r="L151" s="27" t="s">
        <v>160</v>
      </c>
      <c r="M151" s="32" t="str">
        <f>HYPERLINK("http://slimages.macys.com/is/image/MCY/3464654 ")</f>
        <v xml:space="preserve">http://slimages.macys.com/is/image/MCY/3464654 </v>
      </c>
    </row>
    <row r="152" spans="1:13" ht="15.2" customHeight="1" x14ac:dyDescent="0.2">
      <c r="A152" s="26" t="s">
        <v>4640</v>
      </c>
      <c r="B152" s="27" t="s">
        <v>4641</v>
      </c>
      <c r="C152" s="28">
        <v>1</v>
      </c>
      <c r="D152" s="29">
        <v>8.15</v>
      </c>
      <c r="E152" s="29">
        <v>8.15</v>
      </c>
      <c r="F152" s="30">
        <v>16.989999999999998</v>
      </c>
      <c r="G152" s="29">
        <v>16.989999999999998</v>
      </c>
      <c r="H152" s="28">
        <v>60433928</v>
      </c>
      <c r="I152" s="27" t="s">
        <v>343</v>
      </c>
      <c r="J152" s="31" t="s">
        <v>40</v>
      </c>
      <c r="K152" s="27" t="s">
        <v>208</v>
      </c>
      <c r="L152" s="27" t="s">
        <v>255</v>
      </c>
      <c r="M152" s="32" t="str">
        <f>HYPERLINK("http://slimages.macys.com/is/image/MCY/3623246 ")</f>
        <v xml:space="preserve">http://slimages.macys.com/is/image/MCY/3623246 </v>
      </c>
    </row>
    <row r="153" spans="1:13" ht="15.2" customHeight="1" x14ac:dyDescent="0.2">
      <c r="A153" s="26" t="s">
        <v>5448</v>
      </c>
      <c r="B153" s="27" t="s">
        <v>5449</v>
      </c>
      <c r="C153" s="28">
        <v>1</v>
      </c>
      <c r="D153" s="29">
        <v>8.15</v>
      </c>
      <c r="E153" s="29">
        <v>8.15</v>
      </c>
      <c r="F153" s="30">
        <v>16.989999999999998</v>
      </c>
      <c r="G153" s="29">
        <v>16.989999999999998</v>
      </c>
      <c r="H153" s="28">
        <v>60433928</v>
      </c>
      <c r="I153" s="27" t="s">
        <v>343</v>
      </c>
      <c r="J153" s="31" t="s">
        <v>71</v>
      </c>
      <c r="K153" s="27" t="s">
        <v>208</v>
      </c>
      <c r="L153" s="27" t="s">
        <v>255</v>
      </c>
      <c r="M153" s="32" t="str">
        <f>HYPERLINK("http://slimages.macys.com/is/image/MCY/3623246 ")</f>
        <v xml:space="preserve">http://slimages.macys.com/is/image/MCY/3623246 </v>
      </c>
    </row>
    <row r="154" spans="1:13" ht="15.2" customHeight="1" x14ac:dyDescent="0.2">
      <c r="A154" s="26" t="s">
        <v>4351</v>
      </c>
      <c r="B154" s="27" t="s">
        <v>4352</v>
      </c>
      <c r="C154" s="28">
        <v>1</v>
      </c>
      <c r="D154" s="29">
        <v>8</v>
      </c>
      <c r="E154" s="29">
        <v>8</v>
      </c>
      <c r="F154" s="30">
        <v>19.989999999999998</v>
      </c>
      <c r="G154" s="29">
        <v>19.989999999999998</v>
      </c>
      <c r="H154" s="28" t="s">
        <v>3895</v>
      </c>
      <c r="I154" s="27" t="s">
        <v>4</v>
      </c>
      <c r="J154" s="31" t="s">
        <v>21</v>
      </c>
      <c r="K154" s="27" t="s">
        <v>196</v>
      </c>
      <c r="L154" s="27" t="s">
        <v>322</v>
      </c>
      <c r="M154" s="32" t="str">
        <f>HYPERLINK("http://slimages.macys.com/is/image/MCY/3820941 ")</f>
        <v xml:space="preserve">http://slimages.macys.com/is/image/MCY/3820941 </v>
      </c>
    </row>
    <row r="155" spans="1:13" ht="15.2" customHeight="1" x14ac:dyDescent="0.2">
      <c r="A155" s="26" t="s">
        <v>5106</v>
      </c>
      <c r="B155" s="27" t="s">
        <v>5107</v>
      </c>
      <c r="C155" s="28">
        <v>1</v>
      </c>
      <c r="D155" s="29">
        <v>8</v>
      </c>
      <c r="E155" s="29">
        <v>8</v>
      </c>
      <c r="F155" s="30">
        <v>19.989999999999998</v>
      </c>
      <c r="G155" s="29">
        <v>19.989999999999998</v>
      </c>
      <c r="H155" s="28" t="s">
        <v>3427</v>
      </c>
      <c r="I155" s="27" t="s">
        <v>189</v>
      </c>
      <c r="J155" s="31" t="s">
        <v>52</v>
      </c>
      <c r="K155" s="27" t="s">
        <v>282</v>
      </c>
      <c r="L155" s="27" t="s">
        <v>349</v>
      </c>
      <c r="M155" s="32" t="str">
        <f>HYPERLINK("http://slimages.macys.com/is/image/MCY/3799636 ")</f>
        <v xml:space="preserve">http://slimages.macys.com/is/image/MCY/3799636 </v>
      </c>
    </row>
    <row r="156" spans="1:13" ht="15.2" customHeight="1" x14ac:dyDescent="0.2">
      <c r="A156" s="26" t="s">
        <v>2303</v>
      </c>
      <c r="B156" s="27" t="s">
        <v>2304</v>
      </c>
      <c r="C156" s="28">
        <v>1</v>
      </c>
      <c r="D156" s="29">
        <v>8</v>
      </c>
      <c r="E156" s="29">
        <v>8</v>
      </c>
      <c r="F156" s="30">
        <v>19.989999999999998</v>
      </c>
      <c r="G156" s="29">
        <v>19.989999999999998</v>
      </c>
      <c r="H156" s="28" t="s">
        <v>348</v>
      </c>
      <c r="I156" s="27" t="s">
        <v>22</v>
      </c>
      <c r="J156" s="31" t="s">
        <v>40</v>
      </c>
      <c r="K156" s="27" t="s">
        <v>282</v>
      </c>
      <c r="L156" s="27" t="s">
        <v>349</v>
      </c>
      <c r="M156" s="32" t="str">
        <f>HYPERLINK("http://slimages.macys.com/is/image/MCY/3857787 ")</f>
        <v xml:space="preserve">http://slimages.macys.com/is/image/MCY/3857787 </v>
      </c>
    </row>
    <row r="157" spans="1:13" ht="15.2" customHeight="1" x14ac:dyDescent="0.2">
      <c r="A157" s="26" t="s">
        <v>6236</v>
      </c>
      <c r="B157" s="27" t="s">
        <v>6237</v>
      </c>
      <c r="C157" s="28">
        <v>2</v>
      </c>
      <c r="D157" s="29">
        <v>8</v>
      </c>
      <c r="E157" s="29">
        <v>16</v>
      </c>
      <c r="F157" s="30">
        <v>19.989999999999998</v>
      </c>
      <c r="G157" s="29">
        <v>39.979999999999997</v>
      </c>
      <c r="H157" s="28" t="s">
        <v>3427</v>
      </c>
      <c r="I157" s="27" t="s">
        <v>189</v>
      </c>
      <c r="J157" s="31" t="s">
        <v>5</v>
      </c>
      <c r="K157" s="27" t="s">
        <v>282</v>
      </c>
      <c r="L157" s="27" t="s">
        <v>349</v>
      </c>
      <c r="M157" s="32" t="str">
        <f>HYPERLINK("http://slimages.macys.com/is/image/MCY/3799636 ")</f>
        <v xml:space="preserve">http://slimages.macys.com/is/image/MCY/3799636 </v>
      </c>
    </row>
    <row r="158" spans="1:13" ht="15.2" customHeight="1" x14ac:dyDescent="0.2">
      <c r="A158" s="26" t="s">
        <v>1421</v>
      </c>
      <c r="B158" s="27" t="s">
        <v>1422</v>
      </c>
      <c r="C158" s="28">
        <v>1</v>
      </c>
      <c r="D158" s="29">
        <v>7.55</v>
      </c>
      <c r="E158" s="29">
        <v>7.55</v>
      </c>
      <c r="F158" s="30">
        <v>22.5</v>
      </c>
      <c r="G158" s="29">
        <v>22.5</v>
      </c>
      <c r="H158" s="28" t="s">
        <v>1423</v>
      </c>
      <c r="I158" s="27" t="s">
        <v>4</v>
      </c>
      <c r="J158" s="31"/>
      <c r="K158" s="27" t="s">
        <v>53</v>
      </c>
      <c r="L158" s="27" t="s">
        <v>372</v>
      </c>
      <c r="M158" s="32" t="str">
        <f>HYPERLINK("http://slimages.macys.com/is/image/MCY/1506837 ")</f>
        <v xml:space="preserve">http://slimages.macys.com/is/image/MCY/1506837 </v>
      </c>
    </row>
    <row r="159" spans="1:13" ht="15.2" customHeight="1" x14ac:dyDescent="0.2">
      <c r="A159" s="26" t="s">
        <v>2979</v>
      </c>
      <c r="B159" s="27" t="s">
        <v>2980</v>
      </c>
      <c r="C159" s="28">
        <v>2</v>
      </c>
      <c r="D159" s="29">
        <v>7.55</v>
      </c>
      <c r="E159" s="29">
        <v>15.1</v>
      </c>
      <c r="F159" s="30">
        <v>22.5</v>
      </c>
      <c r="G159" s="29">
        <v>45</v>
      </c>
      <c r="H159" s="28" t="s">
        <v>1423</v>
      </c>
      <c r="I159" s="27" t="s">
        <v>4</v>
      </c>
      <c r="J159" s="31"/>
      <c r="K159" s="27" t="s">
        <v>53</v>
      </c>
      <c r="L159" s="27" t="s">
        <v>372</v>
      </c>
      <c r="M159" s="32" t="str">
        <f>HYPERLINK("http://slimages.macys.com/is/image/MCY/1506837 ")</f>
        <v xml:space="preserve">http://slimages.macys.com/is/image/MCY/1506837 </v>
      </c>
    </row>
    <row r="160" spans="1:13" ht="15.2" customHeight="1" x14ac:dyDescent="0.2">
      <c r="A160" s="26" t="s">
        <v>4642</v>
      </c>
      <c r="B160" s="27" t="s">
        <v>4643</v>
      </c>
      <c r="C160" s="28">
        <v>1</v>
      </c>
      <c r="D160" s="29">
        <v>7.5</v>
      </c>
      <c r="E160" s="29">
        <v>7.5</v>
      </c>
      <c r="F160" s="30">
        <v>19.989999999999998</v>
      </c>
      <c r="G160" s="29">
        <v>19.989999999999998</v>
      </c>
      <c r="H160" s="28" t="s">
        <v>3438</v>
      </c>
      <c r="I160" s="27" t="s">
        <v>59</v>
      </c>
      <c r="J160" s="31" t="s">
        <v>21</v>
      </c>
      <c r="K160" s="27" t="s">
        <v>196</v>
      </c>
      <c r="L160" s="27" t="s">
        <v>336</v>
      </c>
      <c r="M160" s="32" t="str">
        <f>HYPERLINK("http://slimages.macys.com/is/image/MCY/3660171 ")</f>
        <v xml:space="preserve">http://slimages.macys.com/is/image/MCY/3660171 </v>
      </c>
    </row>
    <row r="161" spans="1:13" ht="15.2" customHeight="1" x14ac:dyDescent="0.2">
      <c r="A161" s="26" t="s">
        <v>867</v>
      </c>
      <c r="B161" s="27" t="s">
        <v>868</v>
      </c>
      <c r="C161" s="28">
        <v>2</v>
      </c>
      <c r="D161" s="29">
        <v>7</v>
      </c>
      <c r="E161" s="29">
        <v>14</v>
      </c>
      <c r="F161" s="30">
        <v>19.989999999999998</v>
      </c>
      <c r="G161" s="29">
        <v>39.979999999999997</v>
      </c>
      <c r="H161" s="28" t="s">
        <v>380</v>
      </c>
      <c r="I161" s="27" t="s">
        <v>4</v>
      </c>
      <c r="J161" s="31" t="s">
        <v>40</v>
      </c>
      <c r="K161" s="27" t="s">
        <v>196</v>
      </c>
      <c r="L161" s="27" t="s">
        <v>260</v>
      </c>
      <c r="M161" s="32" t="str">
        <f>HYPERLINK("http://slimages.macys.com/is/image/MCY/3910801 ")</f>
        <v xml:space="preserve">http://slimages.macys.com/is/image/MCY/3910801 </v>
      </c>
    </row>
    <row r="162" spans="1:13" ht="15.2" customHeight="1" x14ac:dyDescent="0.2">
      <c r="A162" s="26" t="s">
        <v>5544</v>
      </c>
      <c r="B162" s="27" t="s">
        <v>5545</v>
      </c>
      <c r="C162" s="28">
        <v>1</v>
      </c>
      <c r="D162" s="29">
        <v>7</v>
      </c>
      <c r="E162" s="29">
        <v>7</v>
      </c>
      <c r="F162" s="30">
        <v>19.989999999999998</v>
      </c>
      <c r="G162" s="29">
        <v>19.989999999999998</v>
      </c>
      <c r="H162" s="28" t="s">
        <v>380</v>
      </c>
      <c r="I162" s="27" t="s">
        <v>4</v>
      </c>
      <c r="J162" s="31" t="s">
        <v>52</v>
      </c>
      <c r="K162" s="27" t="s">
        <v>196</v>
      </c>
      <c r="L162" s="27" t="s">
        <v>260</v>
      </c>
      <c r="M162" s="32" t="str">
        <f>HYPERLINK("http://slimages.macys.com/is/image/MCY/3910801 ")</f>
        <v xml:space="preserve">http://slimages.macys.com/is/image/MCY/3910801 </v>
      </c>
    </row>
    <row r="163" spans="1:13" ht="15.2" customHeight="1" x14ac:dyDescent="0.2">
      <c r="A163" s="26" t="s">
        <v>4492</v>
      </c>
      <c r="B163" s="27" t="s">
        <v>4493</v>
      </c>
      <c r="C163" s="28">
        <v>1</v>
      </c>
      <c r="D163" s="29">
        <v>7</v>
      </c>
      <c r="E163" s="29">
        <v>7</v>
      </c>
      <c r="F163" s="30">
        <v>19.989999999999998</v>
      </c>
      <c r="G163" s="29">
        <v>19.989999999999998</v>
      </c>
      <c r="H163" s="28" t="s">
        <v>2988</v>
      </c>
      <c r="I163" s="27" t="s">
        <v>82</v>
      </c>
      <c r="J163" s="31" t="s">
        <v>21</v>
      </c>
      <c r="K163" s="27" t="s">
        <v>282</v>
      </c>
      <c r="L163" s="27" t="s">
        <v>358</v>
      </c>
      <c r="M163" s="32" t="str">
        <f>HYPERLINK("http://slimages.macys.com/is/image/MCY/3774123 ")</f>
        <v xml:space="preserve">http://slimages.macys.com/is/image/MCY/3774123 </v>
      </c>
    </row>
    <row r="164" spans="1:13" ht="15.2" customHeight="1" x14ac:dyDescent="0.2">
      <c r="A164" s="26" t="s">
        <v>384</v>
      </c>
      <c r="B164" s="27" t="s">
        <v>385</v>
      </c>
      <c r="C164" s="28">
        <v>1</v>
      </c>
      <c r="D164" s="29">
        <v>7</v>
      </c>
      <c r="E164" s="29">
        <v>7</v>
      </c>
      <c r="F164" s="30">
        <v>19.989999999999998</v>
      </c>
      <c r="G164" s="29">
        <v>19.989999999999998</v>
      </c>
      <c r="H164" s="28" t="s">
        <v>380</v>
      </c>
      <c r="I164" s="27" t="s">
        <v>189</v>
      </c>
      <c r="J164" s="31" t="s">
        <v>5</v>
      </c>
      <c r="K164" s="27" t="s">
        <v>196</v>
      </c>
      <c r="L164" s="27" t="s">
        <v>260</v>
      </c>
      <c r="M164" s="32" t="str">
        <f>HYPERLINK("http://slimages.macys.com/is/image/MCY/3910801 ")</f>
        <v xml:space="preserve">http://slimages.macys.com/is/image/MCY/3910801 </v>
      </c>
    </row>
    <row r="165" spans="1:13" ht="15.2" customHeight="1" x14ac:dyDescent="0.2">
      <c r="A165" s="26" t="s">
        <v>5548</v>
      </c>
      <c r="B165" s="27" t="s">
        <v>5549</v>
      </c>
      <c r="C165" s="28">
        <v>1</v>
      </c>
      <c r="D165" s="29">
        <v>6.75</v>
      </c>
      <c r="E165" s="29">
        <v>6.75</v>
      </c>
      <c r="F165" s="30">
        <v>12.99</v>
      </c>
      <c r="G165" s="29">
        <v>12.99</v>
      </c>
      <c r="H165" s="28" t="s">
        <v>5550</v>
      </c>
      <c r="I165" s="27" t="s">
        <v>103</v>
      </c>
      <c r="J165" s="31" t="s">
        <v>5</v>
      </c>
      <c r="K165" s="27" t="s">
        <v>282</v>
      </c>
      <c r="L165" s="27" t="s">
        <v>225</v>
      </c>
      <c r="M165" s="32" t="str">
        <f>HYPERLINK("http://slimages.macys.com/is/image/MCY/3859746 ")</f>
        <v xml:space="preserve">http://slimages.macys.com/is/image/MCY/3859746 </v>
      </c>
    </row>
    <row r="166" spans="1:13" ht="15.2" customHeight="1" x14ac:dyDescent="0.2">
      <c r="A166" s="26" t="s">
        <v>6238</v>
      </c>
      <c r="B166" s="27" t="s">
        <v>6239</v>
      </c>
      <c r="C166" s="28">
        <v>1</v>
      </c>
      <c r="D166" s="29">
        <v>6.35</v>
      </c>
      <c r="E166" s="29">
        <v>6.35</v>
      </c>
      <c r="F166" s="30">
        <v>13.99</v>
      </c>
      <c r="G166" s="29">
        <v>13.99</v>
      </c>
      <c r="H166" s="28" t="s">
        <v>1924</v>
      </c>
      <c r="I166" s="27" t="s">
        <v>215</v>
      </c>
      <c r="J166" s="31" t="s">
        <v>5</v>
      </c>
      <c r="K166" s="27" t="s">
        <v>282</v>
      </c>
      <c r="L166" s="27" t="s">
        <v>312</v>
      </c>
      <c r="M166" s="32" t="str">
        <f>HYPERLINK("http://slimages.macys.com/is/image/MCY/3845015 ")</f>
        <v xml:space="preserve">http://slimages.macys.com/is/image/MCY/3845015 </v>
      </c>
    </row>
    <row r="167" spans="1:13" ht="15.2" customHeight="1" x14ac:dyDescent="0.2">
      <c r="A167" s="26" t="s">
        <v>2993</v>
      </c>
      <c r="B167" s="27" t="s">
        <v>2994</v>
      </c>
      <c r="C167" s="28">
        <v>1</v>
      </c>
      <c r="D167" s="29">
        <v>6.35</v>
      </c>
      <c r="E167" s="29">
        <v>6.35</v>
      </c>
      <c r="F167" s="30">
        <v>12.99</v>
      </c>
      <c r="G167" s="29">
        <v>12.99</v>
      </c>
      <c r="H167" s="28" t="s">
        <v>2995</v>
      </c>
      <c r="I167" s="27" t="s">
        <v>82</v>
      </c>
      <c r="J167" s="31" t="s">
        <v>387</v>
      </c>
      <c r="K167" s="27" t="s">
        <v>282</v>
      </c>
      <c r="L167" s="27" t="s">
        <v>386</v>
      </c>
      <c r="M167" s="32" t="str">
        <f>HYPERLINK("http://slimages.macys.com/is/image/MCY/3687127 ")</f>
        <v xml:space="preserve">http://slimages.macys.com/is/image/MCY/3687127 </v>
      </c>
    </row>
    <row r="168" spans="1:13" ht="15.2" customHeight="1" x14ac:dyDescent="0.2">
      <c r="A168" s="26" t="s">
        <v>6240</v>
      </c>
      <c r="B168" s="27" t="s">
        <v>6241</v>
      </c>
      <c r="C168" s="28">
        <v>1</v>
      </c>
      <c r="D168" s="29">
        <v>6.3</v>
      </c>
      <c r="E168" s="29">
        <v>6.3</v>
      </c>
      <c r="F168" s="30">
        <v>14.99</v>
      </c>
      <c r="G168" s="29">
        <v>14.99</v>
      </c>
      <c r="H168" s="28" t="s">
        <v>2679</v>
      </c>
      <c r="I168" s="27" t="s">
        <v>4</v>
      </c>
      <c r="J168" s="31" t="s">
        <v>5</v>
      </c>
      <c r="K168" s="27" t="s">
        <v>159</v>
      </c>
      <c r="L168" s="27" t="s">
        <v>160</v>
      </c>
      <c r="M168" s="32" t="str">
        <f>HYPERLINK("http://slimages.macys.com/is/image/MCY/3876250 ")</f>
        <v xml:space="preserve">http://slimages.macys.com/is/image/MCY/3876250 </v>
      </c>
    </row>
    <row r="169" spans="1:13" ht="15.2" customHeight="1" x14ac:dyDescent="0.2">
      <c r="A169" s="26" t="s">
        <v>6242</v>
      </c>
      <c r="B169" s="27" t="s">
        <v>6243</v>
      </c>
      <c r="C169" s="28">
        <v>1</v>
      </c>
      <c r="D169" s="29">
        <v>6.25</v>
      </c>
      <c r="E169" s="29">
        <v>6.25</v>
      </c>
      <c r="F169" s="30">
        <v>13.99</v>
      </c>
      <c r="G169" s="29">
        <v>13.99</v>
      </c>
      <c r="H169" s="28" t="s">
        <v>2374</v>
      </c>
      <c r="I169" s="27" t="s">
        <v>271</v>
      </c>
      <c r="J169" s="31" t="s">
        <v>52</v>
      </c>
      <c r="K169" s="27" t="s">
        <v>282</v>
      </c>
      <c r="L169" s="27" t="s">
        <v>260</v>
      </c>
      <c r="M169" s="32" t="str">
        <f>HYPERLINK("http://slimages.macys.com/is/image/MCY/3879621 ")</f>
        <v xml:space="preserve">http://slimages.macys.com/is/image/MCY/3879621 </v>
      </c>
    </row>
    <row r="170" spans="1:13" ht="15.2" customHeight="1" x14ac:dyDescent="0.2">
      <c r="A170" s="26" t="s">
        <v>4495</v>
      </c>
      <c r="B170" s="27" t="s">
        <v>4496</v>
      </c>
      <c r="C170" s="28">
        <v>1</v>
      </c>
      <c r="D170" s="29">
        <v>6.25</v>
      </c>
      <c r="E170" s="29">
        <v>6.25</v>
      </c>
      <c r="F170" s="30">
        <v>13.99</v>
      </c>
      <c r="G170" s="29">
        <v>13.99</v>
      </c>
      <c r="H170" s="28" t="s">
        <v>2374</v>
      </c>
      <c r="I170" s="27" t="s">
        <v>271</v>
      </c>
      <c r="J170" s="31" t="s">
        <v>21</v>
      </c>
      <c r="K170" s="27" t="s">
        <v>282</v>
      </c>
      <c r="L170" s="27" t="s">
        <v>260</v>
      </c>
      <c r="M170" s="32" t="str">
        <f>HYPERLINK("http://slimages.macys.com/is/image/MCY/3879621 ")</f>
        <v xml:space="preserve">http://slimages.macys.com/is/image/MCY/3879621 </v>
      </c>
    </row>
    <row r="171" spans="1:13" ht="15.2" customHeight="1" x14ac:dyDescent="0.2">
      <c r="A171" s="26" t="s">
        <v>6244</v>
      </c>
      <c r="B171" s="27" t="s">
        <v>6245</v>
      </c>
      <c r="C171" s="28">
        <v>1</v>
      </c>
      <c r="D171" s="29">
        <v>6</v>
      </c>
      <c r="E171" s="29">
        <v>6</v>
      </c>
      <c r="F171" s="30">
        <v>13.99</v>
      </c>
      <c r="G171" s="29">
        <v>13.99</v>
      </c>
      <c r="H171" s="28" t="s">
        <v>407</v>
      </c>
      <c r="I171" s="27" t="s">
        <v>8</v>
      </c>
      <c r="J171" s="31" t="s">
        <v>40</v>
      </c>
      <c r="K171" s="27" t="s">
        <v>282</v>
      </c>
      <c r="L171" s="27" t="s">
        <v>260</v>
      </c>
      <c r="M171" s="32" t="str">
        <f>HYPERLINK("http://slimages.macys.com/is/image/MCY/3910835 ")</f>
        <v xml:space="preserve">http://slimages.macys.com/is/image/MCY/3910835 </v>
      </c>
    </row>
    <row r="172" spans="1:13" ht="15.2" customHeight="1" x14ac:dyDescent="0.2">
      <c r="A172" s="26" t="s">
        <v>6246</v>
      </c>
      <c r="B172" s="27" t="s">
        <v>6247</v>
      </c>
      <c r="C172" s="28">
        <v>1</v>
      </c>
      <c r="D172" s="29">
        <v>6</v>
      </c>
      <c r="E172" s="29">
        <v>6</v>
      </c>
      <c r="F172" s="30">
        <v>13.99</v>
      </c>
      <c r="G172" s="29">
        <v>13.99</v>
      </c>
      <c r="H172" s="28" t="s">
        <v>407</v>
      </c>
      <c r="I172" s="27" t="s">
        <v>8</v>
      </c>
      <c r="J172" s="31" t="s">
        <v>5</v>
      </c>
      <c r="K172" s="27" t="s">
        <v>282</v>
      </c>
      <c r="L172" s="27" t="s">
        <v>260</v>
      </c>
      <c r="M172" s="32" t="str">
        <f>HYPERLINK("http://slimages.macys.com/is/image/MCY/3910835 ")</f>
        <v xml:space="preserve">http://slimages.macys.com/is/image/MCY/3910835 </v>
      </c>
    </row>
    <row r="173" spans="1:13" ht="15.2" customHeight="1" x14ac:dyDescent="0.2">
      <c r="A173" s="26" t="s">
        <v>5794</v>
      </c>
      <c r="B173" s="27" t="s">
        <v>5795</v>
      </c>
      <c r="C173" s="28">
        <v>1</v>
      </c>
      <c r="D173" s="29">
        <v>6</v>
      </c>
      <c r="E173" s="29">
        <v>6</v>
      </c>
      <c r="F173" s="30">
        <v>12.99</v>
      </c>
      <c r="G173" s="29">
        <v>12.99</v>
      </c>
      <c r="H173" s="28" t="s">
        <v>5796</v>
      </c>
      <c r="I173" s="27" t="s">
        <v>189</v>
      </c>
      <c r="J173" s="31" t="s">
        <v>40</v>
      </c>
      <c r="K173" s="27" t="s">
        <v>282</v>
      </c>
      <c r="L173" s="27" t="s">
        <v>327</v>
      </c>
      <c r="M173" s="32" t="str">
        <f>HYPERLINK("http://slimages.macys.com/is/image/MCY/3915550 ")</f>
        <v xml:space="preserve">http://slimages.macys.com/is/image/MCY/3915550 </v>
      </c>
    </row>
    <row r="174" spans="1:13" ht="15.2" customHeight="1" x14ac:dyDescent="0.2">
      <c r="A174" s="26" t="s">
        <v>6248</v>
      </c>
      <c r="B174" s="27" t="s">
        <v>6249</v>
      </c>
      <c r="C174" s="28">
        <v>1</v>
      </c>
      <c r="D174" s="29">
        <v>5.95</v>
      </c>
      <c r="E174" s="29">
        <v>5.95</v>
      </c>
      <c r="F174" s="30">
        <v>12.99</v>
      </c>
      <c r="G174" s="29">
        <v>12.99</v>
      </c>
      <c r="H174" s="28" t="s">
        <v>416</v>
      </c>
      <c r="I174" s="27" t="s">
        <v>82</v>
      </c>
      <c r="J174" s="31" t="s">
        <v>71</v>
      </c>
      <c r="K174" s="27" t="s">
        <v>282</v>
      </c>
      <c r="L174" s="27" t="s">
        <v>358</v>
      </c>
      <c r="M174" s="32" t="str">
        <f>HYPERLINK("http://slimages.macys.com/is/image/MCY/3700228 ")</f>
        <v xml:space="preserve">http://slimages.macys.com/is/image/MCY/3700228 </v>
      </c>
    </row>
    <row r="175" spans="1:13" ht="15.2" customHeight="1" x14ac:dyDescent="0.2">
      <c r="A175" s="26" t="s">
        <v>5553</v>
      </c>
      <c r="B175" s="27" t="s">
        <v>5554</v>
      </c>
      <c r="C175" s="28">
        <v>1</v>
      </c>
      <c r="D175" s="29">
        <v>5.95</v>
      </c>
      <c r="E175" s="29">
        <v>5.95</v>
      </c>
      <c r="F175" s="30">
        <v>12.99</v>
      </c>
      <c r="G175" s="29">
        <v>12.99</v>
      </c>
      <c r="H175" s="28" t="s">
        <v>3458</v>
      </c>
      <c r="I175" s="27" t="s">
        <v>265</v>
      </c>
      <c r="J175" s="31" t="s">
        <v>52</v>
      </c>
      <c r="K175" s="27" t="s">
        <v>282</v>
      </c>
      <c r="L175" s="27" t="s">
        <v>358</v>
      </c>
      <c r="M175" s="32" t="str">
        <f>HYPERLINK("http://slimages.macys.com/is/image/MCY/3947094 ")</f>
        <v xml:space="preserve">http://slimages.macys.com/is/image/MCY/3947094 </v>
      </c>
    </row>
    <row r="176" spans="1:13" ht="15.2" customHeight="1" x14ac:dyDescent="0.2">
      <c r="A176" s="26" t="s">
        <v>4649</v>
      </c>
      <c r="B176" s="27" t="s">
        <v>4650</v>
      </c>
      <c r="C176" s="28">
        <v>4</v>
      </c>
      <c r="D176" s="29">
        <v>5.95</v>
      </c>
      <c r="E176" s="29">
        <v>23.8</v>
      </c>
      <c r="F176" s="30">
        <v>12.99</v>
      </c>
      <c r="G176" s="29">
        <v>51.96</v>
      </c>
      <c r="H176" s="28" t="s">
        <v>419</v>
      </c>
      <c r="I176" s="27" t="s">
        <v>280</v>
      </c>
      <c r="J176" s="31" t="s">
        <v>21</v>
      </c>
      <c r="K176" s="27" t="s">
        <v>282</v>
      </c>
      <c r="L176" s="27" t="s">
        <v>358</v>
      </c>
      <c r="M176" s="32" t="str">
        <f>HYPERLINK("http://slimages.macys.com/is/image/MCY/3671497 ")</f>
        <v xml:space="preserve">http://slimages.macys.com/is/image/MCY/3671497 </v>
      </c>
    </row>
    <row r="177" spans="1:13" ht="15.2" customHeight="1" x14ac:dyDescent="0.2">
      <c r="A177" s="26" t="s">
        <v>6250</v>
      </c>
      <c r="B177" s="27" t="s">
        <v>6251</v>
      </c>
      <c r="C177" s="28">
        <v>1</v>
      </c>
      <c r="D177" s="29">
        <v>5.75</v>
      </c>
      <c r="E177" s="29">
        <v>5.75</v>
      </c>
      <c r="F177" s="30">
        <v>14.5</v>
      </c>
      <c r="G177" s="29">
        <v>14.5</v>
      </c>
      <c r="H177" s="28" t="s">
        <v>915</v>
      </c>
      <c r="I177" s="27" t="s">
        <v>59</v>
      </c>
      <c r="J177" s="31" t="s">
        <v>5</v>
      </c>
      <c r="K177" s="27" t="s">
        <v>70</v>
      </c>
      <c r="L177" s="27" t="s">
        <v>353</v>
      </c>
      <c r="M177" s="32" t="str">
        <f>HYPERLINK("http://slimages.macys.com/is/image/MCY/3938464 ")</f>
        <v xml:space="preserve">http://slimages.macys.com/is/image/MCY/3938464 </v>
      </c>
    </row>
    <row r="178" spans="1:13" ht="15.2" customHeight="1" x14ac:dyDescent="0.2">
      <c r="A178" s="26" t="s">
        <v>6252</v>
      </c>
      <c r="B178" s="27" t="s">
        <v>6253</v>
      </c>
      <c r="C178" s="28">
        <v>1</v>
      </c>
      <c r="D178" s="29">
        <v>5.65</v>
      </c>
      <c r="E178" s="29">
        <v>5.65</v>
      </c>
      <c r="F178" s="30">
        <v>12.99</v>
      </c>
      <c r="G178" s="29">
        <v>12.99</v>
      </c>
      <c r="H178" s="28" t="s">
        <v>5167</v>
      </c>
      <c r="I178" s="27" t="s">
        <v>33</v>
      </c>
      <c r="J178" s="31" t="s">
        <v>71</v>
      </c>
      <c r="K178" s="27" t="s">
        <v>282</v>
      </c>
      <c r="L178" s="27" t="s">
        <v>393</v>
      </c>
      <c r="M178" s="32" t="str">
        <f>HYPERLINK("http://slimages.macys.com/is/image/MCY/3797939 ")</f>
        <v xml:space="preserve">http://slimages.macys.com/is/image/MCY/3797939 </v>
      </c>
    </row>
    <row r="179" spans="1:13" ht="15.2" customHeight="1" x14ac:dyDescent="0.2">
      <c r="A179" s="26" t="s">
        <v>3946</v>
      </c>
      <c r="B179" s="27" t="s">
        <v>3947</v>
      </c>
      <c r="C179" s="28">
        <v>2</v>
      </c>
      <c r="D179" s="29">
        <v>5.5</v>
      </c>
      <c r="E179" s="29">
        <v>11</v>
      </c>
      <c r="F179" s="30">
        <v>16.989999999999998</v>
      </c>
      <c r="G179" s="29">
        <v>33.979999999999997</v>
      </c>
      <c r="H179" s="28" t="s">
        <v>431</v>
      </c>
      <c r="I179" s="27" t="s">
        <v>82</v>
      </c>
      <c r="J179" s="31" t="s">
        <v>21</v>
      </c>
      <c r="K179" s="27" t="s">
        <v>282</v>
      </c>
      <c r="L179" s="27" t="s">
        <v>388</v>
      </c>
      <c r="M179" s="32" t="str">
        <f>HYPERLINK("http://slimages.macys.com/is/image/MCY/3953466 ")</f>
        <v xml:space="preserve">http://slimages.macys.com/is/image/MCY/3953466 </v>
      </c>
    </row>
    <row r="180" spans="1:13" ht="15.2" customHeight="1" x14ac:dyDescent="0.2">
      <c r="A180" s="26" t="s">
        <v>3948</v>
      </c>
      <c r="B180" s="27" t="s">
        <v>3949</v>
      </c>
      <c r="C180" s="28">
        <v>1</v>
      </c>
      <c r="D180" s="29">
        <v>5.5</v>
      </c>
      <c r="E180" s="29">
        <v>5.5</v>
      </c>
      <c r="F180" s="30">
        <v>16.989999999999998</v>
      </c>
      <c r="G180" s="29">
        <v>16.989999999999998</v>
      </c>
      <c r="H180" s="28" t="s">
        <v>431</v>
      </c>
      <c r="I180" s="27" t="s">
        <v>82</v>
      </c>
      <c r="J180" s="31" t="s">
        <v>40</v>
      </c>
      <c r="K180" s="27" t="s">
        <v>282</v>
      </c>
      <c r="L180" s="27" t="s">
        <v>388</v>
      </c>
      <c r="M180" s="32" t="str">
        <f>HYPERLINK("http://slimages.macys.com/is/image/MCY/3953466 ")</f>
        <v xml:space="preserve">http://slimages.macys.com/is/image/MCY/3953466 </v>
      </c>
    </row>
    <row r="181" spans="1:13" ht="15.2" customHeight="1" x14ac:dyDescent="0.2">
      <c r="A181" s="26" t="s">
        <v>432</v>
      </c>
      <c r="B181" s="27" t="s">
        <v>433</v>
      </c>
      <c r="C181" s="28">
        <v>5</v>
      </c>
      <c r="D181" s="29">
        <v>5.5</v>
      </c>
      <c r="E181" s="29">
        <v>27.5</v>
      </c>
      <c r="F181" s="30">
        <v>16.989999999999998</v>
      </c>
      <c r="G181" s="29">
        <v>84.95</v>
      </c>
      <c r="H181" s="28" t="s">
        <v>431</v>
      </c>
      <c r="I181" s="27" t="s">
        <v>383</v>
      </c>
      <c r="J181" s="31" t="s">
        <v>21</v>
      </c>
      <c r="K181" s="27" t="s">
        <v>282</v>
      </c>
      <c r="L181" s="27" t="s">
        <v>388</v>
      </c>
      <c r="M181" s="32" t="str">
        <f>HYPERLINK("http://slimages.macys.com/is/image/MCY/3953470 ")</f>
        <v xml:space="preserve">http://slimages.macys.com/is/image/MCY/3953470 </v>
      </c>
    </row>
    <row r="182" spans="1:13" ht="15.2" customHeight="1" x14ac:dyDescent="0.2">
      <c r="A182" s="26" t="s">
        <v>429</v>
      </c>
      <c r="B182" s="27" t="s">
        <v>430</v>
      </c>
      <c r="C182" s="28">
        <v>5</v>
      </c>
      <c r="D182" s="29">
        <v>5.5</v>
      </c>
      <c r="E182" s="29">
        <v>27.5</v>
      </c>
      <c r="F182" s="30">
        <v>16.989999999999998</v>
      </c>
      <c r="G182" s="29">
        <v>84.95</v>
      </c>
      <c r="H182" s="28" t="s">
        <v>431</v>
      </c>
      <c r="I182" s="27" t="s">
        <v>64</v>
      </c>
      <c r="J182" s="31" t="s">
        <v>21</v>
      </c>
      <c r="K182" s="27" t="s">
        <v>282</v>
      </c>
      <c r="L182" s="27" t="s">
        <v>388</v>
      </c>
      <c r="M182" s="32" t="str">
        <f>HYPERLINK("http://slimages.macys.com/is/image/MCY/3953467 ")</f>
        <v xml:space="preserve">http://slimages.macys.com/is/image/MCY/3953467 </v>
      </c>
    </row>
    <row r="183" spans="1:13" ht="15.2" customHeight="1" x14ac:dyDescent="0.2">
      <c r="A183" s="26" t="s">
        <v>436</v>
      </c>
      <c r="B183" s="27" t="s">
        <v>437</v>
      </c>
      <c r="C183" s="28">
        <v>1</v>
      </c>
      <c r="D183" s="29">
        <v>5.5</v>
      </c>
      <c r="E183" s="29">
        <v>5.5</v>
      </c>
      <c r="F183" s="30">
        <v>16.989999999999998</v>
      </c>
      <c r="G183" s="29">
        <v>16.989999999999998</v>
      </c>
      <c r="H183" s="28" t="s">
        <v>431</v>
      </c>
      <c r="I183" s="27" t="s">
        <v>33</v>
      </c>
      <c r="J183" s="31" t="s">
        <v>40</v>
      </c>
      <c r="K183" s="27" t="s">
        <v>282</v>
      </c>
      <c r="L183" s="27" t="s">
        <v>388</v>
      </c>
      <c r="M183" s="32" t="str">
        <f>HYPERLINK("http://slimages.macys.com/is/image/MCY/3890955 ")</f>
        <v xml:space="preserve">http://slimages.macys.com/is/image/MCY/3890955 </v>
      </c>
    </row>
    <row r="184" spans="1:13" ht="15.2" customHeight="1" x14ac:dyDescent="0.2">
      <c r="A184" s="26" t="s">
        <v>926</v>
      </c>
      <c r="B184" s="27" t="s">
        <v>927</v>
      </c>
      <c r="C184" s="28">
        <v>1</v>
      </c>
      <c r="D184" s="29">
        <v>5.5</v>
      </c>
      <c r="E184" s="29">
        <v>5.5</v>
      </c>
      <c r="F184" s="30">
        <v>16.989999999999998</v>
      </c>
      <c r="G184" s="29">
        <v>16.989999999999998</v>
      </c>
      <c r="H184" s="28" t="s">
        <v>431</v>
      </c>
      <c r="I184" s="27" t="s">
        <v>64</v>
      </c>
      <c r="J184" s="31" t="s">
        <v>40</v>
      </c>
      <c r="K184" s="27" t="s">
        <v>282</v>
      </c>
      <c r="L184" s="27" t="s">
        <v>388</v>
      </c>
      <c r="M184" s="32" t="str">
        <f>HYPERLINK("http://slimages.macys.com/is/image/MCY/3953467 ")</f>
        <v xml:space="preserve">http://slimages.macys.com/is/image/MCY/3953467 </v>
      </c>
    </row>
    <row r="185" spans="1:13" ht="15.2" customHeight="1" x14ac:dyDescent="0.2">
      <c r="A185" s="26" t="s">
        <v>6057</v>
      </c>
      <c r="B185" s="27" t="s">
        <v>6058</v>
      </c>
      <c r="C185" s="28">
        <v>1</v>
      </c>
      <c r="D185" s="29">
        <v>5.5</v>
      </c>
      <c r="E185" s="29">
        <v>5.5</v>
      </c>
      <c r="F185" s="30">
        <v>16.989999999999998</v>
      </c>
      <c r="G185" s="29">
        <v>16.989999999999998</v>
      </c>
      <c r="H185" s="28" t="s">
        <v>431</v>
      </c>
      <c r="I185" s="27" t="s">
        <v>59</v>
      </c>
      <c r="J185" s="31" t="s">
        <v>21</v>
      </c>
      <c r="K185" s="27" t="s">
        <v>282</v>
      </c>
      <c r="L185" s="27" t="s">
        <v>388</v>
      </c>
      <c r="M185" s="32" t="str">
        <f>HYPERLINK("http://slimages.macys.com/is/image/MCY/3953469 ")</f>
        <v xml:space="preserve">http://slimages.macys.com/is/image/MCY/3953469 </v>
      </c>
    </row>
    <row r="186" spans="1:13" ht="15.2" customHeight="1" x14ac:dyDescent="0.2">
      <c r="A186" s="26" t="s">
        <v>434</v>
      </c>
      <c r="B186" s="27" t="s">
        <v>435</v>
      </c>
      <c r="C186" s="28">
        <v>1</v>
      </c>
      <c r="D186" s="29">
        <v>5.5</v>
      </c>
      <c r="E186" s="29">
        <v>5.5</v>
      </c>
      <c r="F186" s="30">
        <v>16.989999999999998</v>
      </c>
      <c r="G186" s="29">
        <v>16.989999999999998</v>
      </c>
      <c r="H186" s="28" t="s">
        <v>431</v>
      </c>
      <c r="I186" s="27" t="s">
        <v>383</v>
      </c>
      <c r="J186" s="31" t="s">
        <v>40</v>
      </c>
      <c r="K186" s="27" t="s">
        <v>282</v>
      </c>
      <c r="L186" s="27" t="s">
        <v>388</v>
      </c>
      <c r="M186" s="32" t="str">
        <f>HYPERLINK("http://slimages.macys.com/is/image/MCY/3953470 ")</f>
        <v xml:space="preserve">http://slimages.macys.com/is/image/MCY/3953470 </v>
      </c>
    </row>
    <row r="187" spans="1:13" ht="15.2" customHeight="1" x14ac:dyDescent="0.2">
      <c r="A187" s="26" t="s">
        <v>443</v>
      </c>
      <c r="B187" s="27" t="s">
        <v>444</v>
      </c>
      <c r="C187" s="28">
        <v>2</v>
      </c>
      <c r="D187" s="29">
        <v>5.5</v>
      </c>
      <c r="E187" s="29">
        <v>11</v>
      </c>
      <c r="F187" s="30">
        <v>16.989999999999998</v>
      </c>
      <c r="G187" s="29">
        <v>33.979999999999997</v>
      </c>
      <c r="H187" s="28" t="s">
        <v>431</v>
      </c>
      <c r="I187" s="27" t="s">
        <v>383</v>
      </c>
      <c r="J187" s="31" t="s">
        <v>5</v>
      </c>
      <c r="K187" s="27" t="s">
        <v>282</v>
      </c>
      <c r="L187" s="27" t="s">
        <v>388</v>
      </c>
      <c r="M187" s="32" t="str">
        <f>HYPERLINK("http://slimages.macys.com/is/image/MCY/3953470 ")</f>
        <v xml:space="preserve">http://slimages.macys.com/is/image/MCY/3953470 </v>
      </c>
    </row>
    <row r="188" spans="1:13" ht="15.2" customHeight="1" x14ac:dyDescent="0.2">
      <c r="A188" s="26" t="s">
        <v>5487</v>
      </c>
      <c r="B188" s="27" t="s">
        <v>5488</v>
      </c>
      <c r="C188" s="28">
        <v>1</v>
      </c>
      <c r="D188" s="29">
        <v>5.5</v>
      </c>
      <c r="E188" s="29">
        <v>5.5</v>
      </c>
      <c r="F188" s="30">
        <v>16.989999999999998</v>
      </c>
      <c r="G188" s="29">
        <v>16.989999999999998</v>
      </c>
      <c r="H188" s="28" t="s">
        <v>431</v>
      </c>
      <c r="I188" s="27" t="s">
        <v>59</v>
      </c>
      <c r="J188" s="31" t="s">
        <v>52</v>
      </c>
      <c r="K188" s="27" t="s">
        <v>282</v>
      </c>
      <c r="L188" s="27" t="s">
        <v>388</v>
      </c>
      <c r="M188" s="32" t="str">
        <f>HYPERLINK("http://slimages.macys.com/is/image/MCY/3953469 ")</f>
        <v xml:space="preserve">http://slimages.macys.com/is/image/MCY/3953469 </v>
      </c>
    </row>
    <row r="189" spans="1:13" ht="15.2" customHeight="1" x14ac:dyDescent="0.2">
      <c r="A189" s="26" t="s">
        <v>1945</v>
      </c>
      <c r="B189" s="27" t="s">
        <v>1946</v>
      </c>
      <c r="C189" s="28">
        <v>2</v>
      </c>
      <c r="D189" s="29">
        <v>5.5</v>
      </c>
      <c r="E189" s="29">
        <v>11</v>
      </c>
      <c r="F189" s="30">
        <v>16.989999999999998</v>
      </c>
      <c r="G189" s="29">
        <v>33.979999999999997</v>
      </c>
      <c r="H189" s="28" t="s">
        <v>431</v>
      </c>
      <c r="I189" s="27" t="s">
        <v>64</v>
      </c>
      <c r="J189" s="31" t="s">
        <v>5</v>
      </c>
      <c r="K189" s="27" t="s">
        <v>282</v>
      </c>
      <c r="L189" s="27" t="s">
        <v>388</v>
      </c>
      <c r="M189" s="32" t="str">
        <f>HYPERLINK("http://slimages.macys.com/is/image/MCY/3953467 ")</f>
        <v xml:space="preserve">http://slimages.macys.com/is/image/MCY/3953467 </v>
      </c>
    </row>
    <row r="190" spans="1:13" ht="15.2" customHeight="1" x14ac:dyDescent="0.2">
      <c r="A190" s="26" t="s">
        <v>2704</v>
      </c>
      <c r="B190" s="27" t="s">
        <v>2705</v>
      </c>
      <c r="C190" s="28">
        <v>1</v>
      </c>
      <c r="D190" s="29">
        <v>5.46</v>
      </c>
      <c r="E190" s="29">
        <v>5.46</v>
      </c>
      <c r="F190" s="30">
        <v>12.99</v>
      </c>
      <c r="G190" s="29">
        <v>12.99</v>
      </c>
      <c r="H190" s="28" t="s">
        <v>933</v>
      </c>
      <c r="I190" s="27" t="s">
        <v>291</v>
      </c>
      <c r="J190" s="31" t="s">
        <v>5</v>
      </c>
      <c r="K190" s="27" t="s">
        <v>159</v>
      </c>
      <c r="L190" s="27" t="s">
        <v>160</v>
      </c>
      <c r="M190" s="32" t="str">
        <f>HYPERLINK("http://slimages.macys.com/is/image/MCY/3857696 ")</f>
        <v xml:space="preserve">http://slimages.macys.com/is/image/MCY/3857696 </v>
      </c>
    </row>
    <row r="191" spans="1:13" ht="15.2" customHeight="1" x14ac:dyDescent="0.2">
      <c r="A191" s="26" t="s">
        <v>6254</v>
      </c>
      <c r="B191" s="27" t="s">
        <v>6255</v>
      </c>
      <c r="C191" s="28">
        <v>1</v>
      </c>
      <c r="D191" s="29">
        <v>5.46</v>
      </c>
      <c r="E191" s="29">
        <v>5.46</v>
      </c>
      <c r="F191" s="30">
        <v>12.99</v>
      </c>
      <c r="G191" s="29">
        <v>12.99</v>
      </c>
      <c r="H191" s="28" t="s">
        <v>6256</v>
      </c>
      <c r="I191" s="27" t="s">
        <v>64</v>
      </c>
      <c r="J191" s="31" t="s">
        <v>5</v>
      </c>
      <c r="K191" s="27" t="s">
        <v>159</v>
      </c>
      <c r="L191" s="27" t="s">
        <v>160</v>
      </c>
      <c r="M191" s="32" t="str">
        <f>HYPERLINK("http://slimages.macys.com/is/image/MCY/3899768 ")</f>
        <v xml:space="preserve">http://slimages.macys.com/is/image/MCY/3899768 </v>
      </c>
    </row>
    <row r="192" spans="1:13" ht="15.2" customHeight="1" x14ac:dyDescent="0.2">
      <c r="A192" s="26" t="s">
        <v>4768</v>
      </c>
      <c r="B192" s="27" t="s">
        <v>4769</v>
      </c>
      <c r="C192" s="28">
        <v>1</v>
      </c>
      <c r="D192" s="29">
        <v>5.46</v>
      </c>
      <c r="E192" s="29">
        <v>5.46</v>
      </c>
      <c r="F192" s="30">
        <v>12.99</v>
      </c>
      <c r="G192" s="29">
        <v>12.99</v>
      </c>
      <c r="H192" s="28" t="s">
        <v>933</v>
      </c>
      <c r="I192" s="27" t="s">
        <v>291</v>
      </c>
      <c r="J192" s="31" t="s">
        <v>21</v>
      </c>
      <c r="K192" s="27" t="s">
        <v>159</v>
      </c>
      <c r="L192" s="27" t="s">
        <v>160</v>
      </c>
      <c r="M192" s="32" t="str">
        <f>HYPERLINK("http://slimages.macys.com/is/image/MCY/3857696 ")</f>
        <v xml:space="preserve">http://slimages.macys.com/is/image/MCY/3857696 </v>
      </c>
    </row>
    <row r="193" spans="1:13" ht="15.2" customHeight="1" x14ac:dyDescent="0.2">
      <c r="A193" s="26" t="s">
        <v>5489</v>
      </c>
      <c r="B193" s="27" t="s">
        <v>5490</v>
      </c>
      <c r="C193" s="28">
        <v>1</v>
      </c>
      <c r="D193" s="29">
        <v>5.45</v>
      </c>
      <c r="E193" s="29">
        <v>5.45</v>
      </c>
      <c r="F193" s="30">
        <v>12.99</v>
      </c>
      <c r="G193" s="29">
        <v>12.99</v>
      </c>
      <c r="H193" s="28" t="s">
        <v>3017</v>
      </c>
      <c r="I193" s="27" t="s">
        <v>478</v>
      </c>
      <c r="J193" s="31" t="s">
        <v>5</v>
      </c>
      <c r="K193" s="27" t="s">
        <v>159</v>
      </c>
      <c r="L193" s="27" t="s">
        <v>160</v>
      </c>
      <c r="M193" s="32" t="str">
        <f>HYPERLINK("http://slimages.macys.com/is/image/MCY/2717665 ")</f>
        <v xml:space="preserve">http://slimages.macys.com/is/image/MCY/2717665 </v>
      </c>
    </row>
    <row r="194" spans="1:13" ht="15.2" customHeight="1" x14ac:dyDescent="0.2">
      <c r="A194" s="26" t="s">
        <v>6257</v>
      </c>
      <c r="B194" s="27" t="s">
        <v>6258</v>
      </c>
      <c r="C194" s="28">
        <v>1</v>
      </c>
      <c r="D194" s="29">
        <v>4.67</v>
      </c>
      <c r="E194" s="29">
        <v>4.67</v>
      </c>
      <c r="F194" s="30">
        <v>12.99</v>
      </c>
      <c r="G194" s="29">
        <v>12.99</v>
      </c>
      <c r="H194" s="28" t="s">
        <v>1585</v>
      </c>
      <c r="I194" s="27" t="s">
        <v>4</v>
      </c>
      <c r="J194" s="31" t="s">
        <v>21</v>
      </c>
      <c r="K194" s="27" t="s">
        <v>282</v>
      </c>
      <c r="L194" s="27" t="s">
        <v>349</v>
      </c>
      <c r="M194" s="32" t="str">
        <f>HYPERLINK("http://slimages.macys.com/is/image/MCY/3875947 ")</f>
        <v xml:space="preserve">http://slimages.macys.com/is/image/MCY/3875947 </v>
      </c>
    </row>
    <row r="195" spans="1:13" ht="15.2" customHeight="1" x14ac:dyDescent="0.2">
      <c r="A195" s="26" t="s">
        <v>1583</v>
      </c>
      <c r="B195" s="27" t="s">
        <v>1584</v>
      </c>
      <c r="C195" s="28">
        <v>1</v>
      </c>
      <c r="D195" s="29">
        <v>4.67</v>
      </c>
      <c r="E195" s="29">
        <v>4.67</v>
      </c>
      <c r="F195" s="30">
        <v>12.99</v>
      </c>
      <c r="G195" s="29">
        <v>12.99</v>
      </c>
      <c r="H195" s="28" t="s">
        <v>1585</v>
      </c>
      <c r="I195" s="27" t="s">
        <v>4</v>
      </c>
      <c r="J195" s="31" t="s">
        <v>5</v>
      </c>
      <c r="K195" s="27" t="s">
        <v>282</v>
      </c>
      <c r="L195" s="27" t="s">
        <v>349</v>
      </c>
      <c r="M195" s="32" t="str">
        <f>HYPERLINK("http://slimages.macys.com/is/image/MCY/3875947 ")</f>
        <v xml:space="preserve">http://slimages.macys.com/is/image/MCY/3875947 </v>
      </c>
    </row>
    <row r="196" spans="1:13" ht="15.2" customHeight="1" x14ac:dyDescent="0.2">
      <c r="A196" s="26" t="s">
        <v>3470</v>
      </c>
      <c r="B196" s="27" t="s">
        <v>3471</v>
      </c>
      <c r="C196" s="28">
        <v>1</v>
      </c>
      <c r="D196" s="29">
        <v>4.67</v>
      </c>
      <c r="E196" s="29">
        <v>4.67</v>
      </c>
      <c r="F196" s="30">
        <v>12.99</v>
      </c>
      <c r="G196" s="29">
        <v>12.99</v>
      </c>
      <c r="H196" s="28" t="s">
        <v>3467</v>
      </c>
      <c r="I196" s="27" t="s">
        <v>36</v>
      </c>
      <c r="J196" s="31" t="s">
        <v>5</v>
      </c>
      <c r="K196" s="27" t="s">
        <v>282</v>
      </c>
      <c r="L196" s="27" t="s">
        <v>349</v>
      </c>
      <c r="M196" s="32" t="str">
        <f>HYPERLINK("http://slimages.macys.com/is/image/MCY/3875946 ")</f>
        <v xml:space="preserve">http://slimages.macys.com/is/image/MCY/3875946 </v>
      </c>
    </row>
    <row r="197" spans="1:13" ht="15.2" customHeight="1" x14ac:dyDescent="0.2">
      <c r="A197" s="26" t="s">
        <v>3960</v>
      </c>
      <c r="B197" s="27" t="s">
        <v>3961</v>
      </c>
      <c r="C197" s="28">
        <v>2</v>
      </c>
      <c r="D197" s="29">
        <v>4.67</v>
      </c>
      <c r="E197" s="29">
        <v>9.34</v>
      </c>
      <c r="F197" s="30">
        <v>12.99</v>
      </c>
      <c r="G197" s="29">
        <v>25.98</v>
      </c>
      <c r="H197" s="28" t="s">
        <v>3025</v>
      </c>
      <c r="I197" s="27" t="s">
        <v>82</v>
      </c>
      <c r="J197" s="31" t="s">
        <v>5</v>
      </c>
      <c r="K197" s="27" t="s">
        <v>282</v>
      </c>
      <c r="L197" s="27" t="s">
        <v>349</v>
      </c>
      <c r="M197" s="32" t="str">
        <f>HYPERLINK("http://slimages.macys.com/is/image/MCY/3890878 ")</f>
        <v xml:space="preserve">http://slimages.macys.com/is/image/MCY/3890878 </v>
      </c>
    </row>
    <row r="198" spans="1:13" ht="15.2" customHeight="1" x14ac:dyDescent="0.2">
      <c r="A198" s="26" t="s">
        <v>3023</v>
      </c>
      <c r="B198" s="27" t="s">
        <v>3024</v>
      </c>
      <c r="C198" s="28">
        <v>1</v>
      </c>
      <c r="D198" s="29">
        <v>4.67</v>
      </c>
      <c r="E198" s="29">
        <v>4.67</v>
      </c>
      <c r="F198" s="30">
        <v>12.99</v>
      </c>
      <c r="G198" s="29">
        <v>12.99</v>
      </c>
      <c r="H198" s="28" t="s">
        <v>3025</v>
      </c>
      <c r="I198" s="27" t="s">
        <v>82</v>
      </c>
      <c r="J198" s="31" t="s">
        <v>52</v>
      </c>
      <c r="K198" s="27" t="s">
        <v>282</v>
      </c>
      <c r="L198" s="27" t="s">
        <v>349</v>
      </c>
      <c r="M198" s="32" t="str">
        <f>HYPERLINK("http://slimages.macys.com/is/image/MCY/3890878 ")</f>
        <v xml:space="preserve">http://slimages.macys.com/is/image/MCY/3890878 </v>
      </c>
    </row>
    <row r="199" spans="1:13" ht="15.2" customHeight="1" x14ac:dyDescent="0.2">
      <c r="A199" s="26" t="s">
        <v>3018</v>
      </c>
      <c r="B199" s="27" t="s">
        <v>3019</v>
      </c>
      <c r="C199" s="28">
        <v>1</v>
      </c>
      <c r="D199" s="29">
        <v>4.67</v>
      </c>
      <c r="E199" s="29">
        <v>4.67</v>
      </c>
      <c r="F199" s="30">
        <v>12.99</v>
      </c>
      <c r="G199" s="29">
        <v>12.99</v>
      </c>
      <c r="H199" s="28" t="s">
        <v>3020</v>
      </c>
      <c r="I199" s="27" t="s">
        <v>82</v>
      </c>
      <c r="J199" s="31" t="s">
        <v>5</v>
      </c>
      <c r="K199" s="27" t="s">
        <v>282</v>
      </c>
      <c r="L199" s="27" t="s">
        <v>349</v>
      </c>
      <c r="M199" s="32" t="str">
        <f>HYPERLINK("http://slimages.macys.com/is/image/MCY/3890879 ")</f>
        <v xml:space="preserve">http://slimages.macys.com/is/image/MCY/3890879 </v>
      </c>
    </row>
    <row r="200" spans="1:13" ht="15.2" customHeight="1" x14ac:dyDescent="0.2">
      <c r="A200" s="26" t="s">
        <v>6259</v>
      </c>
      <c r="B200" s="27" t="s">
        <v>6260</v>
      </c>
      <c r="C200" s="28">
        <v>1</v>
      </c>
      <c r="D200" s="29">
        <v>4.67</v>
      </c>
      <c r="E200" s="29">
        <v>4.67</v>
      </c>
      <c r="F200" s="30">
        <v>12.99</v>
      </c>
      <c r="G200" s="29">
        <v>12.99</v>
      </c>
      <c r="H200" s="28" t="s">
        <v>3025</v>
      </c>
      <c r="I200" s="27" t="s">
        <v>82</v>
      </c>
      <c r="J200" s="31" t="s">
        <v>21</v>
      </c>
      <c r="K200" s="27" t="s">
        <v>282</v>
      </c>
      <c r="L200" s="27" t="s">
        <v>349</v>
      </c>
      <c r="M200" s="32" t="str">
        <f>HYPERLINK("http://slimages.macys.com/is/image/MCY/3890878 ")</f>
        <v xml:space="preserve">http://slimages.macys.com/is/image/MCY/3890878 </v>
      </c>
    </row>
    <row r="201" spans="1:13" ht="15.2" customHeight="1" x14ac:dyDescent="0.2">
      <c r="A201" s="26" t="s">
        <v>4853</v>
      </c>
      <c r="B201" s="27" t="s">
        <v>4854</v>
      </c>
      <c r="C201" s="28">
        <v>1</v>
      </c>
      <c r="D201" s="29">
        <v>4.67</v>
      </c>
      <c r="E201" s="29">
        <v>4.67</v>
      </c>
      <c r="F201" s="30">
        <v>12.99</v>
      </c>
      <c r="G201" s="29">
        <v>12.99</v>
      </c>
      <c r="H201" s="28" t="s">
        <v>1961</v>
      </c>
      <c r="I201" s="27" t="s">
        <v>39</v>
      </c>
      <c r="J201" s="31" t="s">
        <v>52</v>
      </c>
      <c r="K201" s="27" t="s">
        <v>282</v>
      </c>
      <c r="L201" s="27" t="s">
        <v>349</v>
      </c>
      <c r="M201" s="32" t="str">
        <f>HYPERLINK("http://slimages.macys.com/is/image/MCY/3890877 ")</f>
        <v xml:space="preserve">http://slimages.macys.com/is/image/MCY/3890877 </v>
      </c>
    </row>
    <row r="202" spans="1:13" ht="15.2" customHeight="1" x14ac:dyDescent="0.2">
      <c r="A202" s="26" t="s">
        <v>1966</v>
      </c>
      <c r="B202" s="27" t="s">
        <v>1967</v>
      </c>
      <c r="C202" s="28">
        <v>1</v>
      </c>
      <c r="D202" s="29">
        <v>4.6500000000000004</v>
      </c>
      <c r="E202" s="29">
        <v>4.6500000000000004</v>
      </c>
      <c r="F202" s="30">
        <v>10.99</v>
      </c>
      <c r="G202" s="29">
        <v>10.99</v>
      </c>
      <c r="H202" s="28">
        <v>60359814</v>
      </c>
      <c r="I202" s="27" t="s">
        <v>82</v>
      </c>
      <c r="J202" s="31" t="s">
        <v>52</v>
      </c>
      <c r="K202" s="27" t="s">
        <v>282</v>
      </c>
      <c r="L202" s="27" t="s">
        <v>255</v>
      </c>
      <c r="M202" s="32" t="str">
        <f>HYPERLINK("http://slimages.macys.com/is/image/MCY/2308510 ")</f>
        <v xml:space="preserve">http://slimages.macys.com/is/image/MCY/2308510 </v>
      </c>
    </row>
    <row r="203" spans="1:13" ht="15.2" customHeight="1" x14ac:dyDescent="0.2">
      <c r="A203" s="26" t="s">
        <v>3472</v>
      </c>
      <c r="B203" s="27" t="s">
        <v>3473</v>
      </c>
      <c r="C203" s="28">
        <v>3</v>
      </c>
      <c r="D203" s="29">
        <v>4.6500000000000004</v>
      </c>
      <c r="E203" s="29">
        <v>13.95</v>
      </c>
      <c r="F203" s="30">
        <v>10.99</v>
      </c>
      <c r="G203" s="29">
        <v>32.97</v>
      </c>
      <c r="H203" s="28">
        <v>60359814</v>
      </c>
      <c r="I203" s="27" t="s">
        <v>4</v>
      </c>
      <c r="J203" s="31" t="s">
        <v>40</v>
      </c>
      <c r="K203" s="27" t="s">
        <v>282</v>
      </c>
      <c r="L203" s="27" t="s">
        <v>255</v>
      </c>
      <c r="M203" s="32" t="str">
        <f>HYPERLINK("http://slimages.macys.com/is/image/MCY/2308508 ")</f>
        <v xml:space="preserve">http://slimages.macys.com/is/image/MCY/2308508 </v>
      </c>
    </row>
    <row r="204" spans="1:13" ht="15.2" customHeight="1" x14ac:dyDescent="0.2">
      <c r="A204" s="26" t="s">
        <v>455</v>
      </c>
      <c r="B204" s="27" t="s">
        <v>456</v>
      </c>
      <c r="C204" s="28">
        <v>2</v>
      </c>
      <c r="D204" s="29">
        <v>4.6500000000000004</v>
      </c>
      <c r="E204" s="29">
        <v>9.3000000000000007</v>
      </c>
      <c r="F204" s="30">
        <v>10.99</v>
      </c>
      <c r="G204" s="29">
        <v>21.98</v>
      </c>
      <c r="H204" s="28">
        <v>60359814</v>
      </c>
      <c r="I204" s="27" t="s">
        <v>4</v>
      </c>
      <c r="J204" s="31" t="s">
        <v>21</v>
      </c>
      <c r="K204" s="27" t="s">
        <v>282</v>
      </c>
      <c r="L204" s="27" t="s">
        <v>255</v>
      </c>
      <c r="M204" s="32" t="str">
        <f>HYPERLINK("http://slimages.macys.com/is/image/MCY/2308508 ")</f>
        <v xml:space="preserve">http://slimages.macys.com/is/image/MCY/2308508 </v>
      </c>
    </row>
    <row r="205" spans="1:13" ht="15.2" customHeight="1" x14ac:dyDescent="0.2">
      <c r="A205" s="26" t="s">
        <v>1962</v>
      </c>
      <c r="B205" s="27" t="s">
        <v>1963</v>
      </c>
      <c r="C205" s="28">
        <v>3</v>
      </c>
      <c r="D205" s="29">
        <v>4.6500000000000004</v>
      </c>
      <c r="E205" s="29">
        <v>13.95</v>
      </c>
      <c r="F205" s="30">
        <v>10.99</v>
      </c>
      <c r="G205" s="29">
        <v>32.97</v>
      </c>
      <c r="H205" s="28">
        <v>60359814</v>
      </c>
      <c r="I205" s="27" t="s">
        <v>4</v>
      </c>
      <c r="J205" s="31" t="s">
        <v>5</v>
      </c>
      <c r="K205" s="27" t="s">
        <v>282</v>
      </c>
      <c r="L205" s="27" t="s">
        <v>255</v>
      </c>
      <c r="M205" s="32" t="str">
        <f>HYPERLINK("http://slimages.macys.com/is/image/MCY/2308508 ")</f>
        <v xml:space="preserve">http://slimages.macys.com/is/image/MCY/2308508 </v>
      </c>
    </row>
    <row r="206" spans="1:13" ht="15.2" customHeight="1" x14ac:dyDescent="0.2">
      <c r="A206" s="26" t="s">
        <v>6261</v>
      </c>
      <c r="B206" s="27" t="s">
        <v>6262</v>
      </c>
      <c r="C206" s="28">
        <v>1</v>
      </c>
      <c r="D206" s="29">
        <v>4.6500000000000004</v>
      </c>
      <c r="E206" s="29">
        <v>4.6500000000000004</v>
      </c>
      <c r="F206" s="30">
        <v>10.99</v>
      </c>
      <c r="G206" s="29">
        <v>10.99</v>
      </c>
      <c r="H206" s="28">
        <v>60359814</v>
      </c>
      <c r="I206" s="27" t="s">
        <v>82</v>
      </c>
      <c r="J206" s="31" t="s">
        <v>5</v>
      </c>
      <c r="K206" s="27" t="s">
        <v>282</v>
      </c>
      <c r="L206" s="27" t="s">
        <v>255</v>
      </c>
      <c r="M206" s="32" t="str">
        <f>HYPERLINK("http://slimages.macys.com/is/image/MCY/3841046 ")</f>
        <v xml:space="preserve">http://slimages.macys.com/is/image/MCY/3841046 </v>
      </c>
    </row>
    <row r="207" spans="1:13" ht="15.2" customHeight="1" x14ac:dyDescent="0.2">
      <c r="A207" s="26" t="s">
        <v>4239</v>
      </c>
      <c r="B207" s="27" t="s">
        <v>4240</v>
      </c>
      <c r="C207" s="28">
        <v>1</v>
      </c>
      <c r="D207" s="29">
        <v>4.6500000000000004</v>
      </c>
      <c r="E207" s="29">
        <v>4.6500000000000004</v>
      </c>
      <c r="F207" s="30">
        <v>10.99</v>
      </c>
      <c r="G207" s="29">
        <v>10.99</v>
      </c>
      <c r="H207" s="28">
        <v>60359814</v>
      </c>
      <c r="I207" s="27" t="s">
        <v>82</v>
      </c>
      <c r="J207" s="31" t="s">
        <v>71</v>
      </c>
      <c r="K207" s="27" t="s">
        <v>282</v>
      </c>
      <c r="L207" s="27" t="s">
        <v>255</v>
      </c>
      <c r="M207" s="32" t="str">
        <f>HYPERLINK("http://slimages.macys.com/is/image/MCY/2308508 ")</f>
        <v xml:space="preserve">http://slimages.macys.com/is/image/MCY/2308508 </v>
      </c>
    </row>
    <row r="208" spans="1:13" ht="15.2" customHeight="1" x14ac:dyDescent="0.2">
      <c r="A208" s="26" t="s">
        <v>6067</v>
      </c>
      <c r="B208" s="27" t="s">
        <v>6068</v>
      </c>
      <c r="C208" s="28">
        <v>1</v>
      </c>
      <c r="D208" s="29">
        <v>4.6500000000000004</v>
      </c>
      <c r="E208" s="29">
        <v>4.6500000000000004</v>
      </c>
      <c r="F208" s="30">
        <v>10.99</v>
      </c>
      <c r="G208" s="29">
        <v>10.99</v>
      </c>
      <c r="H208" s="28">
        <v>60359814</v>
      </c>
      <c r="I208" s="27" t="s">
        <v>33</v>
      </c>
      <c r="J208" s="31" t="s">
        <v>5</v>
      </c>
      <c r="K208" s="27" t="s">
        <v>282</v>
      </c>
      <c r="L208" s="27" t="s">
        <v>255</v>
      </c>
      <c r="M208" s="32" t="str">
        <f>HYPERLINK("http://slimages.macys.com/is/image/MCY/2308510 ")</f>
        <v xml:space="preserve">http://slimages.macys.com/is/image/MCY/2308510 </v>
      </c>
    </row>
    <row r="209" spans="1:13" ht="15.2" customHeight="1" x14ac:dyDescent="0.2">
      <c r="A209" s="26" t="s">
        <v>6065</v>
      </c>
      <c r="B209" s="27" t="s">
        <v>6066</v>
      </c>
      <c r="C209" s="28">
        <v>1</v>
      </c>
      <c r="D209" s="29">
        <v>4.6500000000000004</v>
      </c>
      <c r="E209" s="29">
        <v>4.6500000000000004</v>
      </c>
      <c r="F209" s="30">
        <v>10.99</v>
      </c>
      <c r="G209" s="29">
        <v>10.99</v>
      </c>
      <c r="H209" s="28">
        <v>60359814</v>
      </c>
      <c r="I209" s="27" t="s">
        <v>33</v>
      </c>
      <c r="J209" s="31" t="s">
        <v>21</v>
      </c>
      <c r="K209" s="27" t="s">
        <v>282</v>
      </c>
      <c r="L209" s="27" t="s">
        <v>255</v>
      </c>
      <c r="M209" s="32" t="str">
        <f>HYPERLINK("http://slimages.macys.com/is/image/MCY/2308510 ")</f>
        <v xml:space="preserve">http://slimages.macys.com/is/image/MCY/2308510 </v>
      </c>
    </row>
    <row r="210" spans="1:13" ht="15.2" customHeight="1" x14ac:dyDescent="0.2">
      <c r="A210" s="26" t="s">
        <v>4371</v>
      </c>
      <c r="B210" s="27" t="s">
        <v>4372</v>
      </c>
      <c r="C210" s="28">
        <v>2</v>
      </c>
      <c r="D210" s="29">
        <v>4.3499999999999996</v>
      </c>
      <c r="E210" s="29">
        <v>8.6999999999999993</v>
      </c>
      <c r="F210" s="30">
        <v>13.99</v>
      </c>
      <c r="G210" s="29">
        <v>27.98</v>
      </c>
      <c r="H210" s="28" t="s">
        <v>948</v>
      </c>
      <c r="I210" s="27" t="s">
        <v>82</v>
      </c>
      <c r="J210" s="31" t="s">
        <v>40</v>
      </c>
      <c r="K210" s="27" t="s">
        <v>282</v>
      </c>
      <c r="L210" s="27" t="s">
        <v>325</v>
      </c>
      <c r="M210" s="32" t="str">
        <f>HYPERLINK("http://slimages.macys.com/is/image/MCY/3931147 ")</f>
        <v xml:space="preserve">http://slimages.macys.com/is/image/MCY/3931147 </v>
      </c>
    </row>
    <row r="211" spans="1:13" ht="15.2" customHeight="1" x14ac:dyDescent="0.2">
      <c r="A211" s="26" t="s">
        <v>4373</v>
      </c>
      <c r="B211" s="27" t="s">
        <v>4374</v>
      </c>
      <c r="C211" s="28">
        <v>1</v>
      </c>
      <c r="D211" s="29">
        <v>4.3499999999999996</v>
      </c>
      <c r="E211" s="29">
        <v>4.3499999999999996</v>
      </c>
      <c r="F211" s="30">
        <v>13.99</v>
      </c>
      <c r="G211" s="29">
        <v>13.99</v>
      </c>
      <c r="H211" s="28" t="s">
        <v>948</v>
      </c>
      <c r="I211" s="27" t="s">
        <v>4</v>
      </c>
      <c r="J211" s="31" t="s">
        <v>71</v>
      </c>
      <c r="K211" s="27" t="s">
        <v>282</v>
      </c>
      <c r="L211" s="27" t="s">
        <v>325</v>
      </c>
      <c r="M211" s="32" t="str">
        <f>HYPERLINK("http://slimages.macys.com/is/image/MCY/3931147 ")</f>
        <v xml:space="preserve">http://slimages.macys.com/is/image/MCY/3931147 </v>
      </c>
    </row>
    <row r="212" spans="1:13" ht="15.2" customHeight="1" x14ac:dyDescent="0.2">
      <c r="A212" s="26" t="s">
        <v>6263</v>
      </c>
      <c r="B212" s="27" t="s">
        <v>6264</v>
      </c>
      <c r="C212" s="28">
        <v>1</v>
      </c>
      <c r="D212" s="29">
        <v>4.3499999999999996</v>
      </c>
      <c r="E212" s="29">
        <v>4.3499999999999996</v>
      </c>
      <c r="F212" s="30">
        <v>13.99</v>
      </c>
      <c r="G212" s="29">
        <v>13.99</v>
      </c>
      <c r="H212" s="28" t="s">
        <v>948</v>
      </c>
      <c r="I212" s="27" t="s">
        <v>59</v>
      </c>
      <c r="J212" s="31" t="s">
        <v>71</v>
      </c>
      <c r="K212" s="27" t="s">
        <v>282</v>
      </c>
      <c r="L212" s="27" t="s">
        <v>325</v>
      </c>
      <c r="M212" s="32" t="str">
        <f>HYPERLINK("http://slimages.macys.com/is/image/MCY/3931147 ")</f>
        <v xml:space="preserve">http://slimages.macys.com/is/image/MCY/3931147 </v>
      </c>
    </row>
    <row r="213" spans="1:13" ht="15.2" customHeight="1" x14ac:dyDescent="0.2">
      <c r="A213" s="26" t="s">
        <v>6265</v>
      </c>
      <c r="B213" s="27" t="s">
        <v>6266</v>
      </c>
      <c r="C213" s="28">
        <v>1</v>
      </c>
      <c r="D213" s="29">
        <v>4.3499999999999996</v>
      </c>
      <c r="E213" s="29">
        <v>4.3499999999999996</v>
      </c>
      <c r="F213" s="30">
        <v>13.99</v>
      </c>
      <c r="G213" s="29">
        <v>13.99</v>
      </c>
      <c r="H213" s="28" t="s">
        <v>948</v>
      </c>
      <c r="I213" s="27" t="s">
        <v>82</v>
      </c>
      <c r="J213" s="31" t="s">
        <v>21</v>
      </c>
      <c r="K213" s="27" t="s">
        <v>282</v>
      </c>
      <c r="L213" s="27" t="s">
        <v>325</v>
      </c>
      <c r="M213" s="32" t="str">
        <f>HYPERLINK("http://slimages.macys.com/is/image/MCY/3931147 ")</f>
        <v xml:space="preserve">http://slimages.macys.com/is/image/MCY/3931147 </v>
      </c>
    </row>
    <row r="214" spans="1:13" ht="15.2" customHeight="1" x14ac:dyDescent="0.2">
      <c r="A214" s="26" t="s">
        <v>6267</v>
      </c>
      <c r="B214" s="27" t="s">
        <v>6268</v>
      </c>
      <c r="C214" s="28">
        <v>1</v>
      </c>
      <c r="D214" s="29">
        <v>3.72</v>
      </c>
      <c r="E214" s="29">
        <v>3.72</v>
      </c>
      <c r="F214" s="30">
        <v>7.99</v>
      </c>
      <c r="G214" s="29">
        <v>7.99</v>
      </c>
      <c r="H214" s="28" t="s">
        <v>460</v>
      </c>
      <c r="I214" s="27" t="s">
        <v>343</v>
      </c>
      <c r="J214" s="31" t="s">
        <v>71</v>
      </c>
      <c r="K214" s="27" t="s">
        <v>282</v>
      </c>
      <c r="L214" s="27" t="s">
        <v>325</v>
      </c>
      <c r="M214" s="32" t="str">
        <f>HYPERLINK("http://slimages.macys.com/is/image/MCY/3609965 ")</f>
        <v xml:space="preserve">http://slimages.macys.com/is/image/MCY/3609965 </v>
      </c>
    </row>
    <row r="215" spans="1:13" ht="15.2" customHeight="1" x14ac:dyDescent="0.2">
      <c r="A215" s="26" t="s">
        <v>6269</v>
      </c>
      <c r="B215" s="27" t="s">
        <v>6270</v>
      </c>
      <c r="C215" s="28">
        <v>2</v>
      </c>
      <c r="D215" s="29">
        <v>3.72</v>
      </c>
      <c r="E215" s="29">
        <v>7.44</v>
      </c>
      <c r="F215" s="30">
        <v>7.99</v>
      </c>
      <c r="G215" s="29">
        <v>15.98</v>
      </c>
      <c r="H215" s="28" t="s">
        <v>459</v>
      </c>
      <c r="I215" s="27" t="s">
        <v>39</v>
      </c>
      <c r="J215" s="31" t="s">
        <v>5</v>
      </c>
      <c r="K215" s="27" t="s">
        <v>282</v>
      </c>
      <c r="L215" s="27" t="s">
        <v>325</v>
      </c>
      <c r="M215" s="32" t="str">
        <f>HYPERLINK("http://slimages.macys.com/is/image/MCY/3609979 ")</f>
        <v xml:space="preserve">http://slimages.macys.com/is/image/MCY/3609979 </v>
      </c>
    </row>
    <row r="216" spans="1:13" ht="15.2" customHeight="1" x14ac:dyDescent="0.2">
      <c r="A216" s="26" t="s">
        <v>6271</v>
      </c>
      <c r="B216" s="27" t="s">
        <v>6272</v>
      </c>
      <c r="C216" s="28">
        <v>1</v>
      </c>
      <c r="D216" s="29">
        <v>3.72</v>
      </c>
      <c r="E216" s="29">
        <v>3.72</v>
      </c>
      <c r="F216" s="30">
        <v>7.99</v>
      </c>
      <c r="G216" s="29">
        <v>7.99</v>
      </c>
      <c r="H216" s="28" t="s">
        <v>460</v>
      </c>
      <c r="I216" s="27" t="s">
        <v>343</v>
      </c>
      <c r="J216" s="31" t="s">
        <v>52</v>
      </c>
      <c r="K216" s="27" t="s">
        <v>282</v>
      </c>
      <c r="L216" s="27" t="s">
        <v>325</v>
      </c>
      <c r="M216" s="32" t="str">
        <f>HYPERLINK("http://slimages.macys.com/is/image/MCY/3609965 ")</f>
        <v xml:space="preserve">http://slimages.macys.com/is/image/MCY/3609965 </v>
      </c>
    </row>
    <row r="217" spans="1:13" ht="15.2" customHeight="1" x14ac:dyDescent="0.2">
      <c r="A217" s="26" t="s">
        <v>6273</v>
      </c>
      <c r="B217" s="27" t="s">
        <v>6274</v>
      </c>
      <c r="C217" s="28">
        <v>3</v>
      </c>
      <c r="D217" s="29">
        <v>3.72</v>
      </c>
      <c r="E217" s="29">
        <v>11.16</v>
      </c>
      <c r="F217" s="30">
        <v>7.99</v>
      </c>
      <c r="G217" s="29">
        <v>23.97</v>
      </c>
      <c r="H217" s="28" t="s">
        <v>460</v>
      </c>
      <c r="I217" s="27" t="s">
        <v>343</v>
      </c>
      <c r="J217" s="31" t="s">
        <v>21</v>
      </c>
      <c r="K217" s="27" t="s">
        <v>282</v>
      </c>
      <c r="L217" s="27" t="s">
        <v>325</v>
      </c>
      <c r="M217" s="32" t="str">
        <f>HYPERLINK("http://slimages.macys.com/is/image/MCY/3609965 ")</f>
        <v xml:space="preserve">http://slimages.macys.com/is/image/MCY/3609965 </v>
      </c>
    </row>
    <row r="218" spans="1:13" ht="15.2" customHeight="1" x14ac:dyDescent="0.2">
      <c r="A218" s="26" t="s">
        <v>6275</v>
      </c>
      <c r="B218" s="27" t="s">
        <v>6276</v>
      </c>
      <c r="C218" s="28">
        <v>1</v>
      </c>
      <c r="D218" s="29">
        <v>3.72</v>
      </c>
      <c r="E218" s="29">
        <v>3.72</v>
      </c>
      <c r="F218" s="30">
        <v>7.99</v>
      </c>
      <c r="G218" s="29">
        <v>7.99</v>
      </c>
      <c r="H218" s="28" t="s">
        <v>460</v>
      </c>
      <c r="I218" s="27" t="s">
        <v>343</v>
      </c>
      <c r="J218" s="31" t="s">
        <v>5</v>
      </c>
      <c r="K218" s="27" t="s">
        <v>282</v>
      </c>
      <c r="L218" s="27" t="s">
        <v>325</v>
      </c>
      <c r="M218" s="32" t="str">
        <f>HYPERLINK("http://slimages.macys.com/is/image/MCY/3609965 ")</f>
        <v xml:space="preserve">http://slimages.macys.com/is/image/MCY/3609965 </v>
      </c>
    </row>
    <row r="219" spans="1:13" ht="15.2" customHeight="1" x14ac:dyDescent="0.2">
      <c r="A219" s="26" t="s">
        <v>6277</v>
      </c>
      <c r="B219" s="27" t="s">
        <v>6278</v>
      </c>
      <c r="C219" s="28">
        <v>2</v>
      </c>
      <c r="D219" s="29">
        <v>3.72</v>
      </c>
      <c r="E219" s="29">
        <v>7.44</v>
      </c>
      <c r="F219" s="30">
        <v>7.99</v>
      </c>
      <c r="G219" s="29">
        <v>15.98</v>
      </c>
      <c r="H219" s="28" t="s">
        <v>460</v>
      </c>
      <c r="I219" s="27" t="s">
        <v>343</v>
      </c>
      <c r="J219" s="31" t="s">
        <v>40</v>
      </c>
      <c r="K219" s="27" t="s">
        <v>282</v>
      </c>
      <c r="L219" s="27" t="s">
        <v>325</v>
      </c>
      <c r="M219" s="32" t="str">
        <f>HYPERLINK("http://slimages.macys.com/is/image/MCY/3609965 ")</f>
        <v xml:space="preserve">http://slimages.macys.com/is/image/MCY/3609965 </v>
      </c>
    </row>
    <row r="220" spans="1:13" ht="15.2" customHeight="1" x14ac:dyDescent="0.2">
      <c r="A220" s="26" t="s">
        <v>5560</v>
      </c>
      <c r="B220" s="27" t="s">
        <v>5561</v>
      </c>
      <c r="C220" s="28">
        <v>1</v>
      </c>
      <c r="D220" s="29">
        <v>3.72</v>
      </c>
      <c r="E220" s="29">
        <v>3.72</v>
      </c>
      <c r="F220" s="30">
        <v>7.99</v>
      </c>
      <c r="G220" s="29">
        <v>7.99</v>
      </c>
      <c r="H220" s="28" t="s">
        <v>459</v>
      </c>
      <c r="I220" s="27" t="s">
        <v>39</v>
      </c>
      <c r="J220" s="31" t="s">
        <v>65</v>
      </c>
      <c r="K220" s="27" t="s">
        <v>282</v>
      </c>
      <c r="L220" s="27" t="s">
        <v>325</v>
      </c>
      <c r="M220" s="32" t="str">
        <f>HYPERLINK("http://slimages.macys.com/is/image/MCY/3609979 ")</f>
        <v xml:space="preserve">http://slimages.macys.com/is/image/MCY/3609979 </v>
      </c>
    </row>
    <row r="221" spans="1:13" ht="15.2" customHeight="1" x14ac:dyDescent="0.2">
      <c r="A221" s="26" t="s">
        <v>3036</v>
      </c>
      <c r="B221" s="27" t="s">
        <v>3037</v>
      </c>
      <c r="C221" s="28">
        <v>1</v>
      </c>
      <c r="D221" s="29">
        <v>3.45</v>
      </c>
      <c r="E221" s="29">
        <v>3.45</v>
      </c>
      <c r="F221" s="30">
        <v>7.99</v>
      </c>
      <c r="G221" s="29">
        <v>7.99</v>
      </c>
      <c r="H221" s="28">
        <v>60423445</v>
      </c>
      <c r="I221" s="27" t="s">
        <v>661</v>
      </c>
      <c r="J221" s="31" t="s">
        <v>5</v>
      </c>
      <c r="K221" s="27" t="s">
        <v>282</v>
      </c>
      <c r="L221" s="27" t="s">
        <v>255</v>
      </c>
      <c r="M221" s="32" t="str">
        <f>HYPERLINK("http://slimages.macys.com/is/image/MCY/3663800 ")</f>
        <v xml:space="preserve">http://slimages.macys.com/is/image/MCY/3663800 </v>
      </c>
    </row>
    <row r="222" spans="1:13" ht="15.2" customHeight="1" x14ac:dyDescent="0.2">
      <c r="A222" s="26" t="s">
        <v>3032</v>
      </c>
      <c r="B222" s="27" t="s">
        <v>3033</v>
      </c>
      <c r="C222" s="28">
        <v>2</v>
      </c>
      <c r="D222" s="29">
        <v>3.45</v>
      </c>
      <c r="E222" s="29">
        <v>6.9</v>
      </c>
      <c r="F222" s="30">
        <v>7.99</v>
      </c>
      <c r="G222" s="29">
        <v>15.98</v>
      </c>
      <c r="H222" s="28">
        <v>60423445</v>
      </c>
      <c r="I222" s="27" t="s">
        <v>75</v>
      </c>
      <c r="J222" s="31" t="s">
        <v>5</v>
      </c>
      <c r="K222" s="27" t="s">
        <v>282</v>
      </c>
      <c r="L222" s="27" t="s">
        <v>255</v>
      </c>
      <c r="M222" s="32" t="str">
        <f>HYPERLINK("http://slimages.macys.com/is/image/MCY/3663800 ")</f>
        <v xml:space="preserve">http://slimages.macys.com/is/image/MCY/3663800 </v>
      </c>
    </row>
    <row r="223" spans="1:13" ht="15.2" customHeight="1" x14ac:dyDescent="0.2">
      <c r="A223" s="26" t="s">
        <v>6093</v>
      </c>
      <c r="B223" s="27" t="s">
        <v>6094</v>
      </c>
      <c r="C223" s="28">
        <v>1</v>
      </c>
      <c r="D223" s="29">
        <v>34</v>
      </c>
      <c r="E223" s="29">
        <v>34</v>
      </c>
      <c r="F223" s="30">
        <v>89.5</v>
      </c>
      <c r="G223" s="29">
        <v>89.5</v>
      </c>
      <c r="H223" s="28" t="s">
        <v>3039</v>
      </c>
      <c r="I223" s="27"/>
      <c r="J223" s="31" t="s">
        <v>40</v>
      </c>
      <c r="K223" s="27" t="s">
        <v>17</v>
      </c>
      <c r="L223" s="27" t="s">
        <v>18</v>
      </c>
      <c r="M223" s="32"/>
    </row>
    <row r="224" spans="1:13" ht="15.2" customHeight="1" x14ac:dyDescent="0.2">
      <c r="A224" s="26" t="s">
        <v>6279</v>
      </c>
      <c r="B224" s="27" t="s">
        <v>6280</v>
      </c>
      <c r="C224" s="28">
        <v>1</v>
      </c>
      <c r="D224" s="29">
        <v>34</v>
      </c>
      <c r="E224" s="29">
        <v>34</v>
      </c>
      <c r="F224" s="30">
        <v>89.5</v>
      </c>
      <c r="G224" s="29">
        <v>89.5</v>
      </c>
      <c r="H224" s="28" t="s">
        <v>3039</v>
      </c>
      <c r="I224" s="27"/>
      <c r="J224" s="31" t="s">
        <v>71</v>
      </c>
      <c r="K224" s="27" t="s">
        <v>17</v>
      </c>
      <c r="L224" s="27" t="s">
        <v>18</v>
      </c>
      <c r="M224" s="32"/>
    </row>
    <row r="225" spans="1:13" ht="15.2" customHeight="1" x14ac:dyDescent="0.2">
      <c r="A225" s="26" t="s">
        <v>6281</v>
      </c>
      <c r="B225" s="27" t="s">
        <v>6282</v>
      </c>
      <c r="C225" s="28">
        <v>1</v>
      </c>
      <c r="D225" s="29">
        <v>30</v>
      </c>
      <c r="E225" s="29">
        <v>30</v>
      </c>
      <c r="F225" s="30">
        <v>79.5</v>
      </c>
      <c r="G225" s="29">
        <v>79.5</v>
      </c>
      <c r="H225" s="28" t="s">
        <v>1979</v>
      </c>
      <c r="I225" s="27" t="s">
        <v>189</v>
      </c>
      <c r="J225" s="31"/>
      <c r="K225" s="27" t="s">
        <v>17</v>
      </c>
      <c r="L225" s="27" t="s">
        <v>18</v>
      </c>
      <c r="M225" s="32"/>
    </row>
    <row r="226" spans="1:13" ht="15.2" customHeight="1" x14ac:dyDescent="0.2">
      <c r="A226" s="26" t="s">
        <v>4855</v>
      </c>
      <c r="B226" s="27" t="s">
        <v>4856</v>
      </c>
      <c r="C226" s="28">
        <v>1</v>
      </c>
      <c r="D226" s="29">
        <v>25.36</v>
      </c>
      <c r="E226" s="29">
        <v>25.36</v>
      </c>
      <c r="F226" s="30">
        <v>69.5</v>
      </c>
      <c r="G226" s="29">
        <v>69.5</v>
      </c>
      <c r="H226" s="28" t="s">
        <v>473</v>
      </c>
      <c r="I226" s="27" t="s">
        <v>4</v>
      </c>
      <c r="J226" s="31" t="s">
        <v>71</v>
      </c>
      <c r="K226" s="27" t="s">
        <v>41</v>
      </c>
      <c r="L226" s="27" t="s">
        <v>83</v>
      </c>
      <c r="M226" s="32"/>
    </row>
    <row r="227" spans="1:13" ht="15.2" customHeight="1" x14ac:dyDescent="0.2">
      <c r="A227" s="26" t="s">
        <v>6283</v>
      </c>
      <c r="B227" s="27" t="s">
        <v>6284</v>
      </c>
      <c r="C227" s="28">
        <v>1</v>
      </c>
      <c r="D227" s="29">
        <v>23.5</v>
      </c>
      <c r="E227" s="29">
        <v>23.5</v>
      </c>
      <c r="F227" s="30">
        <v>69</v>
      </c>
      <c r="G227" s="29">
        <v>69</v>
      </c>
      <c r="H227" s="28" t="s">
        <v>3491</v>
      </c>
      <c r="I227" s="27"/>
      <c r="J227" s="31" t="s">
        <v>230</v>
      </c>
      <c r="K227" s="27" t="s">
        <v>24</v>
      </c>
      <c r="L227" s="27" t="s">
        <v>25</v>
      </c>
      <c r="M227" s="32"/>
    </row>
    <row r="228" spans="1:13" ht="15.2" customHeight="1" x14ac:dyDescent="0.2">
      <c r="A228" s="26" t="s">
        <v>2424</v>
      </c>
      <c r="B228" s="27" t="s">
        <v>2425</v>
      </c>
      <c r="C228" s="28">
        <v>1</v>
      </c>
      <c r="D228" s="29">
        <v>23</v>
      </c>
      <c r="E228" s="29">
        <v>23</v>
      </c>
      <c r="F228" s="30">
        <v>59.5</v>
      </c>
      <c r="G228" s="29">
        <v>59.5</v>
      </c>
      <c r="H228" s="28" t="s">
        <v>1606</v>
      </c>
      <c r="I228" s="27" t="s">
        <v>4</v>
      </c>
      <c r="J228" s="31" t="s">
        <v>71</v>
      </c>
      <c r="K228" s="27" t="s">
        <v>17</v>
      </c>
      <c r="L228" s="27" t="s">
        <v>18</v>
      </c>
      <c r="M228" s="32"/>
    </row>
    <row r="229" spans="1:13" ht="15.2" customHeight="1" x14ac:dyDescent="0.2">
      <c r="A229" s="26" t="s">
        <v>6097</v>
      </c>
      <c r="B229" s="27" t="s">
        <v>6098</v>
      </c>
      <c r="C229" s="28">
        <v>1</v>
      </c>
      <c r="D229" s="29">
        <v>22</v>
      </c>
      <c r="E229" s="29">
        <v>22</v>
      </c>
      <c r="F229" s="30">
        <v>69</v>
      </c>
      <c r="G229" s="29">
        <v>69</v>
      </c>
      <c r="H229" s="28" t="s">
        <v>1607</v>
      </c>
      <c r="I229" s="27" t="s">
        <v>468</v>
      </c>
      <c r="J229" s="31" t="s">
        <v>69</v>
      </c>
      <c r="K229" s="27" t="s">
        <v>24</v>
      </c>
      <c r="L229" s="27" t="s">
        <v>25</v>
      </c>
      <c r="M229" s="32"/>
    </row>
    <row r="230" spans="1:13" ht="15.2" customHeight="1" x14ac:dyDescent="0.2">
      <c r="A230" s="26" t="s">
        <v>6285</v>
      </c>
      <c r="B230" s="27" t="s">
        <v>6286</v>
      </c>
      <c r="C230" s="28">
        <v>1</v>
      </c>
      <c r="D230" s="29">
        <v>21.89</v>
      </c>
      <c r="E230" s="29">
        <v>21.89</v>
      </c>
      <c r="F230" s="30">
        <v>59.99</v>
      </c>
      <c r="G230" s="29">
        <v>59.99</v>
      </c>
      <c r="H230" s="28" t="s">
        <v>6287</v>
      </c>
      <c r="I230" s="27" t="s">
        <v>15</v>
      </c>
      <c r="J230" s="31" t="s">
        <v>5</v>
      </c>
      <c r="K230" s="27" t="s">
        <v>41</v>
      </c>
      <c r="L230" s="27" t="s">
        <v>83</v>
      </c>
      <c r="M230" s="32"/>
    </row>
    <row r="231" spans="1:13" ht="15.2" customHeight="1" x14ac:dyDescent="0.2">
      <c r="A231" s="26" t="s">
        <v>4381</v>
      </c>
      <c r="B231" s="27" t="s">
        <v>4382</v>
      </c>
      <c r="C231" s="28">
        <v>1</v>
      </c>
      <c r="D231" s="29">
        <v>21.88</v>
      </c>
      <c r="E231" s="29">
        <v>21.88</v>
      </c>
      <c r="F231" s="30">
        <v>59.99</v>
      </c>
      <c r="G231" s="29">
        <v>59.99</v>
      </c>
      <c r="H231" s="28" t="s">
        <v>967</v>
      </c>
      <c r="I231" s="27" t="s">
        <v>26</v>
      </c>
      <c r="J231" s="31" t="s">
        <v>5</v>
      </c>
      <c r="K231" s="27" t="s">
        <v>41</v>
      </c>
      <c r="L231" s="27" t="s">
        <v>31</v>
      </c>
      <c r="M231" s="32"/>
    </row>
    <row r="232" spans="1:13" ht="15.2" customHeight="1" x14ac:dyDescent="0.2">
      <c r="A232" s="26" t="s">
        <v>965</v>
      </c>
      <c r="B232" s="27" t="s">
        <v>966</v>
      </c>
      <c r="C232" s="28">
        <v>1</v>
      </c>
      <c r="D232" s="29">
        <v>21.88</v>
      </c>
      <c r="E232" s="29">
        <v>21.88</v>
      </c>
      <c r="F232" s="30">
        <v>59.99</v>
      </c>
      <c r="G232" s="29">
        <v>59.99</v>
      </c>
      <c r="H232" s="28" t="s">
        <v>967</v>
      </c>
      <c r="I232" s="27" t="s">
        <v>4</v>
      </c>
      <c r="J232" s="31" t="s">
        <v>21</v>
      </c>
      <c r="K232" s="27" t="s">
        <v>41</v>
      </c>
      <c r="L232" s="27" t="s">
        <v>31</v>
      </c>
      <c r="M232" s="32"/>
    </row>
    <row r="233" spans="1:13" ht="15.2" customHeight="1" x14ac:dyDescent="0.2">
      <c r="A233" s="26" t="s">
        <v>2725</v>
      </c>
      <c r="B233" s="27" t="s">
        <v>2726</v>
      </c>
      <c r="C233" s="28">
        <v>1</v>
      </c>
      <c r="D233" s="29">
        <v>21.72</v>
      </c>
      <c r="E233" s="29">
        <v>21.72</v>
      </c>
      <c r="F233" s="30">
        <v>59.5</v>
      </c>
      <c r="G233" s="29">
        <v>59.5</v>
      </c>
      <c r="H233" s="28" t="s">
        <v>479</v>
      </c>
      <c r="I233" s="27" t="s">
        <v>82</v>
      </c>
      <c r="J233" s="31" t="s">
        <v>40</v>
      </c>
      <c r="K233" s="27" t="s">
        <v>41</v>
      </c>
      <c r="L233" s="27" t="s">
        <v>45</v>
      </c>
      <c r="M233" s="32"/>
    </row>
    <row r="234" spans="1:13" ht="15.2" customHeight="1" x14ac:dyDescent="0.2">
      <c r="A234" s="26" t="s">
        <v>6288</v>
      </c>
      <c r="B234" s="27" t="s">
        <v>6289</v>
      </c>
      <c r="C234" s="28">
        <v>1</v>
      </c>
      <c r="D234" s="29">
        <v>21.72</v>
      </c>
      <c r="E234" s="29">
        <v>21.72</v>
      </c>
      <c r="F234" s="30">
        <v>59.5</v>
      </c>
      <c r="G234" s="29">
        <v>59.5</v>
      </c>
      <c r="H234" s="28" t="s">
        <v>479</v>
      </c>
      <c r="I234" s="27" t="s">
        <v>26</v>
      </c>
      <c r="J234" s="31" t="s">
        <v>5</v>
      </c>
      <c r="K234" s="27" t="s">
        <v>41</v>
      </c>
      <c r="L234" s="27" t="s">
        <v>45</v>
      </c>
      <c r="M234" s="32"/>
    </row>
    <row r="235" spans="1:13" ht="15.2" customHeight="1" x14ac:dyDescent="0.2">
      <c r="A235" s="26" t="s">
        <v>6290</v>
      </c>
      <c r="B235" s="27" t="s">
        <v>6291</v>
      </c>
      <c r="C235" s="28">
        <v>1</v>
      </c>
      <c r="D235" s="29">
        <v>21.5</v>
      </c>
      <c r="E235" s="29">
        <v>21.5</v>
      </c>
      <c r="F235" s="30">
        <v>59</v>
      </c>
      <c r="G235" s="29">
        <v>59</v>
      </c>
      <c r="H235" s="28" t="s">
        <v>5968</v>
      </c>
      <c r="I235" s="27" t="s">
        <v>4</v>
      </c>
      <c r="J235" s="31" t="s">
        <v>65</v>
      </c>
      <c r="K235" s="27" t="s">
        <v>24</v>
      </c>
      <c r="L235" s="27" t="s">
        <v>128</v>
      </c>
      <c r="M235" s="32"/>
    </row>
    <row r="236" spans="1:13" ht="15.2" customHeight="1" x14ac:dyDescent="0.2">
      <c r="A236" s="26" t="s">
        <v>6292</v>
      </c>
      <c r="B236" s="27" t="s">
        <v>6293</v>
      </c>
      <c r="C236" s="28">
        <v>1</v>
      </c>
      <c r="D236" s="29">
        <v>21.22</v>
      </c>
      <c r="E236" s="29">
        <v>21.22</v>
      </c>
      <c r="F236" s="30">
        <v>59.5</v>
      </c>
      <c r="G236" s="29">
        <v>59.5</v>
      </c>
      <c r="H236" s="28" t="s">
        <v>3061</v>
      </c>
      <c r="I236" s="27" t="s">
        <v>4</v>
      </c>
      <c r="J236" s="31" t="s">
        <v>65</v>
      </c>
      <c r="K236" s="27" t="s">
        <v>53</v>
      </c>
      <c r="L236" s="27" t="s">
        <v>54</v>
      </c>
      <c r="M236" s="32"/>
    </row>
    <row r="237" spans="1:13" ht="15.2" customHeight="1" x14ac:dyDescent="0.2">
      <c r="A237" s="26" t="s">
        <v>5969</v>
      </c>
      <c r="B237" s="27" t="s">
        <v>5970</v>
      </c>
      <c r="C237" s="28">
        <v>1</v>
      </c>
      <c r="D237" s="29">
        <v>20.85</v>
      </c>
      <c r="E237" s="29">
        <v>20.85</v>
      </c>
      <c r="F237" s="30">
        <v>69.5</v>
      </c>
      <c r="G237" s="29">
        <v>69.5</v>
      </c>
      <c r="H237" s="28">
        <v>60438720</v>
      </c>
      <c r="I237" s="27" t="s">
        <v>82</v>
      </c>
      <c r="J237" s="31" t="s">
        <v>71</v>
      </c>
      <c r="K237" s="27" t="s">
        <v>6</v>
      </c>
      <c r="L237" s="27" t="s">
        <v>7</v>
      </c>
      <c r="M237" s="32"/>
    </row>
    <row r="238" spans="1:13" ht="15.2" customHeight="1" x14ac:dyDescent="0.2">
      <c r="A238" s="26" t="s">
        <v>6294</v>
      </c>
      <c r="B238" s="27" t="s">
        <v>4659</v>
      </c>
      <c r="C238" s="28">
        <v>1</v>
      </c>
      <c r="D238" s="29">
        <v>20.77</v>
      </c>
      <c r="E238" s="29">
        <v>20.77</v>
      </c>
      <c r="F238" s="30">
        <v>59.5</v>
      </c>
      <c r="G238" s="29">
        <v>59.5</v>
      </c>
      <c r="H238" s="28" t="s">
        <v>4660</v>
      </c>
      <c r="I238" s="27" t="s">
        <v>82</v>
      </c>
      <c r="J238" s="31" t="s">
        <v>40</v>
      </c>
      <c r="K238" s="27" t="s">
        <v>53</v>
      </c>
      <c r="L238" s="27" t="s">
        <v>54</v>
      </c>
      <c r="M238" s="32"/>
    </row>
    <row r="239" spans="1:13" ht="15.2" customHeight="1" x14ac:dyDescent="0.2">
      <c r="A239" s="26" t="s">
        <v>6099</v>
      </c>
      <c r="B239" s="27" t="s">
        <v>6100</v>
      </c>
      <c r="C239" s="28">
        <v>1</v>
      </c>
      <c r="D239" s="29">
        <v>20</v>
      </c>
      <c r="E239" s="29">
        <v>20</v>
      </c>
      <c r="F239" s="30">
        <v>49.99</v>
      </c>
      <c r="G239" s="29">
        <v>49.99</v>
      </c>
      <c r="H239" s="28" t="s">
        <v>972</v>
      </c>
      <c r="I239" s="27" t="s">
        <v>291</v>
      </c>
      <c r="J239" s="31" t="s">
        <v>205</v>
      </c>
      <c r="K239" s="27" t="s">
        <v>70</v>
      </c>
      <c r="L239" s="27" t="s">
        <v>25</v>
      </c>
      <c r="M239" s="32"/>
    </row>
    <row r="240" spans="1:13" ht="15.2" customHeight="1" x14ac:dyDescent="0.2">
      <c r="A240" s="26" t="s">
        <v>6101</v>
      </c>
      <c r="B240" s="27" t="s">
        <v>6102</v>
      </c>
      <c r="C240" s="28">
        <v>1</v>
      </c>
      <c r="D240" s="29">
        <v>19.5</v>
      </c>
      <c r="E240" s="29">
        <v>19.5</v>
      </c>
      <c r="F240" s="30">
        <v>59</v>
      </c>
      <c r="G240" s="29">
        <v>59</v>
      </c>
      <c r="H240" s="28" t="s">
        <v>3065</v>
      </c>
      <c r="I240" s="27" t="s">
        <v>1</v>
      </c>
      <c r="J240" s="31" t="s">
        <v>21</v>
      </c>
      <c r="K240" s="27" t="s">
        <v>24</v>
      </c>
      <c r="L240" s="27" t="s">
        <v>128</v>
      </c>
      <c r="M240" s="32"/>
    </row>
    <row r="241" spans="1:13" ht="15.2" customHeight="1" x14ac:dyDescent="0.2">
      <c r="A241" s="26" t="s">
        <v>6295</v>
      </c>
      <c r="B241" s="27" t="s">
        <v>6296</v>
      </c>
      <c r="C241" s="28">
        <v>1</v>
      </c>
      <c r="D241" s="29">
        <v>19.04</v>
      </c>
      <c r="E241" s="29">
        <v>19.04</v>
      </c>
      <c r="F241" s="30">
        <v>59.5</v>
      </c>
      <c r="G241" s="29">
        <v>59.5</v>
      </c>
      <c r="H241" s="28">
        <v>49022843</v>
      </c>
      <c r="I241" s="27" t="s">
        <v>59</v>
      </c>
      <c r="J241" s="31"/>
      <c r="K241" s="27" t="s">
        <v>6</v>
      </c>
      <c r="L241" s="27" t="s">
        <v>7</v>
      </c>
      <c r="M241" s="32"/>
    </row>
    <row r="242" spans="1:13" ht="15.2" customHeight="1" x14ac:dyDescent="0.2">
      <c r="A242" s="26" t="s">
        <v>6297</v>
      </c>
      <c r="B242" s="27" t="s">
        <v>6298</v>
      </c>
      <c r="C242" s="28">
        <v>1</v>
      </c>
      <c r="D242" s="29">
        <v>19.04</v>
      </c>
      <c r="E242" s="29">
        <v>19.04</v>
      </c>
      <c r="F242" s="30">
        <v>59.5</v>
      </c>
      <c r="G242" s="29">
        <v>59.5</v>
      </c>
      <c r="H242" s="28">
        <v>49022843</v>
      </c>
      <c r="I242" s="27" t="s">
        <v>59</v>
      </c>
      <c r="J242" s="31"/>
      <c r="K242" s="27" t="s">
        <v>6</v>
      </c>
      <c r="L242" s="27" t="s">
        <v>7</v>
      </c>
      <c r="M242" s="32"/>
    </row>
    <row r="243" spans="1:13" ht="15.2" customHeight="1" x14ac:dyDescent="0.2">
      <c r="A243" s="26" t="s">
        <v>2434</v>
      </c>
      <c r="B243" s="27" t="s">
        <v>2435</v>
      </c>
      <c r="C243" s="28">
        <v>1</v>
      </c>
      <c r="D243" s="29">
        <v>18.75</v>
      </c>
      <c r="E243" s="29">
        <v>18.75</v>
      </c>
      <c r="F243" s="30">
        <v>59</v>
      </c>
      <c r="G243" s="29">
        <v>59</v>
      </c>
      <c r="H243" s="28" t="s">
        <v>2436</v>
      </c>
      <c r="I243" s="27" t="s">
        <v>94</v>
      </c>
      <c r="J243" s="31" t="s">
        <v>5</v>
      </c>
      <c r="K243" s="27" t="s">
        <v>37</v>
      </c>
      <c r="L243" s="27" t="s">
        <v>38</v>
      </c>
      <c r="M243" s="32"/>
    </row>
    <row r="244" spans="1:13" ht="15.2" customHeight="1" x14ac:dyDescent="0.2">
      <c r="A244" s="26" t="s">
        <v>2437</v>
      </c>
      <c r="B244" s="27" t="s">
        <v>982</v>
      </c>
      <c r="C244" s="28">
        <v>1</v>
      </c>
      <c r="D244" s="29">
        <v>18.420000000000002</v>
      </c>
      <c r="E244" s="29">
        <v>18.420000000000002</v>
      </c>
      <c r="F244" s="30">
        <v>49.5</v>
      </c>
      <c r="G244" s="29">
        <v>49.5</v>
      </c>
      <c r="H244" s="28" t="s">
        <v>983</v>
      </c>
      <c r="I244" s="27" t="s">
        <v>4</v>
      </c>
      <c r="J244" s="31" t="s">
        <v>21</v>
      </c>
      <c r="K244" s="27" t="s">
        <v>53</v>
      </c>
      <c r="L244" s="27" t="s">
        <v>54</v>
      </c>
      <c r="M244" s="32"/>
    </row>
    <row r="245" spans="1:13" ht="15.2" customHeight="1" x14ac:dyDescent="0.2">
      <c r="A245" s="26" t="s">
        <v>2438</v>
      </c>
      <c r="B245" s="27" t="s">
        <v>1618</v>
      </c>
      <c r="C245" s="28">
        <v>1</v>
      </c>
      <c r="D245" s="29">
        <v>18.07</v>
      </c>
      <c r="E245" s="29">
        <v>18.07</v>
      </c>
      <c r="F245" s="30">
        <v>49.5</v>
      </c>
      <c r="G245" s="29">
        <v>49.5</v>
      </c>
      <c r="H245" s="28" t="s">
        <v>1619</v>
      </c>
      <c r="I245" s="27" t="s">
        <v>82</v>
      </c>
      <c r="J245" s="31" t="s">
        <v>40</v>
      </c>
      <c r="K245" s="27" t="s">
        <v>41</v>
      </c>
      <c r="L245" s="27" t="s">
        <v>83</v>
      </c>
      <c r="M245" s="32"/>
    </row>
    <row r="246" spans="1:13" ht="15.2" customHeight="1" x14ac:dyDescent="0.2">
      <c r="A246" s="26" t="s">
        <v>1999</v>
      </c>
      <c r="B246" s="27" t="s">
        <v>985</v>
      </c>
      <c r="C246" s="28">
        <v>1</v>
      </c>
      <c r="D246" s="29">
        <v>18.04</v>
      </c>
      <c r="E246" s="29">
        <v>18.04</v>
      </c>
      <c r="F246" s="30">
        <v>49.5</v>
      </c>
      <c r="G246" s="29">
        <v>49.5</v>
      </c>
      <c r="H246" s="28" t="s">
        <v>986</v>
      </c>
      <c r="I246" s="27" t="s">
        <v>82</v>
      </c>
      <c r="J246" s="31" t="s">
        <v>40</v>
      </c>
      <c r="K246" s="27" t="s">
        <v>41</v>
      </c>
      <c r="L246" s="27" t="s">
        <v>45</v>
      </c>
      <c r="M246" s="32"/>
    </row>
    <row r="247" spans="1:13" ht="15.2" customHeight="1" x14ac:dyDescent="0.2">
      <c r="A247" s="26" t="s">
        <v>2000</v>
      </c>
      <c r="B247" s="27" t="s">
        <v>985</v>
      </c>
      <c r="C247" s="28">
        <v>2</v>
      </c>
      <c r="D247" s="29">
        <v>18.04</v>
      </c>
      <c r="E247" s="29">
        <v>36.08</v>
      </c>
      <c r="F247" s="30">
        <v>49.5</v>
      </c>
      <c r="G247" s="29">
        <v>99</v>
      </c>
      <c r="H247" s="28" t="s">
        <v>986</v>
      </c>
      <c r="I247" s="27" t="s">
        <v>82</v>
      </c>
      <c r="J247" s="31" t="s">
        <v>21</v>
      </c>
      <c r="K247" s="27" t="s">
        <v>41</v>
      </c>
      <c r="L247" s="27" t="s">
        <v>45</v>
      </c>
      <c r="M247" s="32"/>
    </row>
    <row r="248" spans="1:13" ht="15.2" customHeight="1" x14ac:dyDescent="0.2">
      <c r="A248" s="26" t="s">
        <v>984</v>
      </c>
      <c r="B248" s="27" t="s">
        <v>985</v>
      </c>
      <c r="C248" s="28">
        <v>1</v>
      </c>
      <c r="D248" s="29">
        <v>18.04</v>
      </c>
      <c r="E248" s="29">
        <v>18.04</v>
      </c>
      <c r="F248" s="30">
        <v>49.5</v>
      </c>
      <c r="G248" s="29">
        <v>49.5</v>
      </c>
      <c r="H248" s="28" t="s">
        <v>986</v>
      </c>
      <c r="I248" s="27" t="s">
        <v>82</v>
      </c>
      <c r="J248" s="31" t="s">
        <v>65</v>
      </c>
      <c r="K248" s="27" t="s">
        <v>41</v>
      </c>
      <c r="L248" s="27" t="s">
        <v>45</v>
      </c>
      <c r="M248" s="32"/>
    </row>
    <row r="249" spans="1:13" ht="15.2" customHeight="1" x14ac:dyDescent="0.2">
      <c r="A249" s="26" t="s">
        <v>6299</v>
      </c>
      <c r="B249" s="27" t="s">
        <v>6300</v>
      </c>
      <c r="C249" s="28">
        <v>1</v>
      </c>
      <c r="D249" s="29">
        <v>18</v>
      </c>
      <c r="E249" s="29">
        <v>18</v>
      </c>
      <c r="F249" s="30">
        <v>59</v>
      </c>
      <c r="G249" s="29">
        <v>59</v>
      </c>
      <c r="H249" s="28" t="s">
        <v>4661</v>
      </c>
      <c r="I249" s="27" t="s">
        <v>4</v>
      </c>
      <c r="J249" s="31" t="s">
        <v>23</v>
      </c>
      <c r="K249" s="27" t="s">
        <v>24</v>
      </c>
      <c r="L249" s="27" t="s">
        <v>1079</v>
      </c>
      <c r="M249" s="32"/>
    </row>
    <row r="250" spans="1:13" ht="15.2" customHeight="1" x14ac:dyDescent="0.2">
      <c r="A250" s="26" t="s">
        <v>4021</v>
      </c>
      <c r="B250" s="27" t="s">
        <v>4022</v>
      </c>
      <c r="C250" s="28">
        <v>1</v>
      </c>
      <c r="D250" s="29">
        <v>18</v>
      </c>
      <c r="E250" s="29">
        <v>18</v>
      </c>
      <c r="F250" s="30">
        <v>69</v>
      </c>
      <c r="G250" s="29">
        <v>69</v>
      </c>
      <c r="H250" s="28" t="s">
        <v>4023</v>
      </c>
      <c r="I250" s="27" t="s">
        <v>189</v>
      </c>
      <c r="J250" s="31" t="s">
        <v>21</v>
      </c>
      <c r="K250" s="27" t="s">
        <v>24</v>
      </c>
      <c r="L250" s="27" t="s">
        <v>101</v>
      </c>
      <c r="M250" s="32"/>
    </row>
    <row r="251" spans="1:13" ht="15.2" customHeight="1" x14ac:dyDescent="0.2">
      <c r="A251" s="26" t="s">
        <v>2444</v>
      </c>
      <c r="B251" s="27" t="s">
        <v>2442</v>
      </c>
      <c r="C251" s="28">
        <v>1</v>
      </c>
      <c r="D251" s="29">
        <v>17.72</v>
      </c>
      <c r="E251" s="29">
        <v>17.72</v>
      </c>
      <c r="F251" s="30">
        <v>49.5</v>
      </c>
      <c r="G251" s="29">
        <v>49.5</v>
      </c>
      <c r="H251" s="28" t="s">
        <v>2443</v>
      </c>
      <c r="I251" s="27" t="s">
        <v>4</v>
      </c>
      <c r="J251" s="31" t="s">
        <v>5</v>
      </c>
      <c r="K251" s="27" t="s">
        <v>53</v>
      </c>
      <c r="L251" s="27" t="s">
        <v>54</v>
      </c>
      <c r="M251" s="32"/>
    </row>
    <row r="252" spans="1:13" ht="15.2" customHeight="1" x14ac:dyDescent="0.2">
      <c r="A252" s="26" t="s">
        <v>6301</v>
      </c>
      <c r="B252" s="27" t="s">
        <v>6302</v>
      </c>
      <c r="C252" s="28">
        <v>1</v>
      </c>
      <c r="D252" s="29">
        <v>17.5</v>
      </c>
      <c r="E252" s="29">
        <v>17.5</v>
      </c>
      <c r="F252" s="30">
        <v>41.99</v>
      </c>
      <c r="G252" s="29">
        <v>41.99</v>
      </c>
      <c r="H252" s="28" t="s">
        <v>3071</v>
      </c>
      <c r="I252" s="27" t="s">
        <v>4</v>
      </c>
      <c r="J252" s="31"/>
      <c r="K252" s="27" t="s">
        <v>70</v>
      </c>
      <c r="L252" s="27" t="s">
        <v>650</v>
      </c>
      <c r="M252" s="32"/>
    </row>
    <row r="253" spans="1:13" ht="15.2" customHeight="1" x14ac:dyDescent="0.2">
      <c r="A253" s="26" t="s">
        <v>4385</v>
      </c>
      <c r="B253" s="27" t="s">
        <v>4386</v>
      </c>
      <c r="C253" s="28">
        <v>2</v>
      </c>
      <c r="D253" s="29">
        <v>17</v>
      </c>
      <c r="E253" s="29">
        <v>34</v>
      </c>
      <c r="F253" s="30">
        <v>59</v>
      </c>
      <c r="G253" s="29">
        <v>118</v>
      </c>
      <c r="H253" s="28" t="s">
        <v>995</v>
      </c>
      <c r="I253" s="27" t="s">
        <v>82</v>
      </c>
      <c r="J253" s="31" t="s">
        <v>40</v>
      </c>
      <c r="K253" s="27" t="s">
        <v>154</v>
      </c>
      <c r="L253" s="27" t="s">
        <v>155</v>
      </c>
      <c r="M253" s="32"/>
    </row>
    <row r="254" spans="1:13" ht="15.2" customHeight="1" x14ac:dyDescent="0.2">
      <c r="A254" s="26" t="s">
        <v>6303</v>
      </c>
      <c r="B254" s="27" t="s">
        <v>6304</v>
      </c>
      <c r="C254" s="28">
        <v>1</v>
      </c>
      <c r="D254" s="29">
        <v>17</v>
      </c>
      <c r="E254" s="29">
        <v>17</v>
      </c>
      <c r="F254" s="30">
        <v>59</v>
      </c>
      <c r="G254" s="29">
        <v>59</v>
      </c>
      <c r="H254" s="28" t="s">
        <v>502</v>
      </c>
      <c r="I254" s="27"/>
      <c r="J254" s="31" t="s">
        <v>40</v>
      </c>
      <c r="K254" s="27" t="s">
        <v>154</v>
      </c>
      <c r="L254" s="27" t="s">
        <v>155</v>
      </c>
      <c r="M254" s="32"/>
    </row>
    <row r="255" spans="1:13" ht="15.2" customHeight="1" x14ac:dyDescent="0.2">
      <c r="A255" s="26" t="s">
        <v>6305</v>
      </c>
      <c r="B255" s="27" t="s">
        <v>4029</v>
      </c>
      <c r="C255" s="28">
        <v>1</v>
      </c>
      <c r="D255" s="29">
        <v>17</v>
      </c>
      <c r="E255" s="29">
        <v>17</v>
      </c>
      <c r="F255" s="30">
        <v>41.99</v>
      </c>
      <c r="G255" s="29">
        <v>41.99</v>
      </c>
      <c r="H255" s="28" t="s">
        <v>992</v>
      </c>
      <c r="I255" s="27" t="s">
        <v>22</v>
      </c>
      <c r="J255" s="31" t="s">
        <v>65</v>
      </c>
      <c r="K255" s="27" t="s">
        <v>70</v>
      </c>
      <c r="L255" s="27" t="s">
        <v>155</v>
      </c>
      <c r="M255" s="32"/>
    </row>
    <row r="256" spans="1:13" ht="15.2" customHeight="1" x14ac:dyDescent="0.2">
      <c r="A256" s="26" t="s">
        <v>2002</v>
      </c>
      <c r="B256" s="27" t="s">
        <v>991</v>
      </c>
      <c r="C256" s="28">
        <v>1</v>
      </c>
      <c r="D256" s="29">
        <v>17</v>
      </c>
      <c r="E256" s="29">
        <v>17</v>
      </c>
      <c r="F256" s="30">
        <v>41.99</v>
      </c>
      <c r="G256" s="29">
        <v>41.99</v>
      </c>
      <c r="H256" s="28" t="s">
        <v>992</v>
      </c>
      <c r="I256" s="27" t="s">
        <v>4</v>
      </c>
      <c r="J256" s="31" t="s">
        <v>65</v>
      </c>
      <c r="K256" s="27" t="s">
        <v>70</v>
      </c>
      <c r="L256" s="27" t="s">
        <v>155</v>
      </c>
      <c r="M256" s="32"/>
    </row>
    <row r="257" spans="1:13" ht="15.2" customHeight="1" x14ac:dyDescent="0.2">
      <c r="A257" s="26" t="s">
        <v>4028</v>
      </c>
      <c r="B257" s="27" t="s">
        <v>4029</v>
      </c>
      <c r="C257" s="28">
        <v>1</v>
      </c>
      <c r="D257" s="29">
        <v>17</v>
      </c>
      <c r="E257" s="29">
        <v>17</v>
      </c>
      <c r="F257" s="30">
        <v>41.99</v>
      </c>
      <c r="G257" s="29">
        <v>41.99</v>
      </c>
      <c r="H257" s="28" t="s">
        <v>992</v>
      </c>
      <c r="I257" s="27" t="s">
        <v>22</v>
      </c>
      <c r="J257" s="31" t="s">
        <v>52</v>
      </c>
      <c r="K257" s="27" t="s">
        <v>70</v>
      </c>
      <c r="L257" s="27" t="s">
        <v>155</v>
      </c>
      <c r="M257" s="32"/>
    </row>
    <row r="258" spans="1:13" ht="15.2" customHeight="1" x14ac:dyDescent="0.2">
      <c r="A258" s="26" t="s">
        <v>4384</v>
      </c>
      <c r="B258" s="27" t="s">
        <v>4029</v>
      </c>
      <c r="C258" s="28">
        <v>2</v>
      </c>
      <c r="D258" s="29">
        <v>17</v>
      </c>
      <c r="E258" s="29">
        <v>34</v>
      </c>
      <c r="F258" s="30">
        <v>41.99</v>
      </c>
      <c r="G258" s="29">
        <v>83.98</v>
      </c>
      <c r="H258" s="28" t="s">
        <v>992</v>
      </c>
      <c r="I258" s="27" t="s">
        <v>22</v>
      </c>
      <c r="J258" s="31" t="s">
        <v>5</v>
      </c>
      <c r="K258" s="27" t="s">
        <v>70</v>
      </c>
      <c r="L258" s="27" t="s">
        <v>155</v>
      </c>
      <c r="M258" s="32"/>
    </row>
    <row r="259" spans="1:13" ht="15.2" customHeight="1" x14ac:dyDescent="0.2">
      <c r="A259" s="26" t="s">
        <v>4668</v>
      </c>
      <c r="B259" s="27" t="s">
        <v>4669</v>
      </c>
      <c r="C259" s="28">
        <v>1</v>
      </c>
      <c r="D259" s="29">
        <v>16.739999999999998</v>
      </c>
      <c r="E259" s="29">
        <v>16.739999999999998</v>
      </c>
      <c r="F259" s="30">
        <v>49</v>
      </c>
      <c r="G259" s="29">
        <v>49</v>
      </c>
      <c r="H259" s="28" t="s">
        <v>509</v>
      </c>
      <c r="I259" s="27" t="s">
        <v>4</v>
      </c>
      <c r="J259" s="31" t="s">
        <v>5</v>
      </c>
      <c r="K259" s="27" t="s">
        <v>510</v>
      </c>
      <c r="L259" s="27" t="s">
        <v>511</v>
      </c>
      <c r="M259" s="32"/>
    </row>
    <row r="260" spans="1:13" ht="15.2" customHeight="1" x14ac:dyDescent="0.2">
      <c r="A260" s="26" t="s">
        <v>3530</v>
      </c>
      <c r="B260" s="27" t="s">
        <v>3531</v>
      </c>
      <c r="C260" s="28">
        <v>1</v>
      </c>
      <c r="D260" s="29">
        <v>16.739999999999998</v>
      </c>
      <c r="E260" s="29">
        <v>16.739999999999998</v>
      </c>
      <c r="F260" s="30">
        <v>49</v>
      </c>
      <c r="G260" s="29">
        <v>49</v>
      </c>
      <c r="H260" s="28" t="s">
        <v>1002</v>
      </c>
      <c r="I260" s="27" t="s">
        <v>291</v>
      </c>
      <c r="J260" s="31" t="s">
        <v>40</v>
      </c>
      <c r="K260" s="27" t="s">
        <v>510</v>
      </c>
      <c r="L260" s="27" t="s">
        <v>511</v>
      </c>
      <c r="M260" s="32"/>
    </row>
    <row r="261" spans="1:13" ht="15.2" customHeight="1" x14ac:dyDescent="0.2">
      <c r="A261" s="26" t="s">
        <v>2004</v>
      </c>
      <c r="B261" s="27" t="s">
        <v>2005</v>
      </c>
      <c r="C261" s="28">
        <v>2</v>
      </c>
      <c r="D261" s="29">
        <v>16.739999999999998</v>
      </c>
      <c r="E261" s="29">
        <v>33.479999999999997</v>
      </c>
      <c r="F261" s="30">
        <v>49</v>
      </c>
      <c r="G261" s="29">
        <v>98</v>
      </c>
      <c r="H261" s="28" t="s">
        <v>2006</v>
      </c>
      <c r="I261" s="27" t="s">
        <v>4</v>
      </c>
      <c r="J261" s="31" t="s">
        <v>5</v>
      </c>
      <c r="K261" s="27" t="s">
        <v>510</v>
      </c>
      <c r="L261" s="27" t="s">
        <v>511</v>
      </c>
      <c r="M261" s="32"/>
    </row>
    <row r="262" spans="1:13" ht="15.2" customHeight="1" x14ac:dyDescent="0.2">
      <c r="A262" s="26" t="s">
        <v>2735</v>
      </c>
      <c r="B262" s="27" t="s">
        <v>2736</v>
      </c>
      <c r="C262" s="28">
        <v>1</v>
      </c>
      <c r="D262" s="29">
        <v>16.739999999999998</v>
      </c>
      <c r="E262" s="29">
        <v>16.739999999999998</v>
      </c>
      <c r="F262" s="30">
        <v>49</v>
      </c>
      <c r="G262" s="29">
        <v>49</v>
      </c>
      <c r="H262" s="28" t="s">
        <v>2734</v>
      </c>
      <c r="I262" s="27" t="s">
        <v>4</v>
      </c>
      <c r="J262" s="31" t="s">
        <v>21</v>
      </c>
      <c r="K262" s="27" t="s">
        <v>510</v>
      </c>
      <c r="L262" s="27" t="s">
        <v>511</v>
      </c>
      <c r="M262" s="32"/>
    </row>
    <row r="263" spans="1:13" ht="15.2" customHeight="1" x14ac:dyDescent="0.2">
      <c r="A263" s="26" t="s">
        <v>3532</v>
      </c>
      <c r="B263" s="27" t="s">
        <v>3533</v>
      </c>
      <c r="C263" s="28">
        <v>1</v>
      </c>
      <c r="D263" s="29">
        <v>16.739999999999998</v>
      </c>
      <c r="E263" s="29">
        <v>16.739999999999998</v>
      </c>
      <c r="F263" s="30">
        <v>49</v>
      </c>
      <c r="G263" s="29">
        <v>49</v>
      </c>
      <c r="H263" s="28" t="s">
        <v>2734</v>
      </c>
      <c r="I263" s="27" t="s">
        <v>4</v>
      </c>
      <c r="J263" s="31" t="s">
        <v>40</v>
      </c>
      <c r="K263" s="27" t="s">
        <v>510</v>
      </c>
      <c r="L263" s="27" t="s">
        <v>511</v>
      </c>
      <c r="M263" s="32"/>
    </row>
    <row r="264" spans="1:13" ht="15.2" customHeight="1" x14ac:dyDescent="0.2">
      <c r="A264" s="26" t="s">
        <v>4036</v>
      </c>
      <c r="B264" s="27" t="s">
        <v>4037</v>
      </c>
      <c r="C264" s="28">
        <v>1</v>
      </c>
      <c r="D264" s="29">
        <v>16.739999999999998</v>
      </c>
      <c r="E264" s="29">
        <v>16.739999999999998</v>
      </c>
      <c r="F264" s="30">
        <v>49</v>
      </c>
      <c r="G264" s="29">
        <v>49</v>
      </c>
      <c r="H264" s="28" t="s">
        <v>2006</v>
      </c>
      <c r="I264" s="27" t="s">
        <v>4</v>
      </c>
      <c r="J264" s="31" t="s">
        <v>21</v>
      </c>
      <c r="K264" s="27" t="s">
        <v>510</v>
      </c>
      <c r="L264" s="27" t="s">
        <v>511</v>
      </c>
      <c r="M264" s="32"/>
    </row>
    <row r="265" spans="1:13" ht="15.2" customHeight="1" x14ac:dyDescent="0.2">
      <c r="A265" s="26" t="s">
        <v>4046</v>
      </c>
      <c r="B265" s="27" t="s">
        <v>4047</v>
      </c>
      <c r="C265" s="28">
        <v>1</v>
      </c>
      <c r="D265" s="29">
        <v>16.5</v>
      </c>
      <c r="E265" s="29">
        <v>16.5</v>
      </c>
      <c r="F265" s="30">
        <v>39.99</v>
      </c>
      <c r="G265" s="29">
        <v>39.99</v>
      </c>
      <c r="H265" s="28" t="s">
        <v>2448</v>
      </c>
      <c r="I265" s="27" t="s">
        <v>746</v>
      </c>
      <c r="J265" s="31" t="s">
        <v>5</v>
      </c>
      <c r="K265" s="27" t="s">
        <v>70</v>
      </c>
      <c r="L265" s="27" t="s">
        <v>101</v>
      </c>
      <c r="M265" s="32"/>
    </row>
    <row r="266" spans="1:13" ht="15.2" customHeight="1" x14ac:dyDescent="0.2">
      <c r="A266" s="26" t="s">
        <v>1003</v>
      </c>
      <c r="B266" s="27" t="s">
        <v>1004</v>
      </c>
      <c r="C266" s="28">
        <v>1</v>
      </c>
      <c r="D266" s="29">
        <v>16.329999999999998</v>
      </c>
      <c r="E266" s="29">
        <v>16.329999999999998</v>
      </c>
      <c r="F266" s="30">
        <v>44.5</v>
      </c>
      <c r="G266" s="29">
        <v>44.5</v>
      </c>
      <c r="H266" s="28" t="s">
        <v>1005</v>
      </c>
      <c r="I266" s="27" t="s">
        <v>4</v>
      </c>
      <c r="J266" s="31" t="s">
        <v>71</v>
      </c>
      <c r="K266" s="27" t="s">
        <v>53</v>
      </c>
      <c r="L266" s="27" t="s">
        <v>54</v>
      </c>
      <c r="M266" s="32"/>
    </row>
    <row r="267" spans="1:13" ht="15.2" customHeight="1" x14ac:dyDescent="0.2">
      <c r="A267" s="26" t="s">
        <v>6306</v>
      </c>
      <c r="B267" s="27" t="s">
        <v>6307</v>
      </c>
      <c r="C267" s="28">
        <v>1</v>
      </c>
      <c r="D267" s="29">
        <v>15.75</v>
      </c>
      <c r="E267" s="29">
        <v>15.75</v>
      </c>
      <c r="F267" s="30">
        <v>49</v>
      </c>
      <c r="G267" s="29">
        <v>49</v>
      </c>
      <c r="H267" s="28" t="s">
        <v>4060</v>
      </c>
      <c r="I267" s="27"/>
      <c r="J267" s="31" t="s">
        <v>5</v>
      </c>
      <c r="K267" s="27" t="s">
        <v>37</v>
      </c>
      <c r="L267" s="27" t="s">
        <v>38</v>
      </c>
      <c r="M267" s="32"/>
    </row>
    <row r="268" spans="1:13" ht="15.2" customHeight="1" x14ac:dyDescent="0.2">
      <c r="A268" s="26" t="s">
        <v>6104</v>
      </c>
      <c r="B268" s="27" t="s">
        <v>6105</v>
      </c>
      <c r="C268" s="28">
        <v>2</v>
      </c>
      <c r="D268" s="29">
        <v>15</v>
      </c>
      <c r="E268" s="29">
        <v>30</v>
      </c>
      <c r="F268" s="30">
        <v>34.99</v>
      </c>
      <c r="G268" s="29">
        <v>69.98</v>
      </c>
      <c r="H268" s="28" t="s">
        <v>1637</v>
      </c>
      <c r="I268" s="27" t="s">
        <v>82</v>
      </c>
      <c r="J268" s="31" t="s">
        <v>21</v>
      </c>
      <c r="K268" s="27" t="s">
        <v>70</v>
      </c>
      <c r="L268" s="27" t="s">
        <v>1079</v>
      </c>
      <c r="M268" s="32"/>
    </row>
    <row r="269" spans="1:13" ht="15.2" customHeight="1" x14ac:dyDescent="0.2">
      <c r="A269" s="26" t="s">
        <v>1635</v>
      </c>
      <c r="B269" s="27" t="s">
        <v>1636</v>
      </c>
      <c r="C269" s="28">
        <v>2</v>
      </c>
      <c r="D269" s="29">
        <v>15</v>
      </c>
      <c r="E269" s="29">
        <v>30</v>
      </c>
      <c r="F269" s="30">
        <v>34.99</v>
      </c>
      <c r="G269" s="29">
        <v>69.98</v>
      </c>
      <c r="H269" s="28" t="s">
        <v>1637</v>
      </c>
      <c r="I269" s="27" t="s">
        <v>82</v>
      </c>
      <c r="J269" s="31" t="s">
        <v>5</v>
      </c>
      <c r="K269" s="27" t="s">
        <v>70</v>
      </c>
      <c r="L269" s="27" t="s">
        <v>1079</v>
      </c>
      <c r="M269" s="32"/>
    </row>
    <row r="270" spans="1:13" ht="15.2" customHeight="1" x14ac:dyDescent="0.2">
      <c r="A270" s="26" t="s">
        <v>4387</v>
      </c>
      <c r="B270" s="27" t="s">
        <v>4388</v>
      </c>
      <c r="C270" s="28">
        <v>1</v>
      </c>
      <c r="D270" s="29">
        <v>15</v>
      </c>
      <c r="E270" s="29">
        <v>15</v>
      </c>
      <c r="F270" s="30">
        <v>49</v>
      </c>
      <c r="G270" s="29">
        <v>49</v>
      </c>
      <c r="H270" s="28" t="s">
        <v>3074</v>
      </c>
      <c r="I270" s="27" t="s">
        <v>4</v>
      </c>
      <c r="J270" s="31" t="s">
        <v>5</v>
      </c>
      <c r="K270" s="27" t="s">
        <v>24</v>
      </c>
      <c r="L270" s="27" t="s">
        <v>101</v>
      </c>
      <c r="M270" s="32"/>
    </row>
    <row r="271" spans="1:13" ht="15.2" customHeight="1" x14ac:dyDescent="0.2">
      <c r="A271" s="26" t="s">
        <v>4065</v>
      </c>
      <c r="B271" s="27" t="s">
        <v>4066</v>
      </c>
      <c r="C271" s="28">
        <v>1</v>
      </c>
      <c r="D271" s="29">
        <v>14.65</v>
      </c>
      <c r="E271" s="29">
        <v>14.65</v>
      </c>
      <c r="F271" s="30">
        <v>34.99</v>
      </c>
      <c r="G271" s="29">
        <v>34.99</v>
      </c>
      <c r="H271" s="28" t="s">
        <v>4067</v>
      </c>
      <c r="I271" s="27" t="s">
        <v>333</v>
      </c>
      <c r="J271" s="31" t="s">
        <v>40</v>
      </c>
      <c r="K271" s="27" t="s">
        <v>159</v>
      </c>
      <c r="L271" s="27" t="s">
        <v>160</v>
      </c>
      <c r="M271" s="32"/>
    </row>
    <row r="272" spans="1:13" ht="15.2" customHeight="1" x14ac:dyDescent="0.2">
      <c r="A272" s="26" t="s">
        <v>6308</v>
      </c>
      <c r="B272" s="27" t="s">
        <v>6309</v>
      </c>
      <c r="C272" s="28">
        <v>1</v>
      </c>
      <c r="D272" s="29">
        <v>14.45</v>
      </c>
      <c r="E272" s="29">
        <v>14.45</v>
      </c>
      <c r="F272" s="30">
        <v>39.5</v>
      </c>
      <c r="G272" s="29">
        <v>39.5</v>
      </c>
      <c r="H272" s="28" t="s">
        <v>2457</v>
      </c>
      <c r="I272" s="27" t="s">
        <v>291</v>
      </c>
      <c r="J272" s="31" t="s">
        <v>71</v>
      </c>
      <c r="K272" s="27" t="s">
        <v>53</v>
      </c>
      <c r="L272" s="27" t="s">
        <v>54</v>
      </c>
      <c r="M272" s="32"/>
    </row>
    <row r="273" spans="1:13" ht="15.2" customHeight="1" x14ac:dyDescent="0.2">
      <c r="A273" s="26" t="s">
        <v>6310</v>
      </c>
      <c r="B273" s="27" t="s">
        <v>539</v>
      </c>
      <c r="C273" s="28">
        <v>1</v>
      </c>
      <c r="D273" s="29">
        <v>14.42</v>
      </c>
      <c r="E273" s="29">
        <v>14.42</v>
      </c>
      <c r="F273" s="30">
        <v>39.5</v>
      </c>
      <c r="G273" s="29">
        <v>39.5</v>
      </c>
      <c r="H273" s="28" t="s">
        <v>540</v>
      </c>
      <c r="I273" s="27" t="s">
        <v>1</v>
      </c>
      <c r="J273" s="31" t="s">
        <v>65</v>
      </c>
      <c r="K273" s="27" t="s">
        <v>41</v>
      </c>
      <c r="L273" s="27" t="s">
        <v>80</v>
      </c>
      <c r="M273" s="32"/>
    </row>
    <row r="274" spans="1:13" ht="15.2" customHeight="1" x14ac:dyDescent="0.2">
      <c r="A274" s="26" t="s">
        <v>2014</v>
      </c>
      <c r="B274" s="27" t="s">
        <v>539</v>
      </c>
      <c r="C274" s="28">
        <v>3</v>
      </c>
      <c r="D274" s="29">
        <v>14.42</v>
      </c>
      <c r="E274" s="29">
        <v>43.26</v>
      </c>
      <c r="F274" s="30">
        <v>39.5</v>
      </c>
      <c r="G274" s="29">
        <v>118.5</v>
      </c>
      <c r="H274" s="28" t="s">
        <v>540</v>
      </c>
      <c r="I274" s="27" t="s">
        <v>1</v>
      </c>
      <c r="J274" s="31" t="s">
        <v>5</v>
      </c>
      <c r="K274" s="27" t="s">
        <v>41</v>
      </c>
      <c r="L274" s="27" t="s">
        <v>80</v>
      </c>
      <c r="M274" s="32"/>
    </row>
    <row r="275" spans="1:13" ht="15.2" customHeight="1" x14ac:dyDescent="0.2">
      <c r="A275" s="26" t="s">
        <v>2018</v>
      </c>
      <c r="B275" s="27" t="s">
        <v>2019</v>
      </c>
      <c r="C275" s="28">
        <v>2</v>
      </c>
      <c r="D275" s="29">
        <v>14.42</v>
      </c>
      <c r="E275" s="29">
        <v>28.84</v>
      </c>
      <c r="F275" s="30">
        <v>39.5</v>
      </c>
      <c r="G275" s="29">
        <v>79</v>
      </c>
      <c r="H275" s="28" t="s">
        <v>532</v>
      </c>
      <c r="I275" s="27" t="s">
        <v>49</v>
      </c>
      <c r="J275" s="31" t="s">
        <v>40</v>
      </c>
      <c r="K275" s="27" t="s">
        <v>41</v>
      </c>
      <c r="L275" s="27" t="s">
        <v>45</v>
      </c>
      <c r="M275" s="32"/>
    </row>
    <row r="276" spans="1:13" ht="15.2" customHeight="1" x14ac:dyDescent="0.2">
      <c r="A276" s="26" t="s">
        <v>2463</v>
      </c>
      <c r="B276" s="27" t="s">
        <v>528</v>
      </c>
      <c r="C276" s="28">
        <v>1</v>
      </c>
      <c r="D276" s="29">
        <v>14.42</v>
      </c>
      <c r="E276" s="29">
        <v>14.42</v>
      </c>
      <c r="F276" s="30">
        <v>39.5</v>
      </c>
      <c r="G276" s="29">
        <v>39.5</v>
      </c>
      <c r="H276" s="28" t="s">
        <v>529</v>
      </c>
      <c r="I276" s="27" t="s">
        <v>22</v>
      </c>
      <c r="J276" s="31" t="s">
        <v>21</v>
      </c>
      <c r="K276" s="27" t="s">
        <v>41</v>
      </c>
      <c r="L276" s="27" t="s">
        <v>45</v>
      </c>
      <c r="M276" s="32"/>
    </row>
    <row r="277" spans="1:13" ht="15.2" customHeight="1" x14ac:dyDescent="0.2">
      <c r="A277" s="26" t="s">
        <v>6311</v>
      </c>
      <c r="B277" s="27" t="s">
        <v>6312</v>
      </c>
      <c r="C277" s="28">
        <v>1</v>
      </c>
      <c r="D277" s="29">
        <v>14.42</v>
      </c>
      <c r="E277" s="29">
        <v>14.42</v>
      </c>
      <c r="F277" s="30">
        <v>39.5</v>
      </c>
      <c r="G277" s="29">
        <v>39.5</v>
      </c>
      <c r="H277" s="28" t="s">
        <v>532</v>
      </c>
      <c r="I277" s="27" t="s">
        <v>49</v>
      </c>
      <c r="J277" s="31" t="s">
        <v>71</v>
      </c>
      <c r="K277" s="27" t="s">
        <v>41</v>
      </c>
      <c r="L277" s="27" t="s">
        <v>45</v>
      </c>
      <c r="M277" s="32"/>
    </row>
    <row r="278" spans="1:13" ht="15.2" customHeight="1" x14ac:dyDescent="0.2">
      <c r="A278" s="26" t="s">
        <v>1641</v>
      </c>
      <c r="B278" s="27" t="s">
        <v>528</v>
      </c>
      <c r="C278" s="28">
        <v>2</v>
      </c>
      <c r="D278" s="29">
        <v>14.42</v>
      </c>
      <c r="E278" s="29">
        <v>28.84</v>
      </c>
      <c r="F278" s="30">
        <v>39.5</v>
      </c>
      <c r="G278" s="29">
        <v>79</v>
      </c>
      <c r="H278" s="28" t="s">
        <v>529</v>
      </c>
      <c r="I278" s="27" t="s">
        <v>280</v>
      </c>
      <c r="J278" s="31" t="s">
        <v>5</v>
      </c>
      <c r="K278" s="27" t="s">
        <v>41</v>
      </c>
      <c r="L278" s="27" t="s">
        <v>45</v>
      </c>
      <c r="M278" s="32"/>
    </row>
    <row r="279" spans="1:13" ht="15.2" customHeight="1" x14ac:dyDescent="0.2">
      <c r="A279" s="26" t="s">
        <v>2461</v>
      </c>
      <c r="B279" s="27" t="s">
        <v>528</v>
      </c>
      <c r="C279" s="28">
        <v>1</v>
      </c>
      <c r="D279" s="29">
        <v>14.42</v>
      </c>
      <c r="E279" s="29">
        <v>14.42</v>
      </c>
      <c r="F279" s="30">
        <v>39.5</v>
      </c>
      <c r="G279" s="29">
        <v>39.5</v>
      </c>
      <c r="H279" s="28" t="s">
        <v>529</v>
      </c>
      <c r="I279" s="27" t="s">
        <v>4</v>
      </c>
      <c r="J279" s="31" t="s">
        <v>5</v>
      </c>
      <c r="K279" s="27" t="s">
        <v>41</v>
      </c>
      <c r="L279" s="27" t="s">
        <v>45</v>
      </c>
      <c r="M279" s="32"/>
    </row>
    <row r="280" spans="1:13" ht="15.2" customHeight="1" x14ac:dyDescent="0.2">
      <c r="A280" s="26" t="s">
        <v>1015</v>
      </c>
      <c r="B280" s="27" t="s">
        <v>528</v>
      </c>
      <c r="C280" s="28">
        <v>1</v>
      </c>
      <c r="D280" s="29">
        <v>14.42</v>
      </c>
      <c r="E280" s="29">
        <v>14.42</v>
      </c>
      <c r="F280" s="30">
        <v>39.5</v>
      </c>
      <c r="G280" s="29">
        <v>39.5</v>
      </c>
      <c r="H280" s="28" t="s">
        <v>529</v>
      </c>
      <c r="I280" s="27" t="s">
        <v>22</v>
      </c>
      <c r="J280" s="31" t="s">
        <v>65</v>
      </c>
      <c r="K280" s="27" t="s">
        <v>41</v>
      </c>
      <c r="L280" s="27" t="s">
        <v>45</v>
      </c>
      <c r="M280" s="32"/>
    </row>
    <row r="281" spans="1:13" ht="15.2" customHeight="1" x14ac:dyDescent="0.2">
      <c r="A281" s="26" t="s">
        <v>4390</v>
      </c>
      <c r="B281" s="27" t="s">
        <v>534</v>
      </c>
      <c r="C281" s="28">
        <v>1</v>
      </c>
      <c r="D281" s="29">
        <v>14.42</v>
      </c>
      <c r="E281" s="29">
        <v>14.42</v>
      </c>
      <c r="F281" s="30">
        <v>39.5</v>
      </c>
      <c r="G281" s="29">
        <v>39.5</v>
      </c>
      <c r="H281" s="28" t="s">
        <v>535</v>
      </c>
      <c r="I281" s="27" t="s">
        <v>33</v>
      </c>
      <c r="J281" s="31" t="s">
        <v>5</v>
      </c>
      <c r="K281" s="27" t="s">
        <v>41</v>
      </c>
      <c r="L281" s="27" t="s">
        <v>45</v>
      </c>
      <c r="M281" s="32"/>
    </row>
    <row r="282" spans="1:13" ht="15.2" customHeight="1" x14ac:dyDescent="0.2">
      <c r="A282" s="26" t="s">
        <v>6313</v>
      </c>
      <c r="B282" s="27" t="s">
        <v>3567</v>
      </c>
      <c r="C282" s="28">
        <v>1</v>
      </c>
      <c r="D282" s="29">
        <v>14.42</v>
      </c>
      <c r="E282" s="29">
        <v>14.42</v>
      </c>
      <c r="F282" s="30">
        <v>39.5</v>
      </c>
      <c r="G282" s="29">
        <v>39.5</v>
      </c>
      <c r="H282" s="28" t="s">
        <v>3568</v>
      </c>
      <c r="I282" s="27" t="s">
        <v>144</v>
      </c>
      <c r="J282" s="31" t="s">
        <v>65</v>
      </c>
      <c r="K282" s="27" t="s">
        <v>41</v>
      </c>
      <c r="L282" s="27" t="s">
        <v>45</v>
      </c>
      <c r="M282" s="32"/>
    </row>
    <row r="283" spans="1:13" ht="15.2" customHeight="1" x14ac:dyDescent="0.2">
      <c r="A283" s="26" t="s">
        <v>1644</v>
      </c>
      <c r="B283" s="27" t="s">
        <v>539</v>
      </c>
      <c r="C283" s="28">
        <v>2</v>
      </c>
      <c r="D283" s="29">
        <v>14.42</v>
      </c>
      <c r="E283" s="29">
        <v>28.84</v>
      </c>
      <c r="F283" s="30">
        <v>39.5</v>
      </c>
      <c r="G283" s="29">
        <v>79</v>
      </c>
      <c r="H283" s="28" t="s">
        <v>540</v>
      </c>
      <c r="I283" s="27" t="s">
        <v>1</v>
      </c>
      <c r="J283" s="31" t="s">
        <v>40</v>
      </c>
      <c r="K283" s="27" t="s">
        <v>41</v>
      </c>
      <c r="L283" s="27" t="s">
        <v>80</v>
      </c>
      <c r="M283" s="32"/>
    </row>
    <row r="284" spans="1:13" ht="15.2" customHeight="1" x14ac:dyDescent="0.2">
      <c r="A284" s="26" t="s">
        <v>4389</v>
      </c>
      <c r="B284" s="27" t="s">
        <v>534</v>
      </c>
      <c r="C284" s="28">
        <v>2</v>
      </c>
      <c r="D284" s="29">
        <v>14.42</v>
      </c>
      <c r="E284" s="29">
        <v>28.84</v>
      </c>
      <c r="F284" s="30">
        <v>39.5</v>
      </c>
      <c r="G284" s="29">
        <v>79</v>
      </c>
      <c r="H284" s="28" t="s">
        <v>535</v>
      </c>
      <c r="I284" s="27" t="s">
        <v>103</v>
      </c>
      <c r="J284" s="31" t="s">
        <v>21</v>
      </c>
      <c r="K284" s="27" t="s">
        <v>41</v>
      </c>
      <c r="L284" s="27" t="s">
        <v>45</v>
      </c>
      <c r="M284" s="32"/>
    </row>
    <row r="285" spans="1:13" ht="15.2" customHeight="1" x14ac:dyDescent="0.2">
      <c r="A285" s="26" t="s">
        <v>1645</v>
      </c>
      <c r="B285" s="27" t="s">
        <v>534</v>
      </c>
      <c r="C285" s="28">
        <v>1</v>
      </c>
      <c r="D285" s="29">
        <v>14.42</v>
      </c>
      <c r="E285" s="29">
        <v>14.42</v>
      </c>
      <c r="F285" s="30">
        <v>39.5</v>
      </c>
      <c r="G285" s="29">
        <v>39.5</v>
      </c>
      <c r="H285" s="28" t="s">
        <v>535</v>
      </c>
      <c r="I285" s="27" t="s">
        <v>33</v>
      </c>
      <c r="J285" s="31" t="s">
        <v>71</v>
      </c>
      <c r="K285" s="27" t="s">
        <v>41</v>
      </c>
      <c r="L285" s="27" t="s">
        <v>45</v>
      </c>
      <c r="M285" s="32"/>
    </row>
    <row r="286" spans="1:13" ht="15.2" customHeight="1" x14ac:dyDescent="0.2">
      <c r="A286" s="26" t="s">
        <v>541</v>
      </c>
      <c r="B286" s="27" t="s">
        <v>528</v>
      </c>
      <c r="C286" s="28">
        <v>1</v>
      </c>
      <c r="D286" s="29">
        <v>14.42</v>
      </c>
      <c r="E286" s="29">
        <v>14.42</v>
      </c>
      <c r="F286" s="30">
        <v>39.5</v>
      </c>
      <c r="G286" s="29">
        <v>39.5</v>
      </c>
      <c r="H286" s="28" t="s">
        <v>529</v>
      </c>
      <c r="I286" s="27" t="s">
        <v>103</v>
      </c>
      <c r="J286" s="31" t="s">
        <v>21</v>
      </c>
      <c r="K286" s="27" t="s">
        <v>41</v>
      </c>
      <c r="L286" s="27" t="s">
        <v>45</v>
      </c>
      <c r="M286" s="32"/>
    </row>
    <row r="287" spans="1:13" ht="15.2" customHeight="1" x14ac:dyDescent="0.2">
      <c r="A287" s="26" t="s">
        <v>6314</v>
      </c>
      <c r="B287" s="27" t="s">
        <v>4244</v>
      </c>
      <c r="C287" s="28">
        <v>1</v>
      </c>
      <c r="D287" s="29">
        <v>14.42</v>
      </c>
      <c r="E287" s="29">
        <v>14.42</v>
      </c>
      <c r="F287" s="30">
        <v>39.5</v>
      </c>
      <c r="G287" s="29">
        <v>39.5</v>
      </c>
      <c r="H287" s="28" t="s">
        <v>4245</v>
      </c>
      <c r="I287" s="27" t="s">
        <v>1</v>
      </c>
      <c r="J287" s="31" t="s">
        <v>40</v>
      </c>
      <c r="K287" s="27" t="s">
        <v>41</v>
      </c>
      <c r="L287" s="27" t="s">
        <v>45</v>
      </c>
      <c r="M287" s="32"/>
    </row>
    <row r="288" spans="1:13" ht="15.2" customHeight="1" x14ac:dyDescent="0.2">
      <c r="A288" s="26" t="s">
        <v>3075</v>
      </c>
      <c r="B288" s="27" t="s">
        <v>528</v>
      </c>
      <c r="C288" s="28">
        <v>1</v>
      </c>
      <c r="D288" s="29">
        <v>14.42</v>
      </c>
      <c r="E288" s="29">
        <v>14.42</v>
      </c>
      <c r="F288" s="30">
        <v>39.5</v>
      </c>
      <c r="G288" s="29">
        <v>39.5</v>
      </c>
      <c r="H288" s="28" t="s">
        <v>529</v>
      </c>
      <c r="I288" s="27" t="s">
        <v>103</v>
      </c>
      <c r="J288" s="31" t="s">
        <v>52</v>
      </c>
      <c r="K288" s="27" t="s">
        <v>41</v>
      </c>
      <c r="L288" s="27" t="s">
        <v>45</v>
      </c>
      <c r="M288" s="32"/>
    </row>
    <row r="289" spans="1:13" ht="15.2" customHeight="1" x14ac:dyDescent="0.2">
      <c r="A289" s="26" t="s">
        <v>530</v>
      </c>
      <c r="B289" s="27" t="s">
        <v>531</v>
      </c>
      <c r="C289" s="28">
        <v>1</v>
      </c>
      <c r="D289" s="29">
        <v>14.42</v>
      </c>
      <c r="E289" s="29">
        <v>14.42</v>
      </c>
      <c r="F289" s="30">
        <v>39.5</v>
      </c>
      <c r="G289" s="29">
        <v>39.5</v>
      </c>
      <c r="H289" s="28" t="s">
        <v>532</v>
      </c>
      <c r="I289" s="27" t="s">
        <v>49</v>
      </c>
      <c r="J289" s="31" t="s">
        <v>21</v>
      </c>
      <c r="K289" s="27" t="s">
        <v>41</v>
      </c>
      <c r="L289" s="27" t="s">
        <v>45</v>
      </c>
      <c r="M289" s="32"/>
    </row>
    <row r="290" spans="1:13" ht="15.2" customHeight="1" x14ac:dyDescent="0.2">
      <c r="A290" s="26" t="s">
        <v>2462</v>
      </c>
      <c r="B290" s="27" t="s">
        <v>528</v>
      </c>
      <c r="C290" s="28">
        <v>1</v>
      </c>
      <c r="D290" s="29">
        <v>14.42</v>
      </c>
      <c r="E290" s="29">
        <v>14.42</v>
      </c>
      <c r="F290" s="30">
        <v>39.5</v>
      </c>
      <c r="G290" s="29">
        <v>39.5</v>
      </c>
      <c r="H290" s="28" t="s">
        <v>529</v>
      </c>
      <c r="I290" s="27" t="s">
        <v>280</v>
      </c>
      <c r="J290" s="31" t="s">
        <v>21</v>
      </c>
      <c r="K290" s="27" t="s">
        <v>41</v>
      </c>
      <c r="L290" s="27" t="s">
        <v>45</v>
      </c>
      <c r="M290" s="32"/>
    </row>
    <row r="291" spans="1:13" ht="15.2" customHeight="1" x14ac:dyDescent="0.2">
      <c r="A291" s="26" t="s">
        <v>6315</v>
      </c>
      <c r="B291" s="27" t="s">
        <v>6316</v>
      </c>
      <c r="C291" s="28">
        <v>1</v>
      </c>
      <c r="D291" s="29">
        <v>14.42</v>
      </c>
      <c r="E291" s="29">
        <v>14.42</v>
      </c>
      <c r="F291" s="30">
        <v>39.5</v>
      </c>
      <c r="G291" s="29">
        <v>39.5</v>
      </c>
      <c r="H291" s="28" t="s">
        <v>6317</v>
      </c>
      <c r="I291" s="27" t="s">
        <v>82</v>
      </c>
      <c r="J291" s="31" t="s">
        <v>5</v>
      </c>
      <c r="K291" s="27" t="s">
        <v>41</v>
      </c>
      <c r="L291" s="27" t="s">
        <v>90</v>
      </c>
      <c r="M291" s="32"/>
    </row>
    <row r="292" spans="1:13" ht="15.2" customHeight="1" x14ac:dyDescent="0.2">
      <c r="A292" s="26" t="s">
        <v>4073</v>
      </c>
      <c r="B292" s="27" t="s">
        <v>534</v>
      </c>
      <c r="C292" s="28">
        <v>1</v>
      </c>
      <c r="D292" s="29">
        <v>14.42</v>
      </c>
      <c r="E292" s="29">
        <v>14.42</v>
      </c>
      <c r="F292" s="30">
        <v>39.5</v>
      </c>
      <c r="G292" s="29">
        <v>39.5</v>
      </c>
      <c r="H292" s="28" t="s">
        <v>535</v>
      </c>
      <c r="I292" s="27" t="s">
        <v>94</v>
      </c>
      <c r="J292" s="31" t="s">
        <v>5</v>
      </c>
      <c r="K292" s="27" t="s">
        <v>41</v>
      </c>
      <c r="L292" s="27" t="s">
        <v>45</v>
      </c>
      <c r="M292" s="32"/>
    </row>
    <row r="293" spans="1:13" ht="15.2" customHeight="1" x14ac:dyDescent="0.2">
      <c r="A293" s="26" t="s">
        <v>6318</v>
      </c>
      <c r="B293" s="27" t="s">
        <v>534</v>
      </c>
      <c r="C293" s="28">
        <v>1</v>
      </c>
      <c r="D293" s="29">
        <v>14.42</v>
      </c>
      <c r="E293" s="29">
        <v>14.42</v>
      </c>
      <c r="F293" s="30">
        <v>39.5</v>
      </c>
      <c r="G293" s="29">
        <v>39.5</v>
      </c>
      <c r="H293" s="28" t="s">
        <v>535</v>
      </c>
      <c r="I293" s="27" t="s">
        <v>94</v>
      </c>
      <c r="J293" s="31" t="s">
        <v>71</v>
      </c>
      <c r="K293" s="27" t="s">
        <v>41</v>
      </c>
      <c r="L293" s="27" t="s">
        <v>45</v>
      </c>
      <c r="M293" s="32"/>
    </row>
    <row r="294" spans="1:13" ht="15.2" customHeight="1" x14ac:dyDescent="0.2">
      <c r="A294" s="26" t="s">
        <v>4075</v>
      </c>
      <c r="B294" s="27" t="s">
        <v>534</v>
      </c>
      <c r="C294" s="28">
        <v>2</v>
      </c>
      <c r="D294" s="29">
        <v>14.42</v>
      </c>
      <c r="E294" s="29">
        <v>28.84</v>
      </c>
      <c r="F294" s="30">
        <v>39.5</v>
      </c>
      <c r="G294" s="29">
        <v>79</v>
      </c>
      <c r="H294" s="28" t="s">
        <v>535</v>
      </c>
      <c r="I294" s="27" t="s">
        <v>33</v>
      </c>
      <c r="J294" s="31" t="s">
        <v>40</v>
      </c>
      <c r="K294" s="27" t="s">
        <v>41</v>
      </c>
      <c r="L294" s="27" t="s">
        <v>45</v>
      </c>
      <c r="M294" s="32"/>
    </row>
    <row r="295" spans="1:13" ht="15.2" customHeight="1" x14ac:dyDescent="0.2">
      <c r="A295" s="26" t="s">
        <v>3566</v>
      </c>
      <c r="B295" s="27" t="s">
        <v>3567</v>
      </c>
      <c r="C295" s="28">
        <v>2</v>
      </c>
      <c r="D295" s="29">
        <v>14.42</v>
      </c>
      <c r="E295" s="29">
        <v>28.84</v>
      </c>
      <c r="F295" s="30">
        <v>39.5</v>
      </c>
      <c r="G295" s="29">
        <v>79</v>
      </c>
      <c r="H295" s="28" t="s">
        <v>3568</v>
      </c>
      <c r="I295" s="27" t="s">
        <v>144</v>
      </c>
      <c r="J295" s="31" t="s">
        <v>21</v>
      </c>
      <c r="K295" s="27" t="s">
        <v>41</v>
      </c>
      <c r="L295" s="27" t="s">
        <v>45</v>
      </c>
      <c r="M295" s="32"/>
    </row>
    <row r="296" spans="1:13" ht="15.2" customHeight="1" x14ac:dyDescent="0.2">
      <c r="A296" s="26" t="s">
        <v>1642</v>
      </c>
      <c r="B296" s="27" t="s">
        <v>1643</v>
      </c>
      <c r="C296" s="28">
        <v>1</v>
      </c>
      <c r="D296" s="29">
        <v>14.42</v>
      </c>
      <c r="E296" s="29">
        <v>14.42</v>
      </c>
      <c r="F296" s="30">
        <v>39.5</v>
      </c>
      <c r="G296" s="29">
        <v>39.5</v>
      </c>
      <c r="H296" s="28" t="s">
        <v>546</v>
      </c>
      <c r="I296" s="27" t="s">
        <v>26</v>
      </c>
      <c r="J296" s="31" t="s">
        <v>52</v>
      </c>
      <c r="K296" s="27" t="s">
        <v>41</v>
      </c>
      <c r="L296" s="27" t="s">
        <v>45</v>
      </c>
      <c r="M296" s="32"/>
    </row>
    <row r="297" spans="1:13" ht="15.2" customHeight="1" x14ac:dyDescent="0.2">
      <c r="A297" s="26" t="s">
        <v>3563</v>
      </c>
      <c r="B297" s="27" t="s">
        <v>534</v>
      </c>
      <c r="C297" s="28">
        <v>1</v>
      </c>
      <c r="D297" s="29">
        <v>14.42</v>
      </c>
      <c r="E297" s="29">
        <v>14.42</v>
      </c>
      <c r="F297" s="30">
        <v>39.5</v>
      </c>
      <c r="G297" s="29">
        <v>39.5</v>
      </c>
      <c r="H297" s="28" t="s">
        <v>535</v>
      </c>
      <c r="I297" s="27" t="s">
        <v>94</v>
      </c>
      <c r="J297" s="31" t="s">
        <v>40</v>
      </c>
      <c r="K297" s="27" t="s">
        <v>41</v>
      </c>
      <c r="L297" s="27" t="s">
        <v>45</v>
      </c>
      <c r="M297" s="32"/>
    </row>
    <row r="298" spans="1:13" ht="15.2" customHeight="1" x14ac:dyDescent="0.2">
      <c r="A298" s="26" t="s">
        <v>3076</v>
      </c>
      <c r="B298" s="27" t="s">
        <v>534</v>
      </c>
      <c r="C298" s="28">
        <v>3</v>
      </c>
      <c r="D298" s="29">
        <v>14.42</v>
      </c>
      <c r="E298" s="29">
        <v>43.26</v>
      </c>
      <c r="F298" s="30">
        <v>39.5</v>
      </c>
      <c r="G298" s="29">
        <v>118.5</v>
      </c>
      <c r="H298" s="28" t="s">
        <v>535</v>
      </c>
      <c r="I298" s="27" t="s">
        <v>94</v>
      </c>
      <c r="J298" s="31" t="s">
        <v>21</v>
      </c>
      <c r="K298" s="27" t="s">
        <v>41</v>
      </c>
      <c r="L298" s="27" t="s">
        <v>45</v>
      </c>
      <c r="M298" s="32"/>
    </row>
    <row r="299" spans="1:13" ht="15.2" customHeight="1" x14ac:dyDescent="0.2">
      <c r="A299" s="26" t="s">
        <v>2458</v>
      </c>
      <c r="B299" s="27" t="s">
        <v>528</v>
      </c>
      <c r="C299" s="28">
        <v>1</v>
      </c>
      <c r="D299" s="29">
        <v>14.42</v>
      </c>
      <c r="E299" s="29">
        <v>14.42</v>
      </c>
      <c r="F299" s="30">
        <v>39.5</v>
      </c>
      <c r="G299" s="29">
        <v>39.5</v>
      </c>
      <c r="H299" s="28" t="s">
        <v>529</v>
      </c>
      <c r="I299" s="27" t="s">
        <v>4</v>
      </c>
      <c r="J299" s="31" t="s">
        <v>52</v>
      </c>
      <c r="K299" s="27" t="s">
        <v>41</v>
      </c>
      <c r="L299" s="27" t="s">
        <v>45</v>
      </c>
      <c r="M299" s="32"/>
    </row>
    <row r="300" spans="1:13" ht="15.2" customHeight="1" x14ac:dyDescent="0.2">
      <c r="A300" s="26" t="s">
        <v>538</v>
      </c>
      <c r="B300" s="27" t="s">
        <v>539</v>
      </c>
      <c r="C300" s="28">
        <v>1</v>
      </c>
      <c r="D300" s="29">
        <v>14.42</v>
      </c>
      <c r="E300" s="29">
        <v>14.42</v>
      </c>
      <c r="F300" s="30">
        <v>39.5</v>
      </c>
      <c r="G300" s="29">
        <v>39.5</v>
      </c>
      <c r="H300" s="28" t="s">
        <v>540</v>
      </c>
      <c r="I300" s="27" t="s">
        <v>1</v>
      </c>
      <c r="J300" s="31" t="s">
        <v>52</v>
      </c>
      <c r="K300" s="27" t="s">
        <v>41</v>
      </c>
      <c r="L300" s="27" t="s">
        <v>80</v>
      </c>
      <c r="M300" s="32"/>
    </row>
    <row r="301" spans="1:13" ht="15.2" customHeight="1" x14ac:dyDescent="0.2">
      <c r="A301" s="26" t="s">
        <v>6319</v>
      </c>
      <c r="B301" s="27" t="s">
        <v>528</v>
      </c>
      <c r="C301" s="28">
        <v>1</v>
      </c>
      <c r="D301" s="29">
        <v>14.42</v>
      </c>
      <c r="E301" s="29">
        <v>14.42</v>
      </c>
      <c r="F301" s="30">
        <v>39.5</v>
      </c>
      <c r="G301" s="29">
        <v>39.5</v>
      </c>
      <c r="H301" s="28" t="s">
        <v>529</v>
      </c>
      <c r="I301" s="27" t="s">
        <v>4</v>
      </c>
      <c r="J301" s="31" t="s">
        <v>40</v>
      </c>
      <c r="K301" s="27" t="s">
        <v>41</v>
      </c>
      <c r="L301" s="27" t="s">
        <v>45</v>
      </c>
      <c r="M301" s="32"/>
    </row>
    <row r="302" spans="1:13" ht="15.2" customHeight="1" x14ac:dyDescent="0.2">
      <c r="A302" s="26" t="s">
        <v>4076</v>
      </c>
      <c r="B302" s="27" t="s">
        <v>528</v>
      </c>
      <c r="C302" s="28">
        <v>1</v>
      </c>
      <c r="D302" s="29">
        <v>14.42</v>
      </c>
      <c r="E302" s="29">
        <v>14.42</v>
      </c>
      <c r="F302" s="30">
        <v>39.5</v>
      </c>
      <c r="G302" s="29">
        <v>39.5</v>
      </c>
      <c r="H302" s="28" t="s">
        <v>529</v>
      </c>
      <c r="I302" s="27" t="s">
        <v>22</v>
      </c>
      <c r="J302" s="31" t="s">
        <v>71</v>
      </c>
      <c r="K302" s="27" t="s">
        <v>41</v>
      </c>
      <c r="L302" s="27" t="s">
        <v>45</v>
      </c>
      <c r="M302" s="32"/>
    </row>
    <row r="303" spans="1:13" ht="15.2" customHeight="1" x14ac:dyDescent="0.2">
      <c r="A303" s="26" t="s">
        <v>4246</v>
      </c>
      <c r="B303" s="27" t="s">
        <v>4247</v>
      </c>
      <c r="C303" s="28">
        <v>1</v>
      </c>
      <c r="D303" s="29">
        <v>14.1</v>
      </c>
      <c r="E303" s="29">
        <v>14.1</v>
      </c>
      <c r="F303" s="30">
        <v>39.5</v>
      </c>
      <c r="G303" s="29">
        <v>39.5</v>
      </c>
      <c r="H303" s="28" t="s">
        <v>1646</v>
      </c>
      <c r="I303" s="27" t="s">
        <v>82</v>
      </c>
      <c r="J303" s="31" t="s">
        <v>40</v>
      </c>
      <c r="K303" s="27" t="s">
        <v>53</v>
      </c>
      <c r="L303" s="27" t="s">
        <v>165</v>
      </c>
      <c r="M303" s="32"/>
    </row>
    <row r="304" spans="1:13" ht="15.2" customHeight="1" x14ac:dyDescent="0.2">
      <c r="A304" s="26" t="s">
        <v>6320</v>
      </c>
      <c r="B304" s="27" t="s">
        <v>3570</v>
      </c>
      <c r="C304" s="28">
        <v>1</v>
      </c>
      <c r="D304" s="29">
        <v>14.05</v>
      </c>
      <c r="E304" s="29">
        <v>14.05</v>
      </c>
      <c r="F304" s="30">
        <v>39.99</v>
      </c>
      <c r="G304" s="29">
        <v>39.99</v>
      </c>
      <c r="H304" s="28" t="s">
        <v>3571</v>
      </c>
      <c r="I304" s="27" t="s">
        <v>4</v>
      </c>
      <c r="J304" s="31" t="s">
        <v>71</v>
      </c>
      <c r="K304" s="27" t="s">
        <v>41</v>
      </c>
      <c r="L304" s="27" t="s">
        <v>80</v>
      </c>
      <c r="M304" s="32"/>
    </row>
    <row r="305" spans="1:13" ht="15.2" customHeight="1" x14ac:dyDescent="0.2">
      <c r="A305" s="26" t="s">
        <v>6321</v>
      </c>
      <c r="B305" s="27" t="s">
        <v>6322</v>
      </c>
      <c r="C305" s="28">
        <v>1</v>
      </c>
      <c r="D305" s="29">
        <v>13.25</v>
      </c>
      <c r="E305" s="29">
        <v>13.25</v>
      </c>
      <c r="F305" s="30">
        <v>29.99</v>
      </c>
      <c r="G305" s="29">
        <v>29.99</v>
      </c>
      <c r="H305" s="28" t="s">
        <v>4676</v>
      </c>
      <c r="I305" s="27" t="s">
        <v>4</v>
      </c>
      <c r="J305" s="31" t="s">
        <v>214</v>
      </c>
      <c r="K305" s="27" t="s">
        <v>200</v>
      </c>
      <c r="L305" s="27" t="s">
        <v>1196</v>
      </c>
      <c r="M305" s="32"/>
    </row>
    <row r="306" spans="1:13" ht="15.2" customHeight="1" x14ac:dyDescent="0.2">
      <c r="A306" s="26" t="s">
        <v>6323</v>
      </c>
      <c r="B306" s="27" t="s">
        <v>6324</v>
      </c>
      <c r="C306" s="28">
        <v>1</v>
      </c>
      <c r="D306" s="29">
        <v>13.25</v>
      </c>
      <c r="E306" s="29">
        <v>13.25</v>
      </c>
      <c r="F306" s="30">
        <v>29.99</v>
      </c>
      <c r="G306" s="29">
        <v>29.99</v>
      </c>
      <c r="H306" s="28" t="s">
        <v>6325</v>
      </c>
      <c r="I306" s="27" t="s">
        <v>59</v>
      </c>
      <c r="J306" s="31" t="s">
        <v>69</v>
      </c>
      <c r="K306" s="27" t="s">
        <v>200</v>
      </c>
      <c r="L306" s="27" t="s">
        <v>1196</v>
      </c>
      <c r="M306" s="32"/>
    </row>
    <row r="307" spans="1:13" ht="15.2" customHeight="1" x14ac:dyDescent="0.2">
      <c r="A307" s="26" t="s">
        <v>4677</v>
      </c>
      <c r="B307" s="27" t="s">
        <v>4678</v>
      </c>
      <c r="C307" s="28">
        <v>1</v>
      </c>
      <c r="D307" s="29">
        <v>13.05</v>
      </c>
      <c r="E307" s="29">
        <v>13.05</v>
      </c>
      <c r="F307" s="30">
        <v>34.99</v>
      </c>
      <c r="G307" s="29">
        <v>34.99</v>
      </c>
      <c r="H307" s="28" t="s">
        <v>4522</v>
      </c>
      <c r="I307" s="27" t="s">
        <v>59</v>
      </c>
      <c r="J307" s="31" t="s">
        <v>69</v>
      </c>
      <c r="K307" s="27" t="s">
        <v>200</v>
      </c>
      <c r="L307" s="27" t="s">
        <v>287</v>
      </c>
      <c r="M307" s="32"/>
    </row>
    <row r="308" spans="1:13" ht="15.2" customHeight="1" x14ac:dyDescent="0.2">
      <c r="A308" s="26" t="s">
        <v>6326</v>
      </c>
      <c r="B308" s="27" t="s">
        <v>6327</v>
      </c>
      <c r="C308" s="28">
        <v>1</v>
      </c>
      <c r="D308" s="29">
        <v>13</v>
      </c>
      <c r="E308" s="29">
        <v>13</v>
      </c>
      <c r="F308" s="30">
        <v>29.99</v>
      </c>
      <c r="G308" s="29">
        <v>29.99</v>
      </c>
      <c r="H308" s="28" t="s">
        <v>6328</v>
      </c>
      <c r="I308" s="27" t="s">
        <v>248</v>
      </c>
      <c r="J308" s="31" t="s">
        <v>234</v>
      </c>
      <c r="K308" s="27" t="s">
        <v>200</v>
      </c>
      <c r="L308" s="27" t="s">
        <v>287</v>
      </c>
      <c r="M308" s="32"/>
    </row>
    <row r="309" spans="1:13" ht="15.2" customHeight="1" x14ac:dyDescent="0.2">
      <c r="A309" s="26" t="s">
        <v>6329</v>
      </c>
      <c r="B309" s="27" t="s">
        <v>6330</v>
      </c>
      <c r="C309" s="28">
        <v>1</v>
      </c>
      <c r="D309" s="29">
        <v>13</v>
      </c>
      <c r="E309" s="29">
        <v>13</v>
      </c>
      <c r="F309" s="30">
        <v>39</v>
      </c>
      <c r="G309" s="29">
        <v>39</v>
      </c>
      <c r="H309" s="28" t="s">
        <v>4391</v>
      </c>
      <c r="I309" s="27"/>
      <c r="J309" s="31" t="s">
        <v>65</v>
      </c>
      <c r="K309" s="27" t="s">
        <v>154</v>
      </c>
      <c r="L309" s="27" t="s">
        <v>155</v>
      </c>
      <c r="M309" s="32"/>
    </row>
    <row r="310" spans="1:13" ht="15.2" customHeight="1" x14ac:dyDescent="0.2">
      <c r="A310" s="26" t="s">
        <v>4523</v>
      </c>
      <c r="B310" s="27" t="s">
        <v>4524</v>
      </c>
      <c r="C310" s="28">
        <v>1</v>
      </c>
      <c r="D310" s="29">
        <v>12.65</v>
      </c>
      <c r="E310" s="29">
        <v>12.65</v>
      </c>
      <c r="F310" s="30">
        <v>29</v>
      </c>
      <c r="G310" s="29">
        <v>29</v>
      </c>
      <c r="H310" s="28" t="s">
        <v>4525</v>
      </c>
      <c r="I310" s="27" t="s">
        <v>1</v>
      </c>
      <c r="J310" s="31" t="s">
        <v>205</v>
      </c>
      <c r="K310" s="27" t="s">
        <v>200</v>
      </c>
      <c r="L310" s="27" t="s">
        <v>765</v>
      </c>
      <c r="M310" s="32"/>
    </row>
    <row r="311" spans="1:13" ht="15.2" customHeight="1" x14ac:dyDescent="0.2">
      <c r="A311" s="26" t="s">
        <v>6331</v>
      </c>
      <c r="B311" s="27" t="s">
        <v>6332</v>
      </c>
      <c r="C311" s="28">
        <v>1</v>
      </c>
      <c r="D311" s="29">
        <v>12.5</v>
      </c>
      <c r="E311" s="29">
        <v>12.5</v>
      </c>
      <c r="F311" s="30">
        <v>39</v>
      </c>
      <c r="G311" s="29">
        <v>39</v>
      </c>
      <c r="H311" s="28">
        <v>1047277</v>
      </c>
      <c r="I311" s="27" t="s">
        <v>4</v>
      </c>
      <c r="J311" s="31" t="s">
        <v>5</v>
      </c>
      <c r="K311" s="27" t="s">
        <v>154</v>
      </c>
      <c r="L311" s="27" t="s">
        <v>155</v>
      </c>
      <c r="M311" s="32"/>
    </row>
    <row r="312" spans="1:13" ht="15.2" customHeight="1" x14ac:dyDescent="0.2">
      <c r="A312" s="26" t="s">
        <v>6333</v>
      </c>
      <c r="B312" s="27" t="s">
        <v>6334</v>
      </c>
      <c r="C312" s="28">
        <v>1</v>
      </c>
      <c r="D312" s="29">
        <v>12.5</v>
      </c>
      <c r="E312" s="29">
        <v>12.5</v>
      </c>
      <c r="F312" s="30">
        <v>39</v>
      </c>
      <c r="G312" s="29">
        <v>39</v>
      </c>
      <c r="H312" s="28">
        <v>78353</v>
      </c>
      <c r="I312" s="27" t="s">
        <v>64</v>
      </c>
      <c r="J312" s="31" t="s">
        <v>113</v>
      </c>
      <c r="K312" s="27" t="s">
        <v>154</v>
      </c>
      <c r="L312" s="27" t="s">
        <v>155</v>
      </c>
      <c r="M312" s="32"/>
    </row>
    <row r="313" spans="1:13" ht="15.2" customHeight="1" x14ac:dyDescent="0.2">
      <c r="A313" s="26" t="s">
        <v>6335</v>
      </c>
      <c r="B313" s="27" t="s">
        <v>1027</v>
      </c>
      <c r="C313" s="28">
        <v>1</v>
      </c>
      <c r="D313" s="29">
        <v>12</v>
      </c>
      <c r="E313" s="29">
        <v>12</v>
      </c>
      <c r="F313" s="30">
        <v>39</v>
      </c>
      <c r="G313" s="29">
        <v>39</v>
      </c>
      <c r="H313" s="28" t="s">
        <v>1028</v>
      </c>
      <c r="I313" s="27" t="s">
        <v>4</v>
      </c>
      <c r="J313" s="31" t="s">
        <v>52</v>
      </c>
      <c r="K313" s="27" t="s">
        <v>154</v>
      </c>
      <c r="L313" s="27" t="s">
        <v>155</v>
      </c>
      <c r="M313" s="32"/>
    </row>
    <row r="314" spans="1:13" ht="15.2" customHeight="1" x14ac:dyDescent="0.2">
      <c r="A314" s="26" t="s">
        <v>6336</v>
      </c>
      <c r="B314" s="27" t="s">
        <v>6337</v>
      </c>
      <c r="C314" s="28">
        <v>1</v>
      </c>
      <c r="D314" s="29">
        <v>11.5</v>
      </c>
      <c r="E314" s="29">
        <v>11.5</v>
      </c>
      <c r="F314" s="30">
        <v>39</v>
      </c>
      <c r="G314" s="29">
        <v>39</v>
      </c>
      <c r="H314" s="28" t="s">
        <v>4099</v>
      </c>
      <c r="I314" s="27"/>
      <c r="J314" s="31" t="s">
        <v>40</v>
      </c>
      <c r="K314" s="27" t="s">
        <v>154</v>
      </c>
      <c r="L314" s="27" t="s">
        <v>155</v>
      </c>
      <c r="M314" s="32"/>
    </row>
    <row r="315" spans="1:13" ht="15.2" customHeight="1" x14ac:dyDescent="0.2">
      <c r="A315" s="26" t="s">
        <v>4689</v>
      </c>
      <c r="B315" s="27" t="s">
        <v>4690</v>
      </c>
      <c r="C315" s="28">
        <v>2</v>
      </c>
      <c r="D315" s="29">
        <v>11</v>
      </c>
      <c r="E315" s="29">
        <v>22</v>
      </c>
      <c r="F315" s="30">
        <v>27.99</v>
      </c>
      <c r="G315" s="29">
        <v>55.98</v>
      </c>
      <c r="H315" s="28" t="s">
        <v>562</v>
      </c>
      <c r="I315" s="27" t="s">
        <v>285</v>
      </c>
      <c r="J315" s="31" t="s">
        <v>21</v>
      </c>
      <c r="K315" s="27" t="s">
        <v>224</v>
      </c>
      <c r="L315" s="27" t="s">
        <v>563</v>
      </c>
      <c r="M315" s="32"/>
    </row>
    <row r="316" spans="1:13" ht="15.2" customHeight="1" x14ac:dyDescent="0.2">
      <c r="A316" s="26" t="s">
        <v>560</v>
      </c>
      <c r="B316" s="27" t="s">
        <v>561</v>
      </c>
      <c r="C316" s="28">
        <v>1</v>
      </c>
      <c r="D316" s="29">
        <v>11</v>
      </c>
      <c r="E316" s="29">
        <v>11</v>
      </c>
      <c r="F316" s="30">
        <v>27.99</v>
      </c>
      <c r="G316" s="29">
        <v>27.99</v>
      </c>
      <c r="H316" s="28" t="s">
        <v>562</v>
      </c>
      <c r="I316" s="27" t="s">
        <v>189</v>
      </c>
      <c r="J316" s="31" t="s">
        <v>52</v>
      </c>
      <c r="K316" s="27" t="s">
        <v>224</v>
      </c>
      <c r="L316" s="27" t="s">
        <v>563</v>
      </c>
      <c r="M316" s="32"/>
    </row>
    <row r="317" spans="1:13" ht="15.2" customHeight="1" x14ac:dyDescent="0.2">
      <c r="A317" s="26" t="s">
        <v>6338</v>
      </c>
      <c r="B317" s="27" t="s">
        <v>5302</v>
      </c>
      <c r="C317" s="28">
        <v>1</v>
      </c>
      <c r="D317" s="29">
        <v>11</v>
      </c>
      <c r="E317" s="29">
        <v>11</v>
      </c>
      <c r="F317" s="30">
        <v>39</v>
      </c>
      <c r="G317" s="29">
        <v>39</v>
      </c>
      <c r="H317" s="28" t="s">
        <v>5303</v>
      </c>
      <c r="I317" s="27" t="s">
        <v>82</v>
      </c>
      <c r="J317" s="31" t="s">
        <v>40</v>
      </c>
      <c r="K317" s="27" t="s">
        <v>154</v>
      </c>
      <c r="L317" s="27" t="s">
        <v>155</v>
      </c>
      <c r="M317" s="32"/>
    </row>
    <row r="318" spans="1:13" ht="15.2" customHeight="1" x14ac:dyDescent="0.2">
      <c r="A318" s="26" t="s">
        <v>4394</v>
      </c>
      <c r="B318" s="27" t="s">
        <v>4395</v>
      </c>
      <c r="C318" s="28">
        <v>2</v>
      </c>
      <c r="D318" s="29">
        <v>11</v>
      </c>
      <c r="E318" s="29">
        <v>22</v>
      </c>
      <c r="F318" s="30">
        <v>27.99</v>
      </c>
      <c r="G318" s="29">
        <v>55.98</v>
      </c>
      <c r="H318" s="28" t="s">
        <v>562</v>
      </c>
      <c r="I318" s="27" t="s">
        <v>468</v>
      </c>
      <c r="J318" s="31" t="s">
        <v>52</v>
      </c>
      <c r="K318" s="27" t="s">
        <v>224</v>
      </c>
      <c r="L318" s="27" t="s">
        <v>563</v>
      </c>
      <c r="M318" s="32"/>
    </row>
    <row r="319" spans="1:13" ht="15.2" customHeight="1" x14ac:dyDescent="0.2">
      <c r="A319" s="26" t="s">
        <v>1031</v>
      </c>
      <c r="B319" s="27" t="s">
        <v>1032</v>
      </c>
      <c r="C319" s="28">
        <v>2</v>
      </c>
      <c r="D319" s="29">
        <v>11</v>
      </c>
      <c r="E319" s="29">
        <v>22</v>
      </c>
      <c r="F319" s="30">
        <v>27.99</v>
      </c>
      <c r="G319" s="29">
        <v>55.98</v>
      </c>
      <c r="H319" s="28" t="s">
        <v>562</v>
      </c>
      <c r="I319" s="27" t="s">
        <v>468</v>
      </c>
      <c r="J319" s="31" t="s">
        <v>5</v>
      </c>
      <c r="K319" s="27" t="s">
        <v>224</v>
      </c>
      <c r="L319" s="27" t="s">
        <v>563</v>
      </c>
      <c r="M319" s="32"/>
    </row>
    <row r="320" spans="1:13" ht="15.2" customHeight="1" x14ac:dyDescent="0.2">
      <c r="A320" s="26" t="s">
        <v>6339</v>
      </c>
      <c r="B320" s="27" t="s">
        <v>6340</v>
      </c>
      <c r="C320" s="28">
        <v>2</v>
      </c>
      <c r="D320" s="29">
        <v>10.9</v>
      </c>
      <c r="E320" s="29">
        <v>21.8</v>
      </c>
      <c r="F320" s="30">
        <v>22.99</v>
      </c>
      <c r="G320" s="29">
        <v>45.98</v>
      </c>
      <c r="H320" s="28" t="s">
        <v>4113</v>
      </c>
      <c r="I320" s="27" t="s">
        <v>144</v>
      </c>
      <c r="J320" s="31" t="s">
        <v>52</v>
      </c>
      <c r="K320" s="27" t="s">
        <v>200</v>
      </c>
      <c r="L320" s="27" t="s">
        <v>552</v>
      </c>
      <c r="M320" s="32"/>
    </row>
    <row r="321" spans="1:13" ht="15.2" customHeight="1" x14ac:dyDescent="0.2">
      <c r="A321" s="26" t="s">
        <v>6341</v>
      </c>
      <c r="B321" s="27" t="s">
        <v>1652</v>
      </c>
      <c r="C321" s="28">
        <v>1</v>
      </c>
      <c r="D321" s="29">
        <v>10.77</v>
      </c>
      <c r="E321" s="29">
        <v>10.77</v>
      </c>
      <c r="F321" s="30">
        <v>29.5</v>
      </c>
      <c r="G321" s="29">
        <v>29.5</v>
      </c>
      <c r="H321" s="28" t="s">
        <v>1653</v>
      </c>
      <c r="I321" s="27" t="s">
        <v>10</v>
      </c>
      <c r="J321" s="31" t="s">
        <v>21</v>
      </c>
      <c r="K321" s="27" t="s">
        <v>41</v>
      </c>
      <c r="L321" s="27" t="s">
        <v>45</v>
      </c>
      <c r="M321" s="32"/>
    </row>
    <row r="322" spans="1:13" ht="15.2" customHeight="1" x14ac:dyDescent="0.2">
      <c r="A322" s="26" t="s">
        <v>3611</v>
      </c>
      <c r="B322" s="27" t="s">
        <v>3608</v>
      </c>
      <c r="C322" s="28">
        <v>1</v>
      </c>
      <c r="D322" s="29">
        <v>10.77</v>
      </c>
      <c r="E322" s="29">
        <v>10.77</v>
      </c>
      <c r="F322" s="30">
        <v>29.5</v>
      </c>
      <c r="G322" s="29">
        <v>29.5</v>
      </c>
      <c r="H322" s="28" t="s">
        <v>3609</v>
      </c>
      <c r="I322" s="27" t="s">
        <v>4</v>
      </c>
      <c r="J322" s="31" t="s">
        <v>71</v>
      </c>
      <c r="K322" s="27" t="s">
        <v>41</v>
      </c>
      <c r="L322" s="27" t="s">
        <v>80</v>
      </c>
      <c r="M322" s="32"/>
    </row>
    <row r="323" spans="1:13" ht="15.2" customHeight="1" x14ac:dyDescent="0.2">
      <c r="A323" s="26" t="s">
        <v>1651</v>
      </c>
      <c r="B323" s="27" t="s">
        <v>1652</v>
      </c>
      <c r="C323" s="28">
        <v>1</v>
      </c>
      <c r="D323" s="29">
        <v>10.77</v>
      </c>
      <c r="E323" s="29">
        <v>10.77</v>
      </c>
      <c r="F323" s="30">
        <v>29.5</v>
      </c>
      <c r="G323" s="29">
        <v>29.5</v>
      </c>
      <c r="H323" s="28" t="s">
        <v>1653</v>
      </c>
      <c r="I323" s="27" t="s">
        <v>10</v>
      </c>
      <c r="J323" s="31" t="s">
        <v>52</v>
      </c>
      <c r="K323" s="27" t="s">
        <v>41</v>
      </c>
      <c r="L323" s="27" t="s">
        <v>45</v>
      </c>
      <c r="M323" s="32"/>
    </row>
    <row r="324" spans="1:13" ht="15.2" customHeight="1" x14ac:dyDescent="0.2">
      <c r="A324" s="26" t="s">
        <v>6342</v>
      </c>
      <c r="B324" s="27" t="s">
        <v>6343</v>
      </c>
      <c r="C324" s="28">
        <v>1</v>
      </c>
      <c r="D324" s="29">
        <v>10.7</v>
      </c>
      <c r="E324" s="29">
        <v>10.7</v>
      </c>
      <c r="F324" s="30">
        <v>22.99</v>
      </c>
      <c r="G324" s="29">
        <v>22.99</v>
      </c>
      <c r="H324" s="28" t="s">
        <v>6344</v>
      </c>
      <c r="I324" s="27" t="s">
        <v>29</v>
      </c>
      <c r="J324" s="31" t="s">
        <v>230</v>
      </c>
      <c r="K324" s="27" t="s">
        <v>200</v>
      </c>
      <c r="L324" s="27" t="s">
        <v>552</v>
      </c>
      <c r="M324" s="32"/>
    </row>
    <row r="325" spans="1:13" ht="15.2" customHeight="1" x14ac:dyDescent="0.2">
      <c r="A325" s="26" t="s">
        <v>6345</v>
      </c>
      <c r="B325" s="27" t="s">
        <v>6346</v>
      </c>
      <c r="C325" s="28">
        <v>1</v>
      </c>
      <c r="D325" s="29">
        <v>10.5</v>
      </c>
      <c r="E325" s="29">
        <v>10.5</v>
      </c>
      <c r="F325" s="30">
        <v>39</v>
      </c>
      <c r="G325" s="29">
        <v>39</v>
      </c>
      <c r="H325" s="28">
        <v>1050436</v>
      </c>
      <c r="I325" s="27" t="s">
        <v>82</v>
      </c>
      <c r="J325" s="31" t="s">
        <v>40</v>
      </c>
      <c r="K325" s="27" t="s">
        <v>154</v>
      </c>
      <c r="L325" s="27" t="s">
        <v>155</v>
      </c>
      <c r="M325" s="32"/>
    </row>
    <row r="326" spans="1:13" ht="15.2" customHeight="1" x14ac:dyDescent="0.2">
      <c r="A326" s="26" t="s">
        <v>4258</v>
      </c>
      <c r="B326" s="27" t="s">
        <v>4259</v>
      </c>
      <c r="C326" s="28">
        <v>1</v>
      </c>
      <c r="D326" s="29">
        <v>10</v>
      </c>
      <c r="E326" s="29">
        <v>10</v>
      </c>
      <c r="F326" s="30">
        <v>24.99</v>
      </c>
      <c r="G326" s="29">
        <v>24.99</v>
      </c>
      <c r="H326" s="28" t="s">
        <v>2499</v>
      </c>
      <c r="I326" s="27" t="s">
        <v>146</v>
      </c>
      <c r="J326" s="31" t="s">
        <v>21</v>
      </c>
      <c r="K326" s="27" t="s">
        <v>224</v>
      </c>
      <c r="L326" s="27" t="s">
        <v>197</v>
      </c>
      <c r="M326" s="32"/>
    </row>
    <row r="327" spans="1:13" ht="15.2" customHeight="1" x14ac:dyDescent="0.2">
      <c r="A327" s="26" t="s">
        <v>5568</v>
      </c>
      <c r="B327" s="27" t="s">
        <v>5569</v>
      </c>
      <c r="C327" s="28">
        <v>1</v>
      </c>
      <c r="D327" s="29">
        <v>10</v>
      </c>
      <c r="E327" s="29">
        <v>10</v>
      </c>
      <c r="F327" s="30">
        <v>24.99</v>
      </c>
      <c r="G327" s="29">
        <v>24.99</v>
      </c>
      <c r="H327" s="28" t="s">
        <v>2499</v>
      </c>
      <c r="I327" s="27" t="s">
        <v>82</v>
      </c>
      <c r="J327" s="31" t="s">
        <v>40</v>
      </c>
      <c r="K327" s="27" t="s">
        <v>224</v>
      </c>
      <c r="L327" s="27" t="s">
        <v>197</v>
      </c>
      <c r="M327" s="32"/>
    </row>
    <row r="328" spans="1:13" ht="15.2" customHeight="1" x14ac:dyDescent="0.2">
      <c r="A328" s="26" t="s">
        <v>6347</v>
      </c>
      <c r="B328" s="27" t="s">
        <v>6348</v>
      </c>
      <c r="C328" s="28">
        <v>1</v>
      </c>
      <c r="D328" s="29">
        <v>10</v>
      </c>
      <c r="E328" s="29">
        <v>10</v>
      </c>
      <c r="F328" s="30">
        <v>24.99</v>
      </c>
      <c r="G328" s="29">
        <v>24.99</v>
      </c>
      <c r="H328" s="28" t="s">
        <v>2499</v>
      </c>
      <c r="I328" s="27" t="s">
        <v>82</v>
      </c>
      <c r="J328" s="31" t="s">
        <v>71</v>
      </c>
      <c r="K328" s="27" t="s">
        <v>224</v>
      </c>
      <c r="L328" s="27" t="s">
        <v>197</v>
      </c>
      <c r="M328" s="32"/>
    </row>
    <row r="329" spans="1:13" ht="15.2" customHeight="1" x14ac:dyDescent="0.2">
      <c r="A329" s="26" t="s">
        <v>2771</v>
      </c>
      <c r="B329" s="27" t="s">
        <v>2772</v>
      </c>
      <c r="C329" s="28">
        <v>1</v>
      </c>
      <c r="D329" s="29">
        <v>10</v>
      </c>
      <c r="E329" s="29">
        <v>10</v>
      </c>
      <c r="F329" s="30">
        <v>24.99</v>
      </c>
      <c r="G329" s="29">
        <v>24.99</v>
      </c>
      <c r="H329" s="28" t="s">
        <v>2499</v>
      </c>
      <c r="I329" s="27" t="s">
        <v>271</v>
      </c>
      <c r="J329" s="31" t="s">
        <v>21</v>
      </c>
      <c r="K329" s="27" t="s">
        <v>224</v>
      </c>
      <c r="L329" s="27" t="s">
        <v>197</v>
      </c>
      <c r="M329" s="32"/>
    </row>
    <row r="330" spans="1:13" ht="15.2" customHeight="1" x14ac:dyDescent="0.2">
      <c r="A330" s="26" t="s">
        <v>2773</v>
      </c>
      <c r="B330" s="27" t="s">
        <v>2774</v>
      </c>
      <c r="C330" s="28">
        <v>1</v>
      </c>
      <c r="D330" s="29">
        <v>10</v>
      </c>
      <c r="E330" s="29">
        <v>10</v>
      </c>
      <c r="F330" s="30">
        <v>24.99</v>
      </c>
      <c r="G330" s="29">
        <v>24.99</v>
      </c>
      <c r="H330" s="28" t="s">
        <v>2499</v>
      </c>
      <c r="I330" s="27" t="s">
        <v>271</v>
      </c>
      <c r="J330" s="31" t="s">
        <v>40</v>
      </c>
      <c r="K330" s="27" t="s">
        <v>224</v>
      </c>
      <c r="L330" s="27" t="s">
        <v>197</v>
      </c>
      <c r="M330" s="32"/>
    </row>
    <row r="331" spans="1:13" ht="15.2" customHeight="1" x14ac:dyDescent="0.2">
      <c r="A331" s="26" t="s">
        <v>3081</v>
      </c>
      <c r="B331" s="27" t="s">
        <v>3082</v>
      </c>
      <c r="C331" s="28">
        <v>2</v>
      </c>
      <c r="D331" s="29">
        <v>10</v>
      </c>
      <c r="E331" s="29">
        <v>20</v>
      </c>
      <c r="F331" s="30">
        <v>24.99</v>
      </c>
      <c r="G331" s="29">
        <v>49.98</v>
      </c>
      <c r="H331" s="28" t="s">
        <v>2499</v>
      </c>
      <c r="I331" s="27" t="s">
        <v>146</v>
      </c>
      <c r="J331" s="31" t="s">
        <v>40</v>
      </c>
      <c r="K331" s="27" t="s">
        <v>224</v>
      </c>
      <c r="L331" s="27" t="s">
        <v>197</v>
      </c>
      <c r="M331" s="32"/>
    </row>
    <row r="332" spans="1:13" ht="15.2" customHeight="1" x14ac:dyDescent="0.2">
      <c r="A332" s="26" t="s">
        <v>2497</v>
      </c>
      <c r="B332" s="27" t="s">
        <v>2498</v>
      </c>
      <c r="C332" s="28">
        <v>1</v>
      </c>
      <c r="D332" s="29">
        <v>10</v>
      </c>
      <c r="E332" s="29">
        <v>10</v>
      </c>
      <c r="F332" s="30">
        <v>24.99</v>
      </c>
      <c r="G332" s="29">
        <v>24.99</v>
      </c>
      <c r="H332" s="28" t="s">
        <v>2499</v>
      </c>
      <c r="I332" s="27" t="s">
        <v>280</v>
      </c>
      <c r="J332" s="31" t="s">
        <v>40</v>
      </c>
      <c r="K332" s="27" t="s">
        <v>224</v>
      </c>
      <c r="L332" s="27" t="s">
        <v>197</v>
      </c>
      <c r="M332" s="32"/>
    </row>
    <row r="333" spans="1:13" ht="15.2" customHeight="1" x14ac:dyDescent="0.2">
      <c r="A333" s="26" t="s">
        <v>4263</v>
      </c>
      <c r="B333" s="27" t="s">
        <v>4264</v>
      </c>
      <c r="C333" s="28">
        <v>2</v>
      </c>
      <c r="D333" s="29">
        <v>10</v>
      </c>
      <c r="E333" s="29">
        <v>20</v>
      </c>
      <c r="F333" s="30">
        <v>24.99</v>
      </c>
      <c r="G333" s="29">
        <v>49.98</v>
      </c>
      <c r="H333" s="28" t="s">
        <v>2499</v>
      </c>
      <c r="I333" s="27" t="s">
        <v>271</v>
      </c>
      <c r="J333" s="31" t="s">
        <v>5</v>
      </c>
      <c r="K333" s="27" t="s">
        <v>224</v>
      </c>
      <c r="L333" s="27" t="s">
        <v>197</v>
      </c>
      <c r="M333" s="32"/>
    </row>
    <row r="334" spans="1:13" ht="15.2" customHeight="1" x14ac:dyDescent="0.2">
      <c r="A334" s="26" t="s">
        <v>6349</v>
      </c>
      <c r="B334" s="27" t="s">
        <v>6350</v>
      </c>
      <c r="C334" s="28">
        <v>1</v>
      </c>
      <c r="D334" s="29">
        <v>10</v>
      </c>
      <c r="E334" s="29">
        <v>10</v>
      </c>
      <c r="F334" s="30">
        <v>24.99</v>
      </c>
      <c r="G334" s="29">
        <v>24.99</v>
      </c>
      <c r="H334" s="28" t="s">
        <v>2499</v>
      </c>
      <c r="I334" s="27" t="s">
        <v>146</v>
      </c>
      <c r="J334" s="31" t="s">
        <v>71</v>
      </c>
      <c r="K334" s="27" t="s">
        <v>224</v>
      </c>
      <c r="L334" s="27" t="s">
        <v>197</v>
      </c>
      <c r="M334" s="32"/>
    </row>
    <row r="335" spans="1:13" ht="15.2" customHeight="1" x14ac:dyDescent="0.2">
      <c r="A335" s="26" t="s">
        <v>6351</v>
      </c>
      <c r="B335" s="27" t="s">
        <v>6352</v>
      </c>
      <c r="C335" s="28">
        <v>1</v>
      </c>
      <c r="D335" s="29">
        <v>10</v>
      </c>
      <c r="E335" s="29">
        <v>10</v>
      </c>
      <c r="F335" s="30">
        <v>24.99</v>
      </c>
      <c r="G335" s="29">
        <v>24.99</v>
      </c>
      <c r="H335" s="28" t="s">
        <v>2499</v>
      </c>
      <c r="I335" s="27" t="s">
        <v>146</v>
      </c>
      <c r="J335" s="31" t="s">
        <v>52</v>
      </c>
      <c r="K335" s="27" t="s">
        <v>224</v>
      </c>
      <c r="L335" s="27" t="s">
        <v>197</v>
      </c>
      <c r="M335" s="32"/>
    </row>
    <row r="336" spans="1:13" ht="15.2" customHeight="1" x14ac:dyDescent="0.2">
      <c r="A336" s="26" t="s">
        <v>4119</v>
      </c>
      <c r="B336" s="27" t="s">
        <v>4120</v>
      </c>
      <c r="C336" s="28">
        <v>1</v>
      </c>
      <c r="D336" s="29">
        <v>10</v>
      </c>
      <c r="E336" s="29">
        <v>10</v>
      </c>
      <c r="F336" s="30">
        <v>24.99</v>
      </c>
      <c r="G336" s="29">
        <v>24.99</v>
      </c>
      <c r="H336" s="28" t="s">
        <v>2499</v>
      </c>
      <c r="I336" s="27" t="s">
        <v>146</v>
      </c>
      <c r="J336" s="31" t="s">
        <v>5</v>
      </c>
      <c r="K336" s="27" t="s">
        <v>224</v>
      </c>
      <c r="L336" s="27" t="s">
        <v>197</v>
      </c>
      <c r="M336" s="32"/>
    </row>
    <row r="337" spans="1:13" ht="15.2" customHeight="1" x14ac:dyDescent="0.2">
      <c r="A337" s="26" t="s">
        <v>5971</v>
      </c>
      <c r="B337" s="27" t="s">
        <v>5972</v>
      </c>
      <c r="C337" s="28">
        <v>1</v>
      </c>
      <c r="D337" s="29">
        <v>9.8000000000000007</v>
      </c>
      <c r="E337" s="29">
        <v>9.8000000000000007</v>
      </c>
      <c r="F337" s="30">
        <v>19.989999999999998</v>
      </c>
      <c r="G337" s="29">
        <v>19.989999999999998</v>
      </c>
      <c r="H337" s="28" t="s">
        <v>5895</v>
      </c>
      <c r="I337" s="27" t="s">
        <v>248</v>
      </c>
      <c r="J337" s="31" t="s">
        <v>40</v>
      </c>
      <c r="K337" s="27" t="s">
        <v>196</v>
      </c>
      <c r="L337" s="27" t="s">
        <v>225</v>
      </c>
      <c r="M337" s="32"/>
    </row>
    <row r="338" spans="1:13" ht="15.2" customHeight="1" x14ac:dyDescent="0.2">
      <c r="A338" s="26" t="s">
        <v>6353</v>
      </c>
      <c r="B338" s="27" t="s">
        <v>6354</v>
      </c>
      <c r="C338" s="28">
        <v>1</v>
      </c>
      <c r="D338" s="29">
        <v>9.75</v>
      </c>
      <c r="E338" s="29">
        <v>9.75</v>
      </c>
      <c r="F338" s="30">
        <v>22.99</v>
      </c>
      <c r="G338" s="29">
        <v>22.99</v>
      </c>
      <c r="H338" s="28" t="s">
        <v>4883</v>
      </c>
      <c r="I338" s="27" t="s">
        <v>94</v>
      </c>
      <c r="J338" s="31" t="s">
        <v>5</v>
      </c>
      <c r="K338" s="27" t="s">
        <v>200</v>
      </c>
      <c r="L338" s="27" t="s">
        <v>239</v>
      </c>
      <c r="M338" s="32"/>
    </row>
    <row r="339" spans="1:13" ht="15.2" customHeight="1" x14ac:dyDescent="0.2">
      <c r="A339" s="26" t="s">
        <v>4267</v>
      </c>
      <c r="B339" s="27" t="s">
        <v>4268</v>
      </c>
      <c r="C339" s="28">
        <v>1</v>
      </c>
      <c r="D339" s="29">
        <v>9.25</v>
      </c>
      <c r="E339" s="29">
        <v>9.25</v>
      </c>
      <c r="F339" s="30">
        <v>22.99</v>
      </c>
      <c r="G339" s="29">
        <v>22.99</v>
      </c>
      <c r="H339" s="28" t="s">
        <v>580</v>
      </c>
      <c r="I339" s="27" t="s">
        <v>189</v>
      </c>
      <c r="J339" s="31" t="s">
        <v>52</v>
      </c>
      <c r="K339" s="27" t="s">
        <v>196</v>
      </c>
      <c r="L339" s="27" t="s">
        <v>239</v>
      </c>
      <c r="M339" s="32"/>
    </row>
    <row r="340" spans="1:13" ht="15.2" customHeight="1" x14ac:dyDescent="0.2">
      <c r="A340" s="26" t="s">
        <v>6355</v>
      </c>
      <c r="B340" s="27" t="s">
        <v>6356</v>
      </c>
      <c r="C340" s="28">
        <v>2</v>
      </c>
      <c r="D340" s="29">
        <v>9.25</v>
      </c>
      <c r="E340" s="29">
        <v>18.5</v>
      </c>
      <c r="F340" s="30">
        <v>22.99</v>
      </c>
      <c r="G340" s="29">
        <v>45.98</v>
      </c>
      <c r="H340" s="28" t="s">
        <v>2502</v>
      </c>
      <c r="I340" s="27" t="s">
        <v>10</v>
      </c>
      <c r="J340" s="31" t="s">
        <v>40</v>
      </c>
      <c r="K340" s="27" t="s">
        <v>196</v>
      </c>
      <c r="L340" s="27" t="s">
        <v>239</v>
      </c>
      <c r="M340" s="32"/>
    </row>
    <row r="341" spans="1:13" ht="15.2" customHeight="1" x14ac:dyDescent="0.2">
      <c r="A341" s="26" t="s">
        <v>6357</v>
      </c>
      <c r="B341" s="27" t="s">
        <v>6358</v>
      </c>
      <c r="C341" s="28">
        <v>1</v>
      </c>
      <c r="D341" s="29">
        <v>9.25</v>
      </c>
      <c r="E341" s="29">
        <v>9.25</v>
      </c>
      <c r="F341" s="30">
        <v>22.99</v>
      </c>
      <c r="G341" s="29">
        <v>22.99</v>
      </c>
      <c r="H341" s="28" t="s">
        <v>580</v>
      </c>
      <c r="I341" s="27" t="s">
        <v>189</v>
      </c>
      <c r="J341" s="31" t="s">
        <v>5</v>
      </c>
      <c r="K341" s="27" t="s">
        <v>196</v>
      </c>
      <c r="L341" s="27" t="s">
        <v>239</v>
      </c>
      <c r="M341" s="32"/>
    </row>
    <row r="342" spans="1:13" ht="15.2" customHeight="1" x14ac:dyDescent="0.2">
      <c r="A342" s="26" t="s">
        <v>6359</v>
      </c>
      <c r="B342" s="27" t="s">
        <v>6360</v>
      </c>
      <c r="C342" s="28">
        <v>1</v>
      </c>
      <c r="D342" s="29">
        <v>9.25</v>
      </c>
      <c r="E342" s="29">
        <v>9.25</v>
      </c>
      <c r="F342" s="30">
        <v>22.99</v>
      </c>
      <c r="G342" s="29">
        <v>22.99</v>
      </c>
      <c r="H342" s="28" t="s">
        <v>575</v>
      </c>
      <c r="I342" s="27" t="s">
        <v>10</v>
      </c>
      <c r="J342" s="31" t="s">
        <v>71</v>
      </c>
      <c r="K342" s="27" t="s">
        <v>196</v>
      </c>
      <c r="L342" s="27" t="s">
        <v>239</v>
      </c>
      <c r="M342" s="32"/>
    </row>
    <row r="343" spans="1:13" ht="15.2" customHeight="1" x14ac:dyDescent="0.2">
      <c r="A343" s="26" t="s">
        <v>4702</v>
      </c>
      <c r="B343" s="27" t="s">
        <v>4703</v>
      </c>
      <c r="C343" s="28">
        <v>1</v>
      </c>
      <c r="D343" s="29">
        <v>9.25</v>
      </c>
      <c r="E343" s="29">
        <v>9.25</v>
      </c>
      <c r="F343" s="30">
        <v>22.99</v>
      </c>
      <c r="G343" s="29">
        <v>22.99</v>
      </c>
      <c r="H343" s="28" t="s">
        <v>2502</v>
      </c>
      <c r="I343" s="27" t="s">
        <v>4</v>
      </c>
      <c r="J343" s="31" t="s">
        <v>40</v>
      </c>
      <c r="K343" s="27" t="s">
        <v>196</v>
      </c>
      <c r="L343" s="27" t="s">
        <v>239</v>
      </c>
      <c r="M343" s="32"/>
    </row>
    <row r="344" spans="1:13" ht="15.2" customHeight="1" x14ac:dyDescent="0.2">
      <c r="A344" s="26" t="s">
        <v>4884</v>
      </c>
      <c r="B344" s="27" t="s">
        <v>4885</v>
      </c>
      <c r="C344" s="28">
        <v>3</v>
      </c>
      <c r="D344" s="29">
        <v>9.25</v>
      </c>
      <c r="E344" s="29">
        <v>27.75</v>
      </c>
      <c r="F344" s="30">
        <v>22.99</v>
      </c>
      <c r="G344" s="29">
        <v>68.97</v>
      </c>
      <c r="H344" s="28" t="s">
        <v>2502</v>
      </c>
      <c r="I344" s="27" t="s">
        <v>4</v>
      </c>
      <c r="J344" s="31" t="s">
        <v>5</v>
      </c>
      <c r="K344" s="27" t="s">
        <v>196</v>
      </c>
      <c r="L344" s="27" t="s">
        <v>239</v>
      </c>
      <c r="M344" s="32"/>
    </row>
    <row r="345" spans="1:13" ht="15.2" customHeight="1" x14ac:dyDescent="0.2">
      <c r="A345" s="26" t="s">
        <v>4538</v>
      </c>
      <c r="B345" s="27" t="s">
        <v>4265</v>
      </c>
      <c r="C345" s="28">
        <v>1</v>
      </c>
      <c r="D345" s="29">
        <v>9.25</v>
      </c>
      <c r="E345" s="29">
        <v>9.25</v>
      </c>
      <c r="F345" s="30">
        <v>19.989999999999998</v>
      </c>
      <c r="G345" s="29">
        <v>19.989999999999998</v>
      </c>
      <c r="H345" s="28" t="s">
        <v>4266</v>
      </c>
      <c r="I345" s="27" t="s">
        <v>215</v>
      </c>
      <c r="J345" s="31" t="s">
        <v>52</v>
      </c>
      <c r="K345" s="27" t="s">
        <v>282</v>
      </c>
      <c r="L345" s="27" t="s">
        <v>283</v>
      </c>
      <c r="M345" s="32"/>
    </row>
    <row r="346" spans="1:13" ht="15.2" customHeight="1" x14ac:dyDescent="0.2">
      <c r="A346" s="26" t="s">
        <v>6361</v>
      </c>
      <c r="B346" s="27" t="s">
        <v>6362</v>
      </c>
      <c r="C346" s="28">
        <v>1</v>
      </c>
      <c r="D346" s="29">
        <v>9.25</v>
      </c>
      <c r="E346" s="29">
        <v>9.25</v>
      </c>
      <c r="F346" s="30">
        <v>22.99</v>
      </c>
      <c r="G346" s="29">
        <v>22.99</v>
      </c>
      <c r="H346" s="28" t="s">
        <v>580</v>
      </c>
      <c r="I346" s="27" t="s">
        <v>189</v>
      </c>
      <c r="J346" s="31" t="s">
        <v>71</v>
      </c>
      <c r="K346" s="27" t="s">
        <v>196</v>
      </c>
      <c r="L346" s="27" t="s">
        <v>239</v>
      </c>
      <c r="M346" s="32"/>
    </row>
    <row r="347" spans="1:13" ht="15.2" customHeight="1" x14ac:dyDescent="0.2">
      <c r="A347" s="26" t="s">
        <v>2775</v>
      </c>
      <c r="B347" s="27" t="s">
        <v>2776</v>
      </c>
      <c r="C347" s="28">
        <v>2</v>
      </c>
      <c r="D347" s="29">
        <v>9.25</v>
      </c>
      <c r="E347" s="29">
        <v>18.5</v>
      </c>
      <c r="F347" s="30">
        <v>22.99</v>
      </c>
      <c r="G347" s="29">
        <v>45.98</v>
      </c>
      <c r="H347" s="28" t="s">
        <v>580</v>
      </c>
      <c r="I347" s="27" t="s">
        <v>189</v>
      </c>
      <c r="J347" s="31" t="s">
        <v>40</v>
      </c>
      <c r="K347" s="27" t="s">
        <v>196</v>
      </c>
      <c r="L347" s="27" t="s">
        <v>239</v>
      </c>
      <c r="M347" s="32"/>
    </row>
    <row r="348" spans="1:13" ht="15.2" customHeight="1" x14ac:dyDescent="0.2">
      <c r="A348" s="26" t="s">
        <v>5973</v>
      </c>
      <c r="B348" s="27" t="s">
        <v>5974</v>
      </c>
      <c r="C348" s="28">
        <v>1</v>
      </c>
      <c r="D348" s="29">
        <v>9.25</v>
      </c>
      <c r="E348" s="29">
        <v>9.25</v>
      </c>
      <c r="F348" s="30">
        <v>22.99</v>
      </c>
      <c r="G348" s="29">
        <v>22.99</v>
      </c>
      <c r="H348" s="28" t="s">
        <v>2502</v>
      </c>
      <c r="I348" s="27" t="s">
        <v>4</v>
      </c>
      <c r="J348" s="31" t="s">
        <v>21</v>
      </c>
      <c r="K348" s="27" t="s">
        <v>196</v>
      </c>
      <c r="L348" s="27" t="s">
        <v>239</v>
      </c>
      <c r="M348" s="32"/>
    </row>
    <row r="349" spans="1:13" ht="15.2" customHeight="1" x14ac:dyDescent="0.2">
      <c r="A349" s="26" t="s">
        <v>2035</v>
      </c>
      <c r="B349" s="27" t="s">
        <v>2036</v>
      </c>
      <c r="C349" s="28">
        <v>1</v>
      </c>
      <c r="D349" s="29">
        <v>9.25</v>
      </c>
      <c r="E349" s="29">
        <v>9.25</v>
      </c>
      <c r="F349" s="30">
        <v>22.99</v>
      </c>
      <c r="G349" s="29">
        <v>22.99</v>
      </c>
      <c r="H349" s="28" t="s">
        <v>575</v>
      </c>
      <c r="I349" s="27" t="s">
        <v>207</v>
      </c>
      <c r="J349" s="31" t="s">
        <v>40</v>
      </c>
      <c r="K349" s="27" t="s">
        <v>196</v>
      </c>
      <c r="L349" s="27" t="s">
        <v>239</v>
      </c>
      <c r="M349" s="32"/>
    </row>
    <row r="350" spans="1:13" ht="15.2" customHeight="1" x14ac:dyDescent="0.2">
      <c r="A350" s="26" t="s">
        <v>6363</v>
      </c>
      <c r="B350" s="27" t="s">
        <v>6364</v>
      </c>
      <c r="C350" s="28">
        <v>1</v>
      </c>
      <c r="D350" s="29">
        <v>9.25</v>
      </c>
      <c r="E350" s="29">
        <v>9.25</v>
      </c>
      <c r="F350" s="30">
        <v>22.99</v>
      </c>
      <c r="G350" s="29">
        <v>22.99</v>
      </c>
      <c r="H350" s="28" t="s">
        <v>2502</v>
      </c>
      <c r="I350" s="27" t="s">
        <v>4</v>
      </c>
      <c r="J350" s="31" t="s">
        <v>71</v>
      </c>
      <c r="K350" s="27" t="s">
        <v>196</v>
      </c>
      <c r="L350" s="27" t="s">
        <v>239</v>
      </c>
      <c r="M350" s="32"/>
    </row>
    <row r="351" spans="1:13" ht="15.2" customHeight="1" x14ac:dyDescent="0.2">
      <c r="A351" s="26" t="s">
        <v>576</v>
      </c>
      <c r="B351" s="27" t="s">
        <v>577</v>
      </c>
      <c r="C351" s="28">
        <v>1</v>
      </c>
      <c r="D351" s="29">
        <v>9.25</v>
      </c>
      <c r="E351" s="29">
        <v>9.25</v>
      </c>
      <c r="F351" s="30">
        <v>22.99</v>
      </c>
      <c r="G351" s="29">
        <v>22.99</v>
      </c>
      <c r="H351" s="28" t="s">
        <v>575</v>
      </c>
      <c r="I351" s="27" t="s">
        <v>10</v>
      </c>
      <c r="J351" s="31" t="s">
        <v>5</v>
      </c>
      <c r="K351" s="27" t="s">
        <v>196</v>
      </c>
      <c r="L351" s="27" t="s">
        <v>239</v>
      </c>
      <c r="M351" s="32"/>
    </row>
    <row r="352" spans="1:13" ht="15.2" customHeight="1" x14ac:dyDescent="0.2">
      <c r="A352" s="26" t="s">
        <v>6365</v>
      </c>
      <c r="B352" s="27" t="s">
        <v>6366</v>
      </c>
      <c r="C352" s="28">
        <v>1</v>
      </c>
      <c r="D352" s="29">
        <v>9.25</v>
      </c>
      <c r="E352" s="29">
        <v>9.25</v>
      </c>
      <c r="F352" s="30">
        <v>22.99</v>
      </c>
      <c r="G352" s="29">
        <v>22.99</v>
      </c>
      <c r="H352" s="28" t="s">
        <v>575</v>
      </c>
      <c r="I352" s="27" t="s">
        <v>10</v>
      </c>
      <c r="J352" s="31" t="s">
        <v>40</v>
      </c>
      <c r="K352" s="27" t="s">
        <v>196</v>
      </c>
      <c r="L352" s="27" t="s">
        <v>239</v>
      </c>
      <c r="M352" s="32"/>
    </row>
    <row r="353" spans="1:13" ht="15.2" customHeight="1" x14ac:dyDescent="0.2">
      <c r="A353" s="26" t="s">
        <v>2777</v>
      </c>
      <c r="B353" s="27" t="s">
        <v>2778</v>
      </c>
      <c r="C353" s="28">
        <v>1</v>
      </c>
      <c r="D353" s="29">
        <v>9.25</v>
      </c>
      <c r="E353" s="29">
        <v>9.25</v>
      </c>
      <c r="F353" s="30">
        <v>22.99</v>
      </c>
      <c r="G353" s="29">
        <v>22.99</v>
      </c>
      <c r="H353" s="28" t="s">
        <v>580</v>
      </c>
      <c r="I353" s="27" t="s">
        <v>10</v>
      </c>
      <c r="J353" s="31" t="s">
        <v>40</v>
      </c>
      <c r="K353" s="27" t="s">
        <v>196</v>
      </c>
      <c r="L353" s="27" t="s">
        <v>239</v>
      </c>
      <c r="M353" s="32"/>
    </row>
    <row r="354" spans="1:13" ht="15.2" customHeight="1" x14ac:dyDescent="0.2">
      <c r="A354" s="26" t="s">
        <v>5572</v>
      </c>
      <c r="B354" s="27" t="s">
        <v>2041</v>
      </c>
      <c r="C354" s="28">
        <v>1</v>
      </c>
      <c r="D354" s="29">
        <v>9.24</v>
      </c>
      <c r="E354" s="29">
        <v>9.24</v>
      </c>
      <c r="F354" s="30">
        <v>21.99</v>
      </c>
      <c r="G354" s="29">
        <v>21.99</v>
      </c>
      <c r="H354" s="28" t="s">
        <v>2042</v>
      </c>
      <c r="I354" s="27" t="s">
        <v>64</v>
      </c>
      <c r="J354" s="31" t="s">
        <v>52</v>
      </c>
      <c r="K354" s="27" t="s">
        <v>159</v>
      </c>
      <c r="L354" s="27" t="s">
        <v>160</v>
      </c>
      <c r="M354" s="32"/>
    </row>
    <row r="355" spans="1:13" ht="15.2" customHeight="1" x14ac:dyDescent="0.2">
      <c r="A355" s="26" t="s">
        <v>2779</v>
      </c>
      <c r="B355" s="27" t="s">
        <v>2041</v>
      </c>
      <c r="C355" s="28">
        <v>1</v>
      </c>
      <c r="D355" s="29">
        <v>9.24</v>
      </c>
      <c r="E355" s="29">
        <v>9.24</v>
      </c>
      <c r="F355" s="30">
        <v>21.99</v>
      </c>
      <c r="G355" s="29">
        <v>21.99</v>
      </c>
      <c r="H355" s="28" t="s">
        <v>2042</v>
      </c>
      <c r="I355" s="27" t="s">
        <v>64</v>
      </c>
      <c r="J355" s="31" t="s">
        <v>65</v>
      </c>
      <c r="K355" s="27" t="s">
        <v>159</v>
      </c>
      <c r="L355" s="27" t="s">
        <v>160</v>
      </c>
      <c r="M355" s="32"/>
    </row>
    <row r="356" spans="1:13" ht="15.2" customHeight="1" x14ac:dyDescent="0.2">
      <c r="A356" s="26" t="s">
        <v>6367</v>
      </c>
      <c r="B356" s="27" t="s">
        <v>2038</v>
      </c>
      <c r="C356" s="28">
        <v>1</v>
      </c>
      <c r="D356" s="29">
        <v>9.24</v>
      </c>
      <c r="E356" s="29">
        <v>9.24</v>
      </c>
      <c r="F356" s="30">
        <v>21.99</v>
      </c>
      <c r="G356" s="29">
        <v>21.99</v>
      </c>
      <c r="H356" s="28" t="s">
        <v>2039</v>
      </c>
      <c r="I356" s="27" t="s">
        <v>4</v>
      </c>
      <c r="J356" s="31" t="s">
        <v>40</v>
      </c>
      <c r="K356" s="27" t="s">
        <v>159</v>
      </c>
      <c r="L356" s="27" t="s">
        <v>160</v>
      </c>
      <c r="M356" s="32"/>
    </row>
    <row r="357" spans="1:13" ht="15.2" customHeight="1" x14ac:dyDescent="0.2">
      <c r="A357" s="26" t="s">
        <v>2037</v>
      </c>
      <c r="B357" s="27" t="s">
        <v>2038</v>
      </c>
      <c r="C357" s="28">
        <v>1</v>
      </c>
      <c r="D357" s="29">
        <v>9.24</v>
      </c>
      <c r="E357" s="29">
        <v>9.24</v>
      </c>
      <c r="F357" s="30">
        <v>21.99</v>
      </c>
      <c r="G357" s="29">
        <v>21.99</v>
      </c>
      <c r="H357" s="28" t="s">
        <v>2039</v>
      </c>
      <c r="I357" s="27" t="s">
        <v>4</v>
      </c>
      <c r="J357" s="31" t="s">
        <v>5</v>
      </c>
      <c r="K357" s="27" t="s">
        <v>159</v>
      </c>
      <c r="L357" s="27" t="s">
        <v>160</v>
      </c>
      <c r="M357" s="32"/>
    </row>
    <row r="358" spans="1:13" ht="15.2" customHeight="1" x14ac:dyDescent="0.2">
      <c r="A358" s="26" t="s">
        <v>2043</v>
      </c>
      <c r="B358" s="27" t="s">
        <v>2041</v>
      </c>
      <c r="C358" s="28">
        <v>1</v>
      </c>
      <c r="D358" s="29">
        <v>9.24</v>
      </c>
      <c r="E358" s="29">
        <v>9.24</v>
      </c>
      <c r="F358" s="30">
        <v>21.99</v>
      </c>
      <c r="G358" s="29">
        <v>21.99</v>
      </c>
      <c r="H358" s="28" t="s">
        <v>2042</v>
      </c>
      <c r="I358" s="27" t="s">
        <v>64</v>
      </c>
      <c r="J358" s="31" t="s">
        <v>40</v>
      </c>
      <c r="K358" s="27" t="s">
        <v>159</v>
      </c>
      <c r="L358" s="27" t="s">
        <v>160</v>
      </c>
      <c r="M358" s="32"/>
    </row>
    <row r="359" spans="1:13" ht="15.2" customHeight="1" x14ac:dyDescent="0.2">
      <c r="A359" s="26" t="s">
        <v>2783</v>
      </c>
      <c r="B359" s="27" t="s">
        <v>2784</v>
      </c>
      <c r="C359" s="28">
        <v>1</v>
      </c>
      <c r="D359" s="29">
        <v>9.2200000000000006</v>
      </c>
      <c r="E359" s="29">
        <v>9.2200000000000006</v>
      </c>
      <c r="F359" s="30">
        <v>21.99</v>
      </c>
      <c r="G359" s="29">
        <v>21.99</v>
      </c>
      <c r="H359" s="28" t="s">
        <v>2780</v>
      </c>
      <c r="I359" s="27" t="s">
        <v>4</v>
      </c>
      <c r="J359" s="31" t="s">
        <v>65</v>
      </c>
      <c r="K359" s="27" t="s">
        <v>159</v>
      </c>
      <c r="L359" s="27" t="s">
        <v>160</v>
      </c>
      <c r="M359" s="32"/>
    </row>
    <row r="360" spans="1:13" ht="15.2" customHeight="1" x14ac:dyDescent="0.2">
      <c r="A360" s="26" t="s">
        <v>6368</v>
      </c>
      <c r="B360" s="27" t="s">
        <v>1059</v>
      </c>
      <c r="C360" s="28">
        <v>1</v>
      </c>
      <c r="D360" s="29">
        <v>9.1999999999999993</v>
      </c>
      <c r="E360" s="29">
        <v>9.1999999999999993</v>
      </c>
      <c r="F360" s="30">
        <v>21.99</v>
      </c>
      <c r="G360" s="29">
        <v>21.99</v>
      </c>
      <c r="H360" s="28" t="s">
        <v>1060</v>
      </c>
      <c r="I360" s="27" t="s">
        <v>4</v>
      </c>
      <c r="J360" s="31" t="s">
        <v>71</v>
      </c>
      <c r="K360" s="27" t="s">
        <v>159</v>
      </c>
      <c r="L360" s="27" t="s">
        <v>160</v>
      </c>
      <c r="M360" s="32"/>
    </row>
    <row r="361" spans="1:13" ht="15.2" customHeight="1" x14ac:dyDescent="0.2">
      <c r="A361" s="26" t="s">
        <v>4137</v>
      </c>
      <c r="B361" s="27" t="s">
        <v>1676</v>
      </c>
      <c r="C361" s="28">
        <v>1</v>
      </c>
      <c r="D361" s="29">
        <v>9.1999999999999993</v>
      </c>
      <c r="E361" s="29">
        <v>9.1999999999999993</v>
      </c>
      <c r="F361" s="30">
        <v>21.99</v>
      </c>
      <c r="G361" s="29">
        <v>21.99</v>
      </c>
      <c r="H361" s="28" t="s">
        <v>1677</v>
      </c>
      <c r="I361" s="27" t="s">
        <v>4</v>
      </c>
      <c r="J361" s="31" t="s">
        <v>21</v>
      </c>
      <c r="K361" s="27" t="s">
        <v>159</v>
      </c>
      <c r="L361" s="27" t="s">
        <v>160</v>
      </c>
      <c r="M361" s="32"/>
    </row>
    <row r="362" spans="1:13" ht="15.2" customHeight="1" x14ac:dyDescent="0.2">
      <c r="A362" s="26" t="s">
        <v>1061</v>
      </c>
      <c r="B362" s="27" t="s">
        <v>1059</v>
      </c>
      <c r="C362" s="28">
        <v>1</v>
      </c>
      <c r="D362" s="29">
        <v>9.1999999999999993</v>
      </c>
      <c r="E362" s="29">
        <v>9.1999999999999993</v>
      </c>
      <c r="F362" s="30">
        <v>21.99</v>
      </c>
      <c r="G362" s="29">
        <v>21.99</v>
      </c>
      <c r="H362" s="28" t="s">
        <v>1060</v>
      </c>
      <c r="I362" s="27" t="s">
        <v>4</v>
      </c>
      <c r="J362" s="31" t="s">
        <v>5</v>
      </c>
      <c r="K362" s="27" t="s">
        <v>159</v>
      </c>
      <c r="L362" s="27" t="s">
        <v>160</v>
      </c>
      <c r="M362" s="32"/>
    </row>
    <row r="363" spans="1:13" ht="15.2" customHeight="1" x14ac:dyDescent="0.2">
      <c r="A363" s="26" t="s">
        <v>6369</v>
      </c>
      <c r="B363" s="27" t="s">
        <v>2048</v>
      </c>
      <c r="C363" s="28">
        <v>1</v>
      </c>
      <c r="D363" s="29">
        <v>9.19</v>
      </c>
      <c r="E363" s="29">
        <v>9.19</v>
      </c>
      <c r="F363" s="30">
        <v>21.99</v>
      </c>
      <c r="G363" s="29">
        <v>21.99</v>
      </c>
      <c r="H363" s="28" t="s">
        <v>2049</v>
      </c>
      <c r="I363" s="27" t="s">
        <v>36</v>
      </c>
      <c r="J363" s="31" t="s">
        <v>71</v>
      </c>
      <c r="K363" s="27" t="s">
        <v>159</v>
      </c>
      <c r="L363" s="27" t="s">
        <v>160</v>
      </c>
      <c r="M363" s="32"/>
    </row>
    <row r="364" spans="1:13" ht="15.2" customHeight="1" x14ac:dyDescent="0.2">
      <c r="A364" s="26" t="s">
        <v>2514</v>
      </c>
      <c r="B364" s="27" t="s">
        <v>2515</v>
      </c>
      <c r="C364" s="28">
        <v>1</v>
      </c>
      <c r="D364" s="29">
        <v>9</v>
      </c>
      <c r="E364" s="29">
        <v>9</v>
      </c>
      <c r="F364" s="30">
        <v>19.989999999999998</v>
      </c>
      <c r="G364" s="29">
        <v>19.989999999999998</v>
      </c>
      <c r="H364" s="28" t="s">
        <v>2050</v>
      </c>
      <c r="I364" s="27" t="s">
        <v>302</v>
      </c>
      <c r="J364" s="31" t="s">
        <v>5</v>
      </c>
      <c r="K364" s="27" t="s">
        <v>196</v>
      </c>
      <c r="L364" s="27" t="s">
        <v>239</v>
      </c>
      <c r="M364" s="32"/>
    </row>
    <row r="365" spans="1:13" ht="15.2" customHeight="1" x14ac:dyDescent="0.2">
      <c r="A365" s="26" t="s">
        <v>6370</v>
      </c>
      <c r="B365" s="27" t="s">
        <v>6371</v>
      </c>
      <c r="C365" s="28">
        <v>1</v>
      </c>
      <c r="D365" s="29">
        <v>8.9</v>
      </c>
      <c r="E365" s="29">
        <v>8.9</v>
      </c>
      <c r="F365" s="30">
        <v>19.989999999999998</v>
      </c>
      <c r="G365" s="29">
        <v>19.989999999999998</v>
      </c>
      <c r="H365" s="28" t="s">
        <v>1362</v>
      </c>
      <c r="I365" s="27" t="s">
        <v>248</v>
      </c>
      <c r="J365" s="31" t="s">
        <v>5</v>
      </c>
      <c r="K365" s="27" t="s">
        <v>224</v>
      </c>
      <c r="L365" s="27" t="s">
        <v>276</v>
      </c>
      <c r="M365" s="32"/>
    </row>
    <row r="366" spans="1:13" ht="15.2" customHeight="1" x14ac:dyDescent="0.2">
      <c r="A366" s="26" t="s">
        <v>583</v>
      </c>
      <c r="B366" s="27" t="s">
        <v>584</v>
      </c>
      <c r="C366" s="28">
        <v>1</v>
      </c>
      <c r="D366" s="29">
        <v>8.5</v>
      </c>
      <c r="E366" s="29">
        <v>8.5</v>
      </c>
      <c r="F366" s="30">
        <v>19.989999999999998</v>
      </c>
      <c r="G366" s="29">
        <v>19.989999999999998</v>
      </c>
      <c r="H366" s="28" t="s">
        <v>582</v>
      </c>
      <c r="I366" s="27" t="s">
        <v>33</v>
      </c>
      <c r="J366" s="31" t="s">
        <v>5</v>
      </c>
      <c r="K366" s="27" t="s">
        <v>282</v>
      </c>
      <c r="L366" s="27" t="s">
        <v>312</v>
      </c>
      <c r="M366" s="32"/>
    </row>
    <row r="367" spans="1:13" ht="15.2" customHeight="1" x14ac:dyDescent="0.2">
      <c r="A367" s="26" t="s">
        <v>2519</v>
      </c>
      <c r="B367" s="27" t="s">
        <v>2520</v>
      </c>
      <c r="C367" s="28">
        <v>1</v>
      </c>
      <c r="D367" s="29">
        <v>8.5</v>
      </c>
      <c r="E367" s="29">
        <v>8.5</v>
      </c>
      <c r="F367" s="30">
        <v>19.989999999999998</v>
      </c>
      <c r="G367" s="29">
        <v>19.989999999999998</v>
      </c>
      <c r="H367" s="28" t="s">
        <v>587</v>
      </c>
      <c r="I367" s="27" t="s">
        <v>33</v>
      </c>
      <c r="J367" s="31" t="s">
        <v>21</v>
      </c>
      <c r="K367" s="27" t="s">
        <v>282</v>
      </c>
      <c r="L367" s="27" t="s">
        <v>312</v>
      </c>
      <c r="M367" s="32"/>
    </row>
    <row r="368" spans="1:13" ht="15.2" customHeight="1" x14ac:dyDescent="0.2">
      <c r="A368" s="26" t="s">
        <v>585</v>
      </c>
      <c r="B368" s="27" t="s">
        <v>586</v>
      </c>
      <c r="C368" s="28">
        <v>1</v>
      </c>
      <c r="D368" s="29">
        <v>8.5</v>
      </c>
      <c r="E368" s="29">
        <v>8.5</v>
      </c>
      <c r="F368" s="30">
        <v>19.989999999999998</v>
      </c>
      <c r="G368" s="29">
        <v>19.989999999999998</v>
      </c>
      <c r="H368" s="28" t="s">
        <v>587</v>
      </c>
      <c r="I368" s="27" t="s">
        <v>33</v>
      </c>
      <c r="J368" s="31" t="s">
        <v>52</v>
      </c>
      <c r="K368" s="27" t="s">
        <v>282</v>
      </c>
      <c r="L368" s="27" t="s">
        <v>312</v>
      </c>
      <c r="M368" s="32"/>
    </row>
    <row r="369" spans="1:13" ht="15.2" customHeight="1" x14ac:dyDescent="0.2">
      <c r="A369" s="26" t="s">
        <v>4140</v>
      </c>
      <c r="B369" s="27" t="s">
        <v>4141</v>
      </c>
      <c r="C369" s="28">
        <v>2</v>
      </c>
      <c r="D369" s="29">
        <v>8.5</v>
      </c>
      <c r="E369" s="29">
        <v>17</v>
      </c>
      <c r="F369" s="30">
        <v>19.989999999999998</v>
      </c>
      <c r="G369" s="29">
        <v>39.979999999999997</v>
      </c>
      <c r="H369" s="28" t="s">
        <v>582</v>
      </c>
      <c r="I369" s="27" t="s">
        <v>33</v>
      </c>
      <c r="J369" s="31" t="s">
        <v>21</v>
      </c>
      <c r="K369" s="27" t="s">
        <v>282</v>
      </c>
      <c r="L369" s="27" t="s">
        <v>312</v>
      </c>
      <c r="M369" s="32"/>
    </row>
    <row r="370" spans="1:13" ht="15.2" customHeight="1" x14ac:dyDescent="0.2">
      <c r="A370" s="26" t="s">
        <v>4407</v>
      </c>
      <c r="B370" s="27" t="s">
        <v>4408</v>
      </c>
      <c r="C370" s="28">
        <v>1</v>
      </c>
      <c r="D370" s="29">
        <v>8.5</v>
      </c>
      <c r="E370" s="29">
        <v>8.5</v>
      </c>
      <c r="F370" s="30">
        <v>19.989999999999998</v>
      </c>
      <c r="G370" s="29">
        <v>19.989999999999998</v>
      </c>
      <c r="H370" s="28" t="s">
        <v>582</v>
      </c>
      <c r="I370" s="27" t="s">
        <v>33</v>
      </c>
      <c r="J370" s="31" t="s">
        <v>40</v>
      </c>
      <c r="K370" s="27" t="s">
        <v>282</v>
      </c>
      <c r="L370" s="27" t="s">
        <v>312</v>
      </c>
      <c r="M370" s="32"/>
    </row>
    <row r="371" spans="1:13" ht="15.2" customHeight="1" x14ac:dyDescent="0.2">
      <c r="A371" s="26" t="s">
        <v>2055</v>
      </c>
      <c r="B371" s="27" t="s">
        <v>2056</v>
      </c>
      <c r="C371" s="28">
        <v>1</v>
      </c>
      <c r="D371" s="29">
        <v>8.5</v>
      </c>
      <c r="E371" s="29">
        <v>8.5</v>
      </c>
      <c r="F371" s="30">
        <v>19.989999999999998</v>
      </c>
      <c r="G371" s="29">
        <v>19.989999999999998</v>
      </c>
      <c r="H371" s="28" t="s">
        <v>587</v>
      </c>
      <c r="I371" s="27" t="s">
        <v>33</v>
      </c>
      <c r="J371" s="31" t="s">
        <v>40</v>
      </c>
      <c r="K371" s="27" t="s">
        <v>282</v>
      </c>
      <c r="L371" s="27" t="s">
        <v>312</v>
      </c>
      <c r="M371" s="32"/>
    </row>
    <row r="372" spans="1:13" ht="15.2" customHeight="1" x14ac:dyDescent="0.2">
      <c r="A372" s="26" t="s">
        <v>6372</v>
      </c>
      <c r="B372" s="27" t="s">
        <v>6373</v>
      </c>
      <c r="C372" s="28">
        <v>1</v>
      </c>
      <c r="D372" s="29">
        <v>8.5</v>
      </c>
      <c r="E372" s="29">
        <v>8.5</v>
      </c>
      <c r="F372" s="30">
        <v>19.989999999999998</v>
      </c>
      <c r="G372" s="29">
        <v>19.989999999999998</v>
      </c>
      <c r="H372" s="28" t="s">
        <v>4403</v>
      </c>
      <c r="I372" s="27" t="s">
        <v>280</v>
      </c>
      <c r="J372" s="31" t="s">
        <v>40</v>
      </c>
      <c r="K372" s="27" t="s">
        <v>282</v>
      </c>
      <c r="L372" s="27" t="s">
        <v>358</v>
      </c>
      <c r="M372" s="32"/>
    </row>
    <row r="373" spans="1:13" ht="15.2" customHeight="1" x14ac:dyDescent="0.2">
      <c r="A373" s="26" t="s">
        <v>2051</v>
      </c>
      <c r="B373" s="27" t="s">
        <v>2052</v>
      </c>
      <c r="C373" s="28">
        <v>2</v>
      </c>
      <c r="D373" s="29">
        <v>8.5</v>
      </c>
      <c r="E373" s="29">
        <v>17</v>
      </c>
      <c r="F373" s="30">
        <v>19.989999999999998</v>
      </c>
      <c r="G373" s="29">
        <v>39.979999999999997</v>
      </c>
      <c r="H373" s="28" t="s">
        <v>587</v>
      </c>
      <c r="I373" s="27" t="s">
        <v>33</v>
      </c>
      <c r="J373" s="31" t="s">
        <v>5</v>
      </c>
      <c r="K373" s="27" t="s">
        <v>282</v>
      </c>
      <c r="L373" s="27" t="s">
        <v>312</v>
      </c>
      <c r="M373" s="32"/>
    </row>
    <row r="374" spans="1:13" ht="15.2" customHeight="1" x14ac:dyDescent="0.2">
      <c r="A374" s="26" t="s">
        <v>4300</v>
      </c>
      <c r="B374" s="27" t="s">
        <v>4301</v>
      </c>
      <c r="C374" s="28">
        <v>1</v>
      </c>
      <c r="D374" s="29">
        <v>8</v>
      </c>
      <c r="E374" s="29">
        <v>8</v>
      </c>
      <c r="F374" s="30">
        <v>19.989999999999998</v>
      </c>
      <c r="G374" s="29">
        <v>19.989999999999998</v>
      </c>
      <c r="H374" s="28" t="s">
        <v>4282</v>
      </c>
      <c r="I374" s="27" t="s">
        <v>22</v>
      </c>
      <c r="J374" s="31" t="s">
        <v>5</v>
      </c>
      <c r="K374" s="27" t="s">
        <v>196</v>
      </c>
      <c r="L374" s="27" t="s">
        <v>239</v>
      </c>
      <c r="M374" s="32"/>
    </row>
    <row r="375" spans="1:13" ht="15.2" customHeight="1" x14ac:dyDescent="0.2">
      <c r="A375" s="26" t="s">
        <v>6374</v>
      </c>
      <c r="B375" s="27" t="s">
        <v>6375</v>
      </c>
      <c r="C375" s="28">
        <v>1</v>
      </c>
      <c r="D375" s="29">
        <v>8</v>
      </c>
      <c r="E375" s="29">
        <v>8</v>
      </c>
      <c r="F375" s="30">
        <v>19.989999999999998</v>
      </c>
      <c r="G375" s="29">
        <v>19.989999999999998</v>
      </c>
      <c r="H375" s="28" t="s">
        <v>4546</v>
      </c>
      <c r="I375" s="27" t="s">
        <v>4</v>
      </c>
      <c r="J375" s="31" t="s">
        <v>52</v>
      </c>
      <c r="K375" s="27" t="s">
        <v>282</v>
      </c>
      <c r="L375" s="27" t="s">
        <v>358</v>
      </c>
      <c r="M375" s="32"/>
    </row>
    <row r="376" spans="1:13" ht="15.2" customHeight="1" x14ac:dyDescent="0.2">
      <c r="A376" s="26" t="s">
        <v>591</v>
      </c>
      <c r="B376" s="27" t="s">
        <v>592</v>
      </c>
      <c r="C376" s="28">
        <v>1</v>
      </c>
      <c r="D376" s="29">
        <v>7.95</v>
      </c>
      <c r="E376" s="29">
        <v>7.95</v>
      </c>
      <c r="F376" s="30">
        <v>19.989999999999998</v>
      </c>
      <c r="G376" s="29">
        <v>19.989999999999998</v>
      </c>
      <c r="H376" s="28" t="s">
        <v>590</v>
      </c>
      <c r="I376" s="27" t="s">
        <v>274</v>
      </c>
      <c r="J376" s="31" t="s">
        <v>52</v>
      </c>
      <c r="K376" s="27" t="s">
        <v>196</v>
      </c>
      <c r="L376" s="27" t="s">
        <v>256</v>
      </c>
      <c r="M376" s="32"/>
    </row>
    <row r="377" spans="1:13" ht="15.2" customHeight="1" x14ac:dyDescent="0.2">
      <c r="A377" s="26" t="s">
        <v>5931</v>
      </c>
      <c r="B377" s="27" t="s">
        <v>5932</v>
      </c>
      <c r="C377" s="28">
        <v>1</v>
      </c>
      <c r="D377" s="29">
        <v>7.95</v>
      </c>
      <c r="E377" s="29">
        <v>7.95</v>
      </c>
      <c r="F377" s="30">
        <v>19.989999999999998</v>
      </c>
      <c r="G377" s="29">
        <v>19.989999999999998</v>
      </c>
      <c r="H377" s="28" t="s">
        <v>590</v>
      </c>
      <c r="I377" s="27" t="s">
        <v>189</v>
      </c>
      <c r="J377" s="31" t="s">
        <v>21</v>
      </c>
      <c r="K377" s="27" t="s">
        <v>196</v>
      </c>
      <c r="L377" s="27" t="s">
        <v>256</v>
      </c>
      <c r="M377" s="32"/>
    </row>
    <row r="378" spans="1:13" ht="15.2" customHeight="1" x14ac:dyDescent="0.2">
      <c r="A378" s="26" t="s">
        <v>596</v>
      </c>
      <c r="B378" s="27" t="s">
        <v>597</v>
      </c>
      <c r="C378" s="28">
        <v>2</v>
      </c>
      <c r="D378" s="29">
        <v>7.9</v>
      </c>
      <c r="E378" s="29">
        <v>15.8</v>
      </c>
      <c r="F378" s="30">
        <v>19.989999999999998</v>
      </c>
      <c r="G378" s="29">
        <v>39.979999999999997</v>
      </c>
      <c r="H378" s="28" t="s">
        <v>595</v>
      </c>
      <c r="I378" s="27" t="s">
        <v>22</v>
      </c>
      <c r="J378" s="31" t="s">
        <v>40</v>
      </c>
      <c r="K378" s="27" t="s">
        <v>282</v>
      </c>
      <c r="L378" s="27" t="s">
        <v>349</v>
      </c>
      <c r="M378" s="32"/>
    </row>
    <row r="379" spans="1:13" ht="15.2" customHeight="1" x14ac:dyDescent="0.2">
      <c r="A379" s="26" t="s">
        <v>604</v>
      </c>
      <c r="B379" s="27" t="s">
        <v>605</v>
      </c>
      <c r="C379" s="28">
        <v>1</v>
      </c>
      <c r="D379" s="29">
        <v>7.9</v>
      </c>
      <c r="E379" s="29">
        <v>7.9</v>
      </c>
      <c r="F379" s="30">
        <v>19.989999999999998</v>
      </c>
      <c r="G379" s="29">
        <v>19.989999999999998</v>
      </c>
      <c r="H379" s="28" t="s">
        <v>606</v>
      </c>
      <c r="I379" s="27" t="s">
        <v>36</v>
      </c>
      <c r="J379" s="31" t="s">
        <v>5</v>
      </c>
      <c r="K379" s="27" t="s">
        <v>282</v>
      </c>
      <c r="L379" s="27" t="s">
        <v>349</v>
      </c>
      <c r="M379" s="32"/>
    </row>
    <row r="380" spans="1:13" ht="15.2" customHeight="1" x14ac:dyDescent="0.2">
      <c r="A380" s="26" t="s">
        <v>602</v>
      </c>
      <c r="B380" s="27" t="s">
        <v>603</v>
      </c>
      <c r="C380" s="28">
        <v>4</v>
      </c>
      <c r="D380" s="29">
        <v>7.9</v>
      </c>
      <c r="E380" s="29">
        <v>31.6</v>
      </c>
      <c r="F380" s="30">
        <v>19.989999999999998</v>
      </c>
      <c r="G380" s="29">
        <v>79.959999999999994</v>
      </c>
      <c r="H380" s="28" t="s">
        <v>595</v>
      </c>
      <c r="I380" s="27" t="s">
        <v>22</v>
      </c>
      <c r="J380" s="31" t="s">
        <v>5</v>
      </c>
      <c r="K380" s="27" t="s">
        <v>282</v>
      </c>
      <c r="L380" s="27" t="s">
        <v>349</v>
      </c>
      <c r="M380" s="32"/>
    </row>
    <row r="381" spans="1:13" ht="15.2" customHeight="1" x14ac:dyDescent="0.2">
      <c r="A381" s="26" t="s">
        <v>593</v>
      </c>
      <c r="B381" s="27" t="s">
        <v>594</v>
      </c>
      <c r="C381" s="28">
        <v>2</v>
      </c>
      <c r="D381" s="29">
        <v>7.9</v>
      </c>
      <c r="E381" s="29">
        <v>15.8</v>
      </c>
      <c r="F381" s="30">
        <v>19.989999999999998</v>
      </c>
      <c r="G381" s="29">
        <v>39.979999999999997</v>
      </c>
      <c r="H381" s="28" t="s">
        <v>595</v>
      </c>
      <c r="I381" s="27" t="s">
        <v>22</v>
      </c>
      <c r="J381" s="31" t="s">
        <v>21</v>
      </c>
      <c r="K381" s="27" t="s">
        <v>282</v>
      </c>
      <c r="L381" s="27" t="s">
        <v>349</v>
      </c>
      <c r="M381" s="32"/>
    </row>
    <row r="382" spans="1:13" ht="15.2" customHeight="1" x14ac:dyDescent="0.2">
      <c r="A382" s="26" t="s">
        <v>4569</v>
      </c>
      <c r="B382" s="27" t="s">
        <v>4570</v>
      </c>
      <c r="C382" s="28">
        <v>1</v>
      </c>
      <c r="D382" s="29">
        <v>7</v>
      </c>
      <c r="E382" s="29">
        <v>7</v>
      </c>
      <c r="F382" s="30">
        <v>14.99</v>
      </c>
      <c r="G382" s="29">
        <v>14.99</v>
      </c>
      <c r="H382" s="28">
        <v>60455086</v>
      </c>
      <c r="I382" s="27" t="s">
        <v>59</v>
      </c>
      <c r="J382" s="31" t="s">
        <v>52</v>
      </c>
      <c r="K382" s="27" t="s">
        <v>208</v>
      </c>
      <c r="L382" s="27" t="s">
        <v>255</v>
      </c>
      <c r="M382" s="32"/>
    </row>
    <row r="383" spans="1:13" ht="15.2" customHeight="1" x14ac:dyDescent="0.2">
      <c r="A383" s="26" t="s">
        <v>3663</v>
      </c>
      <c r="B383" s="27" t="s">
        <v>3664</v>
      </c>
      <c r="C383" s="28">
        <v>1</v>
      </c>
      <c r="D383" s="29">
        <v>7</v>
      </c>
      <c r="E383" s="29">
        <v>7</v>
      </c>
      <c r="F383" s="30">
        <v>16.989999999999998</v>
      </c>
      <c r="G383" s="29">
        <v>16.989999999999998</v>
      </c>
      <c r="H383" s="28" t="s">
        <v>1693</v>
      </c>
      <c r="I383" s="27"/>
      <c r="J383" s="31" t="s">
        <v>21</v>
      </c>
      <c r="K383" s="27" t="s">
        <v>224</v>
      </c>
      <c r="L383" s="27" t="s">
        <v>197</v>
      </c>
      <c r="M383" s="32"/>
    </row>
    <row r="384" spans="1:13" ht="15.2" customHeight="1" x14ac:dyDescent="0.2">
      <c r="A384" s="26" t="s">
        <v>5975</v>
      </c>
      <c r="B384" s="27" t="s">
        <v>5976</v>
      </c>
      <c r="C384" s="28">
        <v>1</v>
      </c>
      <c r="D384" s="29">
        <v>6.5</v>
      </c>
      <c r="E384" s="29">
        <v>6.5</v>
      </c>
      <c r="F384" s="30">
        <v>12.99</v>
      </c>
      <c r="G384" s="29">
        <v>12.99</v>
      </c>
      <c r="H384" s="28" t="s">
        <v>3671</v>
      </c>
      <c r="I384" s="27" t="s">
        <v>4</v>
      </c>
      <c r="J384" s="31" t="s">
        <v>5</v>
      </c>
      <c r="K384" s="27" t="s">
        <v>282</v>
      </c>
      <c r="L384" s="27" t="s">
        <v>225</v>
      </c>
      <c r="M384" s="32"/>
    </row>
    <row r="385" spans="1:13" ht="15.2" customHeight="1" x14ac:dyDescent="0.2">
      <c r="A385" s="26" t="s">
        <v>4577</v>
      </c>
      <c r="B385" s="27" t="s">
        <v>4578</v>
      </c>
      <c r="C385" s="28">
        <v>1</v>
      </c>
      <c r="D385" s="29">
        <v>6.5</v>
      </c>
      <c r="E385" s="29">
        <v>6.5</v>
      </c>
      <c r="F385" s="30">
        <v>12.99</v>
      </c>
      <c r="G385" s="29">
        <v>12.99</v>
      </c>
      <c r="H385" s="28" t="s">
        <v>4579</v>
      </c>
      <c r="I385" s="27" t="s">
        <v>343</v>
      </c>
      <c r="J385" s="31" t="s">
        <v>5</v>
      </c>
      <c r="K385" s="27" t="s">
        <v>282</v>
      </c>
      <c r="L385" s="27" t="s">
        <v>312</v>
      </c>
      <c r="M385" s="32"/>
    </row>
    <row r="386" spans="1:13" ht="15.2" customHeight="1" x14ac:dyDescent="0.2">
      <c r="A386" s="26" t="s">
        <v>4803</v>
      </c>
      <c r="B386" s="27" t="s">
        <v>2063</v>
      </c>
      <c r="C386" s="28">
        <v>1</v>
      </c>
      <c r="D386" s="29">
        <v>6.32</v>
      </c>
      <c r="E386" s="29">
        <v>6.32</v>
      </c>
      <c r="F386" s="30">
        <v>14.99</v>
      </c>
      <c r="G386" s="29">
        <v>14.99</v>
      </c>
      <c r="H386" s="28" t="s">
        <v>2064</v>
      </c>
      <c r="I386" s="27" t="s">
        <v>291</v>
      </c>
      <c r="J386" s="31" t="s">
        <v>5</v>
      </c>
      <c r="K386" s="27" t="s">
        <v>159</v>
      </c>
      <c r="L386" s="27" t="s">
        <v>160</v>
      </c>
      <c r="M386" s="32"/>
    </row>
    <row r="387" spans="1:13" ht="15.2" customHeight="1" x14ac:dyDescent="0.2">
      <c r="A387" s="26" t="s">
        <v>4587</v>
      </c>
      <c r="B387" s="27" t="s">
        <v>4588</v>
      </c>
      <c r="C387" s="28">
        <v>1</v>
      </c>
      <c r="D387" s="29">
        <v>6.26</v>
      </c>
      <c r="E387" s="29">
        <v>6.26</v>
      </c>
      <c r="F387" s="30">
        <v>12.99</v>
      </c>
      <c r="G387" s="29">
        <v>12.99</v>
      </c>
      <c r="H387" s="28" t="s">
        <v>607</v>
      </c>
      <c r="I387" s="27" t="s">
        <v>103</v>
      </c>
      <c r="J387" s="31" t="s">
        <v>65</v>
      </c>
      <c r="K387" s="27" t="s">
        <v>159</v>
      </c>
      <c r="L387" s="27" t="s">
        <v>160</v>
      </c>
      <c r="M387" s="32"/>
    </row>
    <row r="388" spans="1:13" ht="15.2" customHeight="1" x14ac:dyDescent="0.2">
      <c r="A388" s="26" t="s">
        <v>6376</v>
      </c>
      <c r="B388" s="27" t="s">
        <v>2531</v>
      </c>
      <c r="C388" s="28">
        <v>1</v>
      </c>
      <c r="D388" s="29">
        <v>6.25</v>
      </c>
      <c r="E388" s="29">
        <v>6.25</v>
      </c>
      <c r="F388" s="30">
        <v>14.99</v>
      </c>
      <c r="G388" s="29">
        <v>14.99</v>
      </c>
      <c r="H388" s="28" t="s">
        <v>2532</v>
      </c>
      <c r="I388" s="27" t="s">
        <v>238</v>
      </c>
      <c r="J388" s="31" t="s">
        <v>65</v>
      </c>
      <c r="K388" s="27" t="s">
        <v>159</v>
      </c>
      <c r="L388" s="27" t="s">
        <v>160</v>
      </c>
      <c r="M388" s="32"/>
    </row>
    <row r="389" spans="1:13" ht="15.2" customHeight="1" x14ac:dyDescent="0.2">
      <c r="A389" s="26" t="s">
        <v>6377</v>
      </c>
      <c r="B389" s="27" t="s">
        <v>5522</v>
      </c>
      <c r="C389" s="28">
        <v>1</v>
      </c>
      <c r="D389" s="29">
        <v>6.15</v>
      </c>
      <c r="E389" s="29">
        <v>6.15</v>
      </c>
      <c r="F389" s="30">
        <v>14.99</v>
      </c>
      <c r="G389" s="29">
        <v>14.99</v>
      </c>
      <c r="H389" s="28" t="s">
        <v>5523</v>
      </c>
      <c r="I389" s="27" t="s">
        <v>661</v>
      </c>
      <c r="J389" s="31" t="s">
        <v>71</v>
      </c>
      <c r="K389" s="27" t="s">
        <v>159</v>
      </c>
      <c r="L389" s="27" t="s">
        <v>160</v>
      </c>
      <c r="M389" s="32"/>
    </row>
    <row r="390" spans="1:13" ht="15.2" customHeight="1" x14ac:dyDescent="0.2">
      <c r="A390" s="26" t="s">
        <v>4176</v>
      </c>
      <c r="B390" s="27" t="s">
        <v>612</v>
      </c>
      <c r="C390" s="28">
        <v>2</v>
      </c>
      <c r="D390" s="29">
        <v>5.75</v>
      </c>
      <c r="E390" s="29">
        <v>11.5</v>
      </c>
      <c r="F390" s="30">
        <v>12.99</v>
      </c>
      <c r="G390" s="29">
        <v>25.98</v>
      </c>
      <c r="H390" s="28" t="s">
        <v>613</v>
      </c>
      <c r="I390" s="27" t="s">
        <v>4</v>
      </c>
      <c r="J390" s="31" t="s">
        <v>5</v>
      </c>
      <c r="K390" s="27" t="s">
        <v>282</v>
      </c>
      <c r="L390" s="27" t="s">
        <v>386</v>
      </c>
      <c r="M390" s="32"/>
    </row>
    <row r="391" spans="1:13" ht="15.2" customHeight="1" x14ac:dyDescent="0.2">
      <c r="A391" s="26" t="s">
        <v>611</v>
      </c>
      <c r="B391" s="27" t="s">
        <v>612</v>
      </c>
      <c r="C391" s="28">
        <v>1</v>
      </c>
      <c r="D391" s="29">
        <v>5.75</v>
      </c>
      <c r="E391" s="29">
        <v>5.75</v>
      </c>
      <c r="F391" s="30">
        <v>12.99</v>
      </c>
      <c r="G391" s="29">
        <v>12.99</v>
      </c>
      <c r="H391" s="28" t="s">
        <v>613</v>
      </c>
      <c r="I391" s="27" t="s">
        <v>4</v>
      </c>
      <c r="J391" s="31" t="s">
        <v>21</v>
      </c>
      <c r="K391" s="27" t="s">
        <v>282</v>
      </c>
      <c r="L391" s="27" t="s">
        <v>386</v>
      </c>
      <c r="M391" s="32"/>
    </row>
    <row r="392" spans="1:13" ht="15.2" customHeight="1" x14ac:dyDescent="0.2">
      <c r="A392" s="26" t="s">
        <v>2535</v>
      </c>
      <c r="B392" s="27" t="s">
        <v>612</v>
      </c>
      <c r="C392" s="28">
        <v>1</v>
      </c>
      <c r="D392" s="29">
        <v>5.75</v>
      </c>
      <c r="E392" s="29">
        <v>5.75</v>
      </c>
      <c r="F392" s="30">
        <v>12.99</v>
      </c>
      <c r="G392" s="29">
        <v>12.99</v>
      </c>
      <c r="H392" s="28" t="s">
        <v>613</v>
      </c>
      <c r="I392" s="27" t="s">
        <v>4</v>
      </c>
      <c r="J392" s="31" t="s">
        <v>52</v>
      </c>
      <c r="K392" s="27" t="s">
        <v>282</v>
      </c>
      <c r="L392" s="27" t="s">
        <v>386</v>
      </c>
      <c r="M392" s="32"/>
    </row>
    <row r="393" spans="1:13" ht="15.2" customHeight="1" x14ac:dyDescent="0.2">
      <c r="A393" s="26" t="s">
        <v>6378</v>
      </c>
      <c r="B393" s="27" t="s">
        <v>6379</v>
      </c>
      <c r="C393" s="28">
        <v>1</v>
      </c>
      <c r="D393" s="29">
        <v>5.7</v>
      </c>
      <c r="E393" s="29">
        <v>5.7</v>
      </c>
      <c r="F393" s="30">
        <v>14.99</v>
      </c>
      <c r="G393" s="29">
        <v>14.99</v>
      </c>
      <c r="H393" s="28">
        <v>60453403</v>
      </c>
      <c r="I393" s="27" t="s">
        <v>4</v>
      </c>
      <c r="J393" s="31" t="s">
        <v>40</v>
      </c>
      <c r="K393" s="27" t="s">
        <v>208</v>
      </c>
      <c r="L393" s="27" t="s">
        <v>255</v>
      </c>
      <c r="M393" s="32"/>
    </row>
    <row r="394" spans="1:13" ht="15.2" customHeight="1" x14ac:dyDescent="0.2">
      <c r="A394" s="26" t="s">
        <v>4183</v>
      </c>
      <c r="B394" s="27" t="s">
        <v>629</v>
      </c>
      <c r="C394" s="28">
        <v>1</v>
      </c>
      <c r="D394" s="29">
        <v>5.5</v>
      </c>
      <c r="E394" s="29">
        <v>5.5</v>
      </c>
      <c r="F394" s="30">
        <v>12.99</v>
      </c>
      <c r="G394" s="29">
        <v>12.99</v>
      </c>
      <c r="H394" s="28" t="s">
        <v>630</v>
      </c>
      <c r="I394" s="27" t="s">
        <v>82</v>
      </c>
      <c r="J394" s="31" t="s">
        <v>21</v>
      </c>
      <c r="K394" s="27" t="s">
        <v>282</v>
      </c>
      <c r="L394" s="27" t="s">
        <v>312</v>
      </c>
      <c r="M394" s="32"/>
    </row>
    <row r="395" spans="1:13" ht="15.2" customHeight="1" x14ac:dyDescent="0.2">
      <c r="A395" s="26" t="s">
        <v>5958</v>
      </c>
      <c r="B395" s="27" t="s">
        <v>640</v>
      </c>
      <c r="C395" s="28">
        <v>1</v>
      </c>
      <c r="D395" s="29">
        <v>5.5</v>
      </c>
      <c r="E395" s="29">
        <v>5.5</v>
      </c>
      <c r="F395" s="30">
        <v>12.99</v>
      </c>
      <c r="G395" s="29">
        <v>12.99</v>
      </c>
      <c r="H395" s="28" t="s">
        <v>641</v>
      </c>
      <c r="I395" s="27" t="s">
        <v>144</v>
      </c>
      <c r="J395" s="31" t="s">
        <v>71</v>
      </c>
      <c r="K395" s="27" t="s">
        <v>282</v>
      </c>
      <c r="L395" s="27" t="s">
        <v>312</v>
      </c>
      <c r="M395" s="32"/>
    </row>
    <row r="396" spans="1:13" ht="15.2" customHeight="1" x14ac:dyDescent="0.2">
      <c r="A396" s="26" t="s">
        <v>2542</v>
      </c>
      <c r="B396" s="27" t="s">
        <v>2543</v>
      </c>
      <c r="C396" s="28">
        <v>1</v>
      </c>
      <c r="D396" s="29">
        <v>5.5</v>
      </c>
      <c r="E396" s="29">
        <v>5.5</v>
      </c>
      <c r="F396" s="30">
        <v>13.99</v>
      </c>
      <c r="G396" s="29">
        <v>13.99</v>
      </c>
      <c r="H396" s="28" t="s">
        <v>619</v>
      </c>
      <c r="I396" s="27" t="s">
        <v>94</v>
      </c>
      <c r="J396" s="31" t="s">
        <v>5</v>
      </c>
      <c r="K396" s="27" t="s">
        <v>70</v>
      </c>
      <c r="L396" s="27" t="s">
        <v>353</v>
      </c>
      <c r="M396" s="32"/>
    </row>
    <row r="397" spans="1:13" ht="15.2" customHeight="1" x14ac:dyDescent="0.2">
      <c r="A397" s="26" t="s">
        <v>631</v>
      </c>
      <c r="B397" s="27" t="s">
        <v>632</v>
      </c>
      <c r="C397" s="28">
        <v>1</v>
      </c>
      <c r="D397" s="29">
        <v>5.5</v>
      </c>
      <c r="E397" s="29">
        <v>5.5</v>
      </c>
      <c r="F397" s="30">
        <v>13.99</v>
      </c>
      <c r="G397" s="29">
        <v>13.99</v>
      </c>
      <c r="H397" s="28" t="s">
        <v>619</v>
      </c>
      <c r="I397" s="27" t="s">
        <v>94</v>
      </c>
      <c r="J397" s="31" t="s">
        <v>40</v>
      </c>
      <c r="K397" s="27" t="s">
        <v>70</v>
      </c>
      <c r="L397" s="27" t="s">
        <v>353</v>
      </c>
      <c r="M397" s="32"/>
    </row>
    <row r="398" spans="1:13" ht="15.2" customHeight="1" x14ac:dyDescent="0.2">
      <c r="A398" s="26" t="s">
        <v>642</v>
      </c>
      <c r="B398" s="27" t="s">
        <v>643</v>
      </c>
      <c r="C398" s="28">
        <v>1</v>
      </c>
      <c r="D398" s="29">
        <v>5.5</v>
      </c>
      <c r="E398" s="29">
        <v>5.5</v>
      </c>
      <c r="F398" s="30">
        <v>13.99</v>
      </c>
      <c r="G398" s="29">
        <v>13.99</v>
      </c>
      <c r="H398" s="28" t="s">
        <v>619</v>
      </c>
      <c r="I398" s="27" t="s">
        <v>22</v>
      </c>
      <c r="J398" s="31" t="s">
        <v>5</v>
      </c>
      <c r="K398" s="27" t="s">
        <v>70</v>
      </c>
      <c r="L398" s="27" t="s">
        <v>353</v>
      </c>
      <c r="M398" s="32"/>
    </row>
    <row r="399" spans="1:13" ht="15.2" customHeight="1" x14ac:dyDescent="0.2">
      <c r="A399" s="26" t="s">
        <v>646</v>
      </c>
      <c r="B399" s="27" t="s">
        <v>647</v>
      </c>
      <c r="C399" s="28">
        <v>1</v>
      </c>
      <c r="D399" s="29">
        <v>5.5</v>
      </c>
      <c r="E399" s="29">
        <v>5.5</v>
      </c>
      <c r="F399" s="30">
        <v>13.99</v>
      </c>
      <c r="G399" s="29">
        <v>13.99</v>
      </c>
      <c r="H399" s="28" t="s">
        <v>619</v>
      </c>
      <c r="I399" s="27" t="s">
        <v>94</v>
      </c>
      <c r="J399" s="31" t="s">
        <v>52</v>
      </c>
      <c r="K399" s="27" t="s">
        <v>70</v>
      </c>
      <c r="L399" s="27" t="s">
        <v>353</v>
      </c>
      <c r="M399" s="32"/>
    </row>
    <row r="400" spans="1:13" ht="15.2" customHeight="1" x14ac:dyDescent="0.2">
      <c r="A400" s="26" t="s">
        <v>635</v>
      </c>
      <c r="B400" s="27" t="s">
        <v>636</v>
      </c>
      <c r="C400" s="28">
        <v>1</v>
      </c>
      <c r="D400" s="29">
        <v>5.5</v>
      </c>
      <c r="E400" s="29">
        <v>5.5</v>
      </c>
      <c r="F400" s="30">
        <v>13.99</v>
      </c>
      <c r="G400" s="29">
        <v>13.99</v>
      </c>
      <c r="H400" s="28" t="s">
        <v>619</v>
      </c>
      <c r="I400" s="27" t="s">
        <v>22</v>
      </c>
      <c r="J400" s="31" t="s">
        <v>40</v>
      </c>
      <c r="K400" s="27" t="s">
        <v>70</v>
      </c>
      <c r="L400" s="27" t="s">
        <v>353</v>
      </c>
      <c r="M400" s="32"/>
    </row>
    <row r="401" spans="1:13" ht="15.2" customHeight="1" x14ac:dyDescent="0.2">
      <c r="A401" s="26" t="s">
        <v>3675</v>
      </c>
      <c r="B401" s="27" t="s">
        <v>1712</v>
      </c>
      <c r="C401" s="28">
        <v>1</v>
      </c>
      <c r="D401" s="29">
        <v>5.5</v>
      </c>
      <c r="E401" s="29">
        <v>5.5</v>
      </c>
      <c r="F401" s="30">
        <v>12.99</v>
      </c>
      <c r="G401" s="29">
        <v>12.99</v>
      </c>
      <c r="H401" s="28" t="s">
        <v>1713</v>
      </c>
      <c r="I401" s="27" t="s">
        <v>33</v>
      </c>
      <c r="J401" s="31" t="s">
        <v>5</v>
      </c>
      <c r="K401" s="27" t="s">
        <v>282</v>
      </c>
      <c r="L401" s="27" t="s">
        <v>312</v>
      </c>
      <c r="M401" s="32"/>
    </row>
    <row r="402" spans="1:13" ht="15.2" customHeight="1" x14ac:dyDescent="0.2">
      <c r="A402" s="26" t="s">
        <v>624</v>
      </c>
      <c r="B402" s="27" t="s">
        <v>625</v>
      </c>
      <c r="C402" s="28">
        <v>1</v>
      </c>
      <c r="D402" s="29">
        <v>5.5</v>
      </c>
      <c r="E402" s="29">
        <v>5.5</v>
      </c>
      <c r="F402" s="30">
        <v>13.99</v>
      </c>
      <c r="G402" s="29">
        <v>13.99</v>
      </c>
      <c r="H402" s="28" t="s">
        <v>619</v>
      </c>
      <c r="I402" s="27" t="s">
        <v>59</v>
      </c>
      <c r="J402" s="31" t="s">
        <v>5</v>
      </c>
      <c r="K402" s="27" t="s">
        <v>70</v>
      </c>
      <c r="L402" s="27" t="s">
        <v>353</v>
      </c>
      <c r="M402" s="32"/>
    </row>
    <row r="403" spans="1:13" ht="15.2" customHeight="1" x14ac:dyDescent="0.2">
      <c r="A403" s="26" t="s">
        <v>633</v>
      </c>
      <c r="B403" s="27" t="s">
        <v>634</v>
      </c>
      <c r="C403" s="28">
        <v>1</v>
      </c>
      <c r="D403" s="29">
        <v>5.5</v>
      </c>
      <c r="E403" s="29">
        <v>5.5</v>
      </c>
      <c r="F403" s="30">
        <v>13.99</v>
      </c>
      <c r="G403" s="29">
        <v>13.99</v>
      </c>
      <c r="H403" s="28" t="s">
        <v>619</v>
      </c>
      <c r="I403" s="27" t="s">
        <v>22</v>
      </c>
      <c r="J403" s="31" t="s">
        <v>65</v>
      </c>
      <c r="K403" s="27" t="s">
        <v>70</v>
      </c>
      <c r="L403" s="27" t="s">
        <v>353</v>
      </c>
      <c r="M403" s="32"/>
    </row>
    <row r="404" spans="1:13" ht="15.2" customHeight="1" x14ac:dyDescent="0.2">
      <c r="A404" s="26" t="s">
        <v>5580</v>
      </c>
      <c r="B404" s="27" t="s">
        <v>5581</v>
      </c>
      <c r="C404" s="28">
        <v>1</v>
      </c>
      <c r="D404" s="29">
        <v>4.67</v>
      </c>
      <c r="E404" s="29">
        <v>4.67</v>
      </c>
      <c r="F404" s="30">
        <v>12.99</v>
      </c>
      <c r="G404" s="29">
        <v>12.99</v>
      </c>
      <c r="H404" s="28" t="s">
        <v>2073</v>
      </c>
      <c r="I404" s="27" t="s">
        <v>144</v>
      </c>
      <c r="J404" s="31" t="s">
        <v>5</v>
      </c>
      <c r="K404" s="27" t="s">
        <v>282</v>
      </c>
      <c r="L404" s="27" t="s">
        <v>349</v>
      </c>
      <c r="M404" s="32"/>
    </row>
    <row r="405" spans="1:13" ht="15.2" customHeight="1" x14ac:dyDescent="0.2">
      <c r="A405" s="26" t="s">
        <v>3097</v>
      </c>
      <c r="B405" s="27" t="s">
        <v>3098</v>
      </c>
      <c r="C405" s="28">
        <v>1</v>
      </c>
      <c r="D405" s="29">
        <v>4.67</v>
      </c>
      <c r="E405" s="29">
        <v>4.67</v>
      </c>
      <c r="F405" s="30">
        <v>12.99</v>
      </c>
      <c r="G405" s="29">
        <v>12.99</v>
      </c>
      <c r="H405" s="28" t="s">
        <v>2073</v>
      </c>
      <c r="I405" s="27" t="s">
        <v>144</v>
      </c>
      <c r="J405" s="31" t="s">
        <v>52</v>
      </c>
      <c r="K405" s="27" t="s">
        <v>282</v>
      </c>
      <c r="L405" s="27" t="s">
        <v>349</v>
      </c>
      <c r="M405" s="32"/>
    </row>
  </sheetData>
  <pageMargins left="0.5" right="0.5" top="0.25" bottom="0.25" header="0.3" footer="0.3"/>
  <pageSetup scale="65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410"/>
  <sheetViews>
    <sheetView workbookViewId="0">
      <selection activeCell="B22" sqref="B22"/>
    </sheetView>
  </sheetViews>
  <sheetFormatPr defaultRowHeight="15.2" customHeight="1" x14ac:dyDescent="0.2"/>
  <cols>
    <col min="1" max="1" width="14.85546875" style="1" bestFit="1" customWidth="1"/>
    <col min="2" max="2" width="71.5703125" style="1" bestFit="1" customWidth="1"/>
    <col min="3" max="3" width="6.42578125" style="1" bestFit="1" customWidth="1"/>
    <col min="4" max="4" width="7.5703125" style="1" bestFit="1" customWidth="1"/>
    <col min="5" max="5" width="9.5703125" style="1" bestFit="1" customWidth="1"/>
    <col min="6" max="6" width="8.7109375" style="1" bestFit="1" customWidth="1"/>
    <col min="7" max="7" width="11.140625" style="1" bestFit="1" customWidth="1"/>
    <col min="8" max="8" width="17.85546875" style="1" bestFit="1" customWidth="1"/>
    <col min="9" max="9" width="14.7109375" style="1" bestFit="1" customWidth="1"/>
    <col min="10" max="10" width="10.28515625" style="1" bestFit="1" customWidth="1"/>
    <col min="11" max="11" width="18.7109375" style="1" bestFit="1" customWidth="1"/>
    <col min="12" max="12" width="45" style="1" bestFit="1" customWidth="1"/>
    <col min="13" max="13" width="49.42578125" style="1" bestFit="1" customWidth="1"/>
    <col min="14" max="16384" width="9.140625" style="1"/>
  </cols>
  <sheetData>
    <row r="1" spans="1:13" ht="15.2" customHeight="1" x14ac:dyDescent="0.2">
      <c r="A1" s="25" t="s">
        <v>0</v>
      </c>
      <c r="B1" s="25" t="s">
        <v>11929</v>
      </c>
      <c r="C1" s="25" t="s">
        <v>11915</v>
      </c>
      <c r="D1" s="25" t="s">
        <v>11927</v>
      </c>
      <c r="E1" s="25" t="s">
        <v>11928</v>
      </c>
      <c r="F1" s="25" t="s">
        <v>11919</v>
      </c>
      <c r="G1" s="25" t="s">
        <v>11920</v>
      </c>
      <c r="H1" s="25" t="s">
        <v>11921</v>
      </c>
      <c r="I1" s="25" t="s">
        <v>11922</v>
      </c>
      <c r="J1" s="25" t="s">
        <v>11923</v>
      </c>
      <c r="K1" s="25" t="s">
        <v>11924</v>
      </c>
      <c r="L1" s="25" t="s">
        <v>11925</v>
      </c>
      <c r="M1" s="25" t="s">
        <v>11926</v>
      </c>
    </row>
    <row r="2" spans="1:13" ht="15.2" customHeight="1" x14ac:dyDescent="0.2">
      <c r="A2" s="26" t="s">
        <v>6388</v>
      </c>
      <c r="B2" s="27" t="s">
        <v>6389</v>
      </c>
      <c r="C2" s="28">
        <v>1</v>
      </c>
      <c r="D2" s="29">
        <v>45</v>
      </c>
      <c r="E2" s="29">
        <v>45</v>
      </c>
      <c r="F2" s="30">
        <v>129</v>
      </c>
      <c r="G2" s="29">
        <v>129</v>
      </c>
      <c r="H2" s="28" t="s">
        <v>6390</v>
      </c>
      <c r="I2" s="27" t="s">
        <v>357</v>
      </c>
      <c r="J2" s="31" t="s">
        <v>214</v>
      </c>
      <c r="K2" s="27" t="s">
        <v>24</v>
      </c>
      <c r="L2" s="27" t="s">
        <v>67</v>
      </c>
      <c r="M2" s="32" t="str">
        <f>HYPERLINK("http://slimages.macys.com/is/image/MCY/3776086 ")</f>
        <v xml:space="preserve">http://slimages.macys.com/is/image/MCY/3776086 </v>
      </c>
    </row>
    <row r="3" spans="1:13" ht="15.2" customHeight="1" x14ac:dyDescent="0.2">
      <c r="A3" s="26" t="s">
        <v>1080</v>
      </c>
      <c r="B3" s="27" t="s">
        <v>1081</v>
      </c>
      <c r="C3" s="28">
        <v>2</v>
      </c>
      <c r="D3" s="29">
        <v>31.83</v>
      </c>
      <c r="E3" s="29">
        <v>63.66</v>
      </c>
      <c r="F3" s="30">
        <v>72.989999999999995</v>
      </c>
      <c r="G3" s="29">
        <v>145.97999999999999</v>
      </c>
      <c r="H3" s="28" t="s">
        <v>653</v>
      </c>
      <c r="I3" s="27" t="s">
        <v>333</v>
      </c>
      <c r="J3" s="31" t="s">
        <v>21</v>
      </c>
      <c r="K3" s="27" t="s">
        <v>41</v>
      </c>
      <c r="L3" s="27" t="s">
        <v>649</v>
      </c>
      <c r="M3" s="32" t="str">
        <f>HYPERLINK("http://slimages.macys.com/is/image/MCY/3828767 ")</f>
        <v xml:space="preserve">http://slimages.macys.com/is/image/MCY/3828767 </v>
      </c>
    </row>
    <row r="4" spans="1:13" ht="15.2" customHeight="1" x14ac:dyDescent="0.2">
      <c r="A4" s="26" t="s">
        <v>1082</v>
      </c>
      <c r="B4" s="27" t="s">
        <v>1083</v>
      </c>
      <c r="C4" s="28">
        <v>1</v>
      </c>
      <c r="D4" s="29">
        <v>31.83</v>
      </c>
      <c r="E4" s="29">
        <v>31.83</v>
      </c>
      <c r="F4" s="30">
        <v>72.989999999999995</v>
      </c>
      <c r="G4" s="29">
        <v>72.989999999999995</v>
      </c>
      <c r="H4" s="28" t="s">
        <v>653</v>
      </c>
      <c r="I4" s="27" t="s">
        <v>333</v>
      </c>
      <c r="J4" s="31" t="s">
        <v>5</v>
      </c>
      <c r="K4" s="27" t="s">
        <v>41</v>
      </c>
      <c r="L4" s="27" t="s">
        <v>649</v>
      </c>
      <c r="M4" s="32" t="str">
        <f>HYPERLINK("http://slimages.macys.com/is/image/MCY/3828767 ")</f>
        <v xml:space="preserve">http://slimages.macys.com/is/image/MCY/3828767 </v>
      </c>
    </row>
    <row r="5" spans="1:13" ht="15.2" customHeight="1" x14ac:dyDescent="0.2">
      <c r="A5" s="26" t="s">
        <v>6391</v>
      </c>
      <c r="B5" s="27" t="s">
        <v>6392</v>
      </c>
      <c r="C5" s="28">
        <v>1</v>
      </c>
      <c r="D5" s="29">
        <v>28.5</v>
      </c>
      <c r="E5" s="29">
        <v>28.5</v>
      </c>
      <c r="F5" s="30">
        <v>89</v>
      </c>
      <c r="G5" s="29">
        <v>89</v>
      </c>
      <c r="H5" s="28" t="s">
        <v>6393</v>
      </c>
      <c r="I5" s="27" t="s">
        <v>36</v>
      </c>
      <c r="J5" s="31" t="s">
        <v>216</v>
      </c>
      <c r="K5" s="27" t="s">
        <v>24</v>
      </c>
      <c r="L5" s="27" t="s">
        <v>485</v>
      </c>
      <c r="M5" s="32" t="str">
        <f>HYPERLINK("http://slimages.macys.com/is/image/MCY/3459667 ")</f>
        <v xml:space="preserve">http://slimages.macys.com/is/image/MCY/3459667 </v>
      </c>
    </row>
    <row r="6" spans="1:13" ht="15.2" customHeight="1" x14ac:dyDescent="0.2">
      <c r="A6" s="26" t="s">
        <v>6394</v>
      </c>
      <c r="B6" s="27" t="s">
        <v>6395</v>
      </c>
      <c r="C6" s="28">
        <v>1</v>
      </c>
      <c r="D6" s="29">
        <v>27</v>
      </c>
      <c r="E6" s="29">
        <v>27</v>
      </c>
      <c r="F6" s="30">
        <v>69.5</v>
      </c>
      <c r="G6" s="29">
        <v>69.5</v>
      </c>
      <c r="H6" s="28" t="s">
        <v>4333</v>
      </c>
      <c r="I6" s="27" t="s">
        <v>82</v>
      </c>
      <c r="J6" s="31" t="s">
        <v>71</v>
      </c>
      <c r="K6" s="27" t="s">
        <v>17</v>
      </c>
      <c r="L6" s="27" t="s">
        <v>18</v>
      </c>
      <c r="M6" s="32" t="str">
        <f>HYPERLINK("http://slimages.macys.com/is/image/MCY/3772981 ")</f>
        <v xml:space="preserve">http://slimages.macys.com/is/image/MCY/3772981 </v>
      </c>
    </row>
    <row r="7" spans="1:13" ht="15.2" customHeight="1" x14ac:dyDescent="0.2">
      <c r="A7" s="26" t="s">
        <v>1091</v>
      </c>
      <c r="B7" s="27" t="s">
        <v>1092</v>
      </c>
      <c r="C7" s="28">
        <v>1</v>
      </c>
      <c r="D7" s="29">
        <v>24.97</v>
      </c>
      <c r="E7" s="29">
        <v>24.97</v>
      </c>
      <c r="F7" s="30">
        <v>69.5</v>
      </c>
      <c r="G7" s="29">
        <v>69.5</v>
      </c>
      <c r="H7" s="28" t="s">
        <v>1093</v>
      </c>
      <c r="I7" s="27" t="s">
        <v>22</v>
      </c>
      <c r="J7" s="31" t="s">
        <v>52</v>
      </c>
      <c r="K7" s="27" t="s">
        <v>41</v>
      </c>
      <c r="L7" s="27" t="s">
        <v>45</v>
      </c>
      <c r="M7" s="32" t="str">
        <f>HYPERLINK("http://slimages.macys.com/is/image/MCY/2962546 ")</f>
        <v xml:space="preserve">http://slimages.macys.com/is/image/MCY/2962546 </v>
      </c>
    </row>
    <row r="8" spans="1:13" ht="15.2" customHeight="1" x14ac:dyDescent="0.2">
      <c r="A8" s="26" t="s">
        <v>2077</v>
      </c>
      <c r="B8" s="27" t="s">
        <v>2078</v>
      </c>
      <c r="C8" s="28">
        <v>1</v>
      </c>
      <c r="D8" s="29">
        <v>24.97</v>
      </c>
      <c r="E8" s="29">
        <v>24.97</v>
      </c>
      <c r="F8" s="30">
        <v>69.5</v>
      </c>
      <c r="G8" s="29">
        <v>69.5</v>
      </c>
      <c r="H8" s="28" t="s">
        <v>1093</v>
      </c>
      <c r="I8" s="27" t="s">
        <v>22</v>
      </c>
      <c r="J8" s="31" t="s">
        <v>21</v>
      </c>
      <c r="K8" s="27" t="s">
        <v>41</v>
      </c>
      <c r="L8" s="27" t="s">
        <v>45</v>
      </c>
      <c r="M8" s="32" t="str">
        <f>HYPERLINK("http://slimages.macys.com/is/image/MCY/2962546 ")</f>
        <v xml:space="preserve">http://slimages.macys.com/is/image/MCY/2962546 </v>
      </c>
    </row>
    <row r="9" spans="1:13" ht="15.2" customHeight="1" x14ac:dyDescent="0.2">
      <c r="A9" s="26" t="s">
        <v>1094</v>
      </c>
      <c r="B9" s="27" t="s">
        <v>1095</v>
      </c>
      <c r="C9" s="28">
        <v>1</v>
      </c>
      <c r="D9" s="29">
        <v>24.97</v>
      </c>
      <c r="E9" s="29">
        <v>24.97</v>
      </c>
      <c r="F9" s="30">
        <v>69.5</v>
      </c>
      <c r="G9" s="29">
        <v>69.5</v>
      </c>
      <c r="H9" s="28" t="s">
        <v>1093</v>
      </c>
      <c r="I9" s="27" t="s">
        <v>22</v>
      </c>
      <c r="J9" s="31" t="s">
        <v>5</v>
      </c>
      <c r="K9" s="27" t="s">
        <v>41</v>
      </c>
      <c r="L9" s="27" t="s">
        <v>45</v>
      </c>
      <c r="M9" s="32" t="str">
        <f>HYPERLINK("http://slimages.macys.com/is/image/MCY/2962546 ")</f>
        <v xml:space="preserve">http://slimages.macys.com/is/image/MCY/2962546 </v>
      </c>
    </row>
    <row r="10" spans="1:13" ht="15.2" customHeight="1" x14ac:dyDescent="0.2">
      <c r="A10" s="26" t="s">
        <v>6396</v>
      </c>
      <c r="B10" s="27" t="s">
        <v>6397</v>
      </c>
      <c r="C10" s="28">
        <v>1</v>
      </c>
      <c r="D10" s="29">
        <v>24.34</v>
      </c>
      <c r="E10" s="29">
        <v>24.34</v>
      </c>
      <c r="F10" s="30">
        <v>39.99</v>
      </c>
      <c r="G10" s="29">
        <v>39.99</v>
      </c>
      <c r="H10" s="28">
        <v>188810132</v>
      </c>
      <c r="I10" s="27" t="s">
        <v>1</v>
      </c>
      <c r="J10" s="31"/>
      <c r="K10" s="27" t="s">
        <v>2</v>
      </c>
      <c r="L10" s="27" t="s">
        <v>3</v>
      </c>
      <c r="M10" s="32" t="str">
        <f>HYPERLINK("http://slimages.macys.com/is/image/MCY/3727365 ")</f>
        <v xml:space="preserve">http://slimages.macys.com/is/image/MCY/3727365 </v>
      </c>
    </row>
    <row r="11" spans="1:13" ht="15.2" customHeight="1" x14ac:dyDescent="0.2">
      <c r="A11" s="26" t="s">
        <v>6398</v>
      </c>
      <c r="B11" s="27" t="s">
        <v>6399</v>
      </c>
      <c r="C11" s="28">
        <v>2</v>
      </c>
      <c r="D11" s="29">
        <v>24</v>
      </c>
      <c r="E11" s="29">
        <v>48</v>
      </c>
      <c r="F11" s="30">
        <v>69</v>
      </c>
      <c r="G11" s="29">
        <v>138</v>
      </c>
      <c r="H11" s="28" t="s">
        <v>2079</v>
      </c>
      <c r="I11" s="27" t="s">
        <v>94</v>
      </c>
      <c r="J11" s="31" t="s">
        <v>21</v>
      </c>
      <c r="K11" s="27" t="s">
        <v>37</v>
      </c>
      <c r="L11" s="27" t="s">
        <v>38</v>
      </c>
      <c r="M11" s="32" t="str">
        <f>HYPERLINK("http://slimages.macys.com/is/image/MCY/3801919 ")</f>
        <v xml:space="preserve">http://slimages.macys.com/is/image/MCY/3801919 </v>
      </c>
    </row>
    <row r="12" spans="1:13" ht="15.2" customHeight="1" x14ac:dyDescent="0.2">
      <c r="A12" s="26" t="s">
        <v>2812</v>
      </c>
      <c r="B12" s="27" t="s">
        <v>2813</v>
      </c>
      <c r="C12" s="28">
        <v>1</v>
      </c>
      <c r="D12" s="29">
        <v>23.25</v>
      </c>
      <c r="E12" s="29">
        <v>23.25</v>
      </c>
      <c r="F12" s="30">
        <v>69</v>
      </c>
      <c r="G12" s="29">
        <v>69</v>
      </c>
      <c r="H12" s="28" t="s">
        <v>2811</v>
      </c>
      <c r="I12" s="27" t="s">
        <v>4</v>
      </c>
      <c r="J12" s="31"/>
      <c r="K12" s="27" t="s">
        <v>24</v>
      </c>
      <c r="L12" s="27" t="s">
        <v>67</v>
      </c>
      <c r="M12" s="32" t="str">
        <f>HYPERLINK("http://slimages.macys.com/is/image/MCY/3761222 ")</f>
        <v xml:space="preserve">http://slimages.macys.com/is/image/MCY/3761222 </v>
      </c>
    </row>
    <row r="13" spans="1:13" ht="15.2" customHeight="1" x14ac:dyDescent="0.2">
      <c r="A13" s="26" t="s">
        <v>5993</v>
      </c>
      <c r="B13" s="27" t="s">
        <v>5994</v>
      </c>
      <c r="C13" s="28">
        <v>1</v>
      </c>
      <c r="D13" s="29">
        <v>23</v>
      </c>
      <c r="E13" s="29">
        <v>23</v>
      </c>
      <c r="F13" s="30">
        <v>69</v>
      </c>
      <c r="G13" s="29">
        <v>69</v>
      </c>
      <c r="H13" s="28" t="s">
        <v>5995</v>
      </c>
      <c r="I13" s="27" t="s">
        <v>36</v>
      </c>
      <c r="J13" s="31"/>
      <c r="K13" s="27" t="s">
        <v>24</v>
      </c>
      <c r="L13" s="27" t="s">
        <v>67</v>
      </c>
      <c r="M13" s="32" t="str">
        <f>HYPERLINK("http://slimages.macys.com/is/image/MCY/3876245 ")</f>
        <v xml:space="preserve">http://slimages.macys.com/is/image/MCY/3876245 </v>
      </c>
    </row>
    <row r="14" spans="1:13" ht="15.2" customHeight="1" x14ac:dyDescent="0.2">
      <c r="A14" s="26" t="s">
        <v>6400</v>
      </c>
      <c r="B14" s="27" t="s">
        <v>6401</v>
      </c>
      <c r="C14" s="28">
        <v>1</v>
      </c>
      <c r="D14" s="29">
        <v>22.5</v>
      </c>
      <c r="E14" s="29">
        <v>22.5</v>
      </c>
      <c r="F14" s="30">
        <v>69</v>
      </c>
      <c r="G14" s="29">
        <v>69</v>
      </c>
      <c r="H14" s="28" t="s">
        <v>6402</v>
      </c>
      <c r="I14" s="27" t="s">
        <v>4</v>
      </c>
      <c r="J14" s="31" t="s">
        <v>210</v>
      </c>
      <c r="K14" s="27" t="s">
        <v>24</v>
      </c>
      <c r="L14" s="27" t="s">
        <v>650</v>
      </c>
      <c r="M14" s="32" t="str">
        <f>HYPERLINK("http://slimages.macys.com/is/image/MCY/3712166 ")</f>
        <v xml:space="preserve">http://slimages.macys.com/is/image/MCY/3712166 </v>
      </c>
    </row>
    <row r="15" spans="1:13" ht="15.2" customHeight="1" x14ac:dyDescent="0.2">
      <c r="A15" s="26" t="s">
        <v>6403</v>
      </c>
      <c r="B15" s="27" t="s">
        <v>6404</v>
      </c>
      <c r="C15" s="28">
        <v>1</v>
      </c>
      <c r="D15" s="29">
        <v>22.4</v>
      </c>
      <c r="E15" s="29">
        <v>22.4</v>
      </c>
      <c r="F15" s="30">
        <v>64</v>
      </c>
      <c r="G15" s="29">
        <v>64</v>
      </c>
      <c r="H15" s="28" t="s">
        <v>6405</v>
      </c>
      <c r="I15" s="27" t="s">
        <v>2324</v>
      </c>
      <c r="J15" s="31" t="s">
        <v>71</v>
      </c>
      <c r="K15" s="27" t="s">
        <v>795</v>
      </c>
      <c r="L15" s="27" t="s">
        <v>796</v>
      </c>
      <c r="M15" s="32" t="str">
        <f>HYPERLINK("http://slimages.macys.com/is/image/MCY/3704449 ")</f>
        <v xml:space="preserve">http://slimages.macys.com/is/image/MCY/3704449 </v>
      </c>
    </row>
    <row r="16" spans="1:13" ht="15.2" customHeight="1" x14ac:dyDescent="0.2">
      <c r="A16" s="26" t="s">
        <v>5524</v>
      </c>
      <c r="B16" s="27" t="s">
        <v>5525</v>
      </c>
      <c r="C16" s="28">
        <v>1</v>
      </c>
      <c r="D16" s="29">
        <v>21.9</v>
      </c>
      <c r="E16" s="29">
        <v>21.9</v>
      </c>
      <c r="F16" s="30">
        <v>59.99</v>
      </c>
      <c r="G16" s="29">
        <v>59.99</v>
      </c>
      <c r="H16" s="28" t="s">
        <v>5526</v>
      </c>
      <c r="I16" s="27" t="s">
        <v>4</v>
      </c>
      <c r="J16" s="31" t="s">
        <v>71</v>
      </c>
      <c r="K16" s="27" t="s">
        <v>41</v>
      </c>
      <c r="L16" s="27" t="s">
        <v>45</v>
      </c>
      <c r="M16" s="32" t="str">
        <f>HYPERLINK("http://slimages.macys.com/is/image/MCY/3828708 ")</f>
        <v xml:space="preserve">http://slimages.macys.com/is/image/MCY/3828708 </v>
      </c>
    </row>
    <row r="17" spans="1:13" ht="15.2" customHeight="1" x14ac:dyDescent="0.2">
      <c r="A17" s="26" t="s">
        <v>4808</v>
      </c>
      <c r="B17" s="27" t="s">
        <v>4809</v>
      </c>
      <c r="C17" s="28">
        <v>1</v>
      </c>
      <c r="D17" s="29">
        <v>20.66</v>
      </c>
      <c r="E17" s="29">
        <v>20.66</v>
      </c>
      <c r="F17" s="30">
        <v>59.5</v>
      </c>
      <c r="G17" s="29">
        <v>59.5</v>
      </c>
      <c r="H17" s="28" t="s">
        <v>1117</v>
      </c>
      <c r="I17" s="27" t="s">
        <v>4</v>
      </c>
      <c r="J17" s="31" t="s">
        <v>52</v>
      </c>
      <c r="K17" s="27" t="s">
        <v>53</v>
      </c>
      <c r="L17" s="27" t="s">
        <v>54</v>
      </c>
      <c r="M17" s="32" t="str">
        <f>HYPERLINK("http://slimages.macys.com/is/image/MCY/2961936 ")</f>
        <v xml:space="preserve">http://slimages.macys.com/is/image/MCY/2961936 </v>
      </c>
    </row>
    <row r="18" spans="1:13" ht="15.2" customHeight="1" x14ac:dyDescent="0.2">
      <c r="A18" s="26" t="s">
        <v>1115</v>
      </c>
      <c r="B18" s="27" t="s">
        <v>1116</v>
      </c>
      <c r="C18" s="28">
        <v>1</v>
      </c>
      <c r="D18" s="29">
        <v>20.66</v>
      </c>
      <c r="E18" s="29">
        <v>20.66</v>
      </c>
      <c r="F18" s="30">
        <v>59.5</v>
      </c>
      <c r="G18" s="29">
        <v>59.5</v>
      </c>
      <c r="H18" s="28" t="s">
        <v>1117</v>
      </c>
      <c r="I18" s="27" t="s">
        <v>4</v>
      </c>
      <c r="J18" s="31" t="s">
        <v>65</v>
      </c>
      <c r="K18" s="27" t="s">
        <v>53</v>
      </c>
      <c r="L18" s="27" t="s">
        <v>54</v>
      </c>
      <c r="M18" s="32" t="str">
        <f>HYPERLINK("http://slimages.macys.com/is/image/MCY/2961936 ")</f>
        <v xml:space="preserve">http://slimages.macys.com/is/image/MCY/2961936 </v>
      </c>
    </row>
    <row r="19" spans="1:13" ht="15.2" customHeight="1" x14ac:dyDescent="0.2">
      <c r="A19" s="26" t="s">
        <v>6406</v>
      </c>
      <c r="B19" s="27" t="s">
        <v>6407</v>
      </c>
      <c r="C19" s="28">
        <v>1</v>
      </c>
      <c r="D19" s="29">
        <v>20.63</v>
      </c>
      <c r="E19" s="29">
        <v>20.63</v>
      </c>
      <c r="F19" s="30">
        <v>50.99</v>
      </c>
      <c r="G19" s="29">
        <v>50.99</v>
      </c>
      <c r="H19" s="28" t="s">
        <v>4438</v>
      </c>
      <c r="I19" s="27" t="s">
        <v>10</v>
      </c>
      <c r="J19" s="31" t="s">
        <v>5</v>
      </c>
      <c r="K19" s="27" t="s">
        <v>41</v>
      </c>
      <c r="L19" s="27" t="s">
        <v>45</v>
      </c>
      <c r="M19" s="32" t="str">
        <f>HYPERLINK("http://slimages.macys.com/is/image/MCY/3612234 ")</f>
        <v xml:space="preserve">http://slimages.macys.com/is/image/MCY/3612234 </v>
      </c>
    </row>
    <row r="20" spans="1:13" ht="15.2" customHeight="1" x14ac:dyDescent="0.2">
      <c r="A20" s="26" t="s">
        <v>4189</v>
      </c>
      <c r="B20" s="27" t="s">
        <v>4190</v>
      </c>
      <c r="C20" s="28">
        <v>1</v>
      </c>
      <c r="D20" s="29">
        <v>20.53</v>
      </c>
      <c r="E20" s="29">
        <v>20.53</v>
      </c>
      <c r="F20" s="30">
        <v>59.5</v>
      </c>
      <c r="G20" s="29">
        <v>59.5</v>
      </c>
      <c r="H20" s="28" t="s">
        <v>2560</v>
      </c>
      <c r="I20" s="27" t="s">
        <v>4</v>
      </c>
      <c r="J20" s="31" t="s">
        <v>21</v>
      </c>
      <c r="K20" s="27" t="s">
        <v>53</v>
      </c>
      <c r="L20" s="27" t="s">
        <v>54</v>
      </c>
      <c r="M20" s="32" t="str">
        <f>HYPERLINK("http://slimages.macys.com/is/image/MCY/3954903 ")</f>
        <v xml:space="preserve">http://slimages.macys.com/is/image/MCY/3954903 </v>
      </c>
    </row>
    <row r="21" spans="1:13" ht="15.2" customHeight="1" x14ac:dyDescent="0.2">
      <c r="A21" s="26" t="s">
        <v>6408</v>
      </c>
      <c r="B21" s="27" t="s">
        <v>6409</v>
      </c>
      <c r="C21" s="28">
        <v>1</v>
      </c>
      <c r="D21" s="29">
        <v>20.079999999999998</v>
      </c>
      <c r="E21" s="29">
        <v>20.079999999999998</v>
      </c>
      <c r="F21" s="30">
        <v>46.25</v>
      </c>
      <c r="G21" s="29">
        <v>46.25</v>
      </c>
      <c r="H21" s="28" t="s">
        <v>2564</v>
      </c>
      <c r="I21" s="27" t="s">
        <v>10</v>
      </c>
      <c r="J21" s="31" t="s">
        <v>69</v>
      </c>
      <c r="K21" s="27" t="s">
        <v>41</v>
      </c>
      <c r="L21" s="27" t="s">
        <v>45</v>
      </c>
      <c r="M21" s="32" t="str">
        <f>HYPERLINK("http://slimages.macys.com/is/image/MCY/3724372 ")</f>
        <v xml:space="preserve">http://slimages.macys.com/is/image/MCY/3724372 </v>
      </c>
    </row>
    <row r="22" spans="1:13" ht="15.2" customHeight="1" x14ac:dyDescent="0.2">
      <c r="A22" s="26" t="s">
        <v>6410</v>
      </c>
      <c r="B22" s="27" t="s">
        <v>6411</v>
      </c>
      <c r="C22" s="28">
        <v>1</v>
      </c>
      <c r="D22" s="29">
        <v>20</v>
      </c>
      <c r="E22" s="29">
        <v>20</v>
      </c>
      <c r="F22" s="30">
        <v>49.99</v>
      </c>
      <c r="G22" s="29">
        <v>49.99</v>
      </c>
      <c r="H22" s="28" t="s">
        <v>6412</v>
      </c>
      <c r="I22" s="27" t="s">
        <v>82</v>
      </c>
      <c r="J22" s="31"/>
      <c r="K22" s="27" t="s">
        <v>70</v>
      </c>
      <c r="L22" s="27" t="s">
        <v>67</v>
      </c>
      <c r="M22" s="32" t="str">
        <f>HYPERLINK("http://slimages.macys.com/is/image/MCY/3666158 ")</f>
        <v xml:space="preserve">http://slimages.macys.com/is/image/MCY/3666158 </v>
      </c>
    </row>
    <row r="23" spans="1:13" ht="15.2" customHeight="1" x14ac:dyDescent="0.2">
      <c r="A23" s="26" t="s">
        <v>6413</v>
      </c>
      <c r="B23" s="27" t="s">
        <v>6414</v>
      </c>
      <c r="C23" s="28">
        <v>1</v>
      </c>
      <c r="D23" s="29">
        <v>19.98</v>
      </c>
      <c r="E23" s="29">
        <v>19.98</v>
      </c>
      <c r="F23" s="30">
        <v>54</v>
      </c>
      <c r="G23" s="29">
        <v>54</v>
      </c>
      <c r="H23" s="28" t="s">
        <v>6415</v>
      </c>
      <c r="I23" s="27" t="s">
        <v>82</v>
      </c>
      <c r="J23" s="31" t="s">
        <v>21</v>
      </c>
      <c r="K23" s="27" t="s">
        <v>989</v>
      </c>
      <c r="L23" s="27" t="s">
        <v>990</v>
      </c>
      <c r="M23" s="32" t="str">
        <f>HYPERLINK("http://slimages.macys.com/is/image/MCY/3848640 ")</f>
        <v xml:space="preserve">http://slimages.macys.com/is/image/MCY/3848640 </v>
      </c>
    </row>
    <row r="24" spans="1:13" ht="15.2" customHeight="1" x14ac:dyDescent="0.2">
      <c r="A24" s="26" t="s">
        <v>6416</v>
      </c>
      <c r="B24" s="27" t="s">
        <v>6417</v>
      </c>
      <c r="C24" s="28">
        <v>1</v>
      </c>
      <c r="D24" s="29">
        <v>19.760000000000002</v>
      </c>
      <c r="E24" s="29">
        <v>19.760000000000002</v>
      </c>
      <c r="F24" s="30">
        <v>49.99</v>
      </c>
      <c r="G24" s="29">
        <v>49.99</v>
      </c>
      <c r="H24" s="28" t="s">
        <v>1122</v>
      </c>
      <c r="I24" s="27" t="s">
        <v>4</v>
      </c>
      <c r="J24" s="31" t="s">
        <v>71</v>
      </c>
      <c r="K24" s="27" t="s">
        <v>41</v>
      </c>
      <c r="L24" s="27" t="s">
        <v>45</v>
      </c>
      <c r="M24" s="32" t="str">
        <f>HYPERLINK("http://slimages.macys.com/is/image/MCY/3672029 ")</f>
        <v xml:space="preserve">http://slimages.macys.com/is/image/MCY/3672029 </v>
      </c>
    </row>
    <row r="25" spans="1:13" ht="15.2" customHeight="1" x14ac:dyDescent="0.2">
      <c r="A25" s="26" t="s">
        <v>6418</v>
      </c>
      <c r="B25" s="27" t="s">
        <v>6419</v>
      </c>
      <c r="C25" s="28">
        <v>1</v>
      </c>
      <c r="D25" s="29">
        <v>19.760000000000002</v>
      </c>
      <c r="E25" s="29">
        <v>19.760000000000002</v>
      </c>
      <c r="F25" s="30">
        <v>49.99</v>
      </c>
      <c r="G25" s="29">
        <v>49.99</v>
      </c>
      <c r="H25" s="28" t="s">
        <v>1122</v>
      </c>
      <c r="I25" s="27" t="s">
        <v>4</v>
      </c>
      <c r="J25" s="31" t="s">
        <v>52</v>
      </c>
      <c r="K25" s="27" t="s">
        <v>41</v>
      </c>
      <c r="L25" s="27" t="s">
        <v>45</v>
      </c>
      <c r="M25" s="32" t="str">
        <f>HYPERLINK("http://slimages.macys.com/is/image/MCY/3672029 ")</f>
        <v xml:space="preserve">http://slimages.macys.com/is/image/MCY/3672029 </v>
      </c>
    </row>
    <row r="26" spans="1:13" ht="15.2" customHeight="1" x14ac:dyDescent="0.2">
      <c r="A26" s="26" t="s">
        <v>6420</v>
      </c>
      <c r="B26" s="27" t="s">
        <v>6421</v>
      </c>
      <c r="C26" s="28">
        <v>1</v>
      </c>
      <c r="D26" s="29">
        <v>19.739999999999998</v>
      </c>
      <c r="E26" s="29">
        <v>19.739999999999998</v>
      </c>
      <c r="F26" s="30">
        <v>50.99</v>
      </c>
      <c r="G26" s="29">
        <v>50.99</v>
      </c>
      <c r="H26" s="28" t="s">
        <v>6422</v>
      </c>
      <c r="I26" s="27" t="s">
        <v>2324</v>
      </c>
      <c r="J26" s="31" t="s">
        <v>172</v>
      </c>
      <c r="K26" s="27" t="s">
        <v>41</v>
      </c>
      <c r="L26" s="27" t="s">
        <v>68</v>
      </c>
      <c r="M26" s="32" t="str">
        <f>HYPERLINK("http://slimages.macys.com/is/image/MCY/3698389 ")</f>
        <v xml:space="preserve">http://slimages.macys.com/is/image/MCY/3698389 </v>
      </c>
    </row>
    <row r="27" spans="1:13" ht="15.2" customHeight="1" x14ac:dyDescent="0.2">
      <c r="A27" s="26" t="s">
        <v>2087</v>
      </c>
      <c r="B27" s="27" t="s">
        <v>2088</v>
      </c>
      <c r="C27" s="28">
        <v>1</v>
      </c>
      <c r="D27" s="29">
        <v>19.22</v>
      </c>
      <c r="E27" s="29">
        <v>19.22</v>
      </c>
      <c r="F27" s="30">
        <v>54.5</v>
      </c>
      <c r="G27" s="29">
        <v>54.5</v>
      </c>
      <c r="H27" s="28" t="s">
        <v>2089</v>
      </c>
      <c r="I27" s="27" t="s">
        <v>82</v>
      </c>
      <c r="J27" s="31"/>
      <c r="K27" s="27" t="s">
        <v>12</v>
      </c>
      <c r="L27" s="27" t="s">
        <v>13</v>
      </c>
      <c r="M27" s="32" t="str">
        <f>HYPERLINK("http://slimages.macys.com/is/image/MCY/3718627 ")</f>
        <v xml:space="preserve">http://slimages.macys.com/is/image/MCY/3718627 </v>
      </c>
    </row>
    <row r="28" spans="1:13" ht="15.2" customHeight="1" x14ac:dyDescent="0.2">
      <c r="A28" s="26" t="s">
        <v>4810</v>
      </c>
      <c r="B28" s="27" t="s">
        <v>4811</v>
      </c>
      <c r="C28" s="28">
        <v>1</v>
      </c>
      <c r="D28" s="29">
        <v>19.059999999999999</v>
      </c>
      <c r="E28" s="29">
        <v>19.059999999999999</v>
      </c>
      <c r="F28" s="30">
        <v>59.5</v>
      </c>
      <c r="G28" s="29">
        <v>59.5</v>
      </c>
      <c r="H28" s="28" t="s">
        <v>4812</v>
      </c>
      <c r="I28" s="27" t="s">
        <v>4</v>
      </c>
      <c r="J28" s="31" t="s">
        <v>21</v>
      </c>
      <c r="K28" s="27" t="s">
        <v>53</v>
      </c>
      <c r="L28" s="27" t="s">
        <v>54</v>
      </c>
      <c r="M28" s="32" t="str">
        <f>HYPERLINK("http://slimages.macys.com/is/image/MCY/3159238 ")</f>
        <v xml:space="preserve">http://slimages.macys.com/is/image/MCY/3159238 </v>
      </c>
    </row>
    <row r="29" spans="1:13" ht="15.2" customHeight="1" x14ac:dyDescent="0.2">
      <c r="A29" s="26" t="s">
        <v>6423</v>
      </c>
      <c r="B29" s="27" t="s">
        <v>6424</v>
      </c>
      <c r="C29" s="28">
        <v>1</v>
      </c>
      <c r="D29" s="29">
        <v>19.059999999999999</v>
      </c>
      <c r="E29" s="29">
        <v>19.059999999999999</v>
      </c>
      <c r="F29" s="30">
        <v>59.5</v>
      </c>
      <c r="G29" s="29">
        <v>59.5</v>
      </c>
      <c r="H29" s="28" t="s">
        <v>4812</v>
      </c>
      <c r="I29" s="27" t="s">
        <v>4</v>
      </c>
      <c r="J29" s="31" t="s">
        <v>65</v>
      </c>
      <c r="K29" s="27" t="s">
        <v>53</v>
      </c>
      <c r="L29" s="27" t="s">
        <v>54</v>
      </c>
      <c r="M29" s="32" t="str">
        <f>HYPERLINK("http://slimages.macys.com/is/image/MCY/3159238 ")</f>
        <v xml:space="preserve">http://slimages.macys.com/is/image/MCY/3159238 </v>
      </c>
    </row>
    <row r="30" spans="1:13" ht="15.2" customHeight="1" x14ac:dyDescent="0.2">
      <c r="A30" s="26" t="s">
        <v>5413</v>
      </c>
      <c r="B30" s="27" t="s">
        <v>5414</v>
      </c>
      <c r="C30" s="28">
        <v>2</v>
      </c>
      <c r="D30" s="29">
        <v>18.989999999999998</v>
      </c>
      <c r="E30" s="29">
        <v>37.979999999999997</v>
      </c>
      <c r="F30" s="30">
        <v>43.5</v>
      </c>
      <c r="G30" s="29">
        <v>87</v>
      </c>
      <c r="H30" s="28" t="s">
        <v>1126</v>
      </c>
      <c r="I30" s="27" t="s">
        <v>94</v>
      </c>
      <c r="J30" s="31" t="s">
        <v>214</v>
      </c>
      <c r="K30" s="27" t="s">
        <v>41</v>
      </c>
      <c r="L30" s="27" t="s">
        <v>45</v>
      </c>
      <c r="M30" s="32" t="str">
        <f>HYPERLINK("http://slimages.macys.com/is/image/MCY/3721274 ")</f>
        <v xml:space="preserve">http://slimages.macys.com/is/image/MCY/3721274 </v>
      </c>
    </row>
    <row r="31" spans="1:13" ht="15.2" customHeight="1" x14ac:dyDescent="0.2">
      <c r="A31" s="26" t="s">
        <v>4748</v>
      </c>
      <c r="B31" s="27" t="s">
        <v>4749</v>
      </c>
      <c r="C31" s="28">
        <v>1</v>
      </c>
      <c r="D31" s="29">
        <v>18.989999999999998</v>
      </c>
      <c r="E31" s="29">
        <v>18.989999999999998</v>
      </c>
      <c r="F31" s="30">
        <v>43.5</v>
      </c>
      <c r="G31" s="29">
        <v>43.5</v>
      </c>
      <c r="H31" s="28" t="s">
        <v>1126</v>
      </c>
      <c r="I31" s="27" t="s">
        <v>94</v>
      </c>
      <c r="J31" s="31" t="s">
        <v>230</v>
      </c>
      <c r="K31" s="27" t="s">
        <v>41</v>
      </c>
      <c r="L31" s="27" t="s">
        <v>45</v>
      </c>
      <c r="M31" s="32" t="str">
        <f>HYPERLINK("http://slimages.macys.com/is/image/MCY/3721274 ")</f>
        <v xml:space="preserve">http://slimages.macys.com/is/image/MCY/3721274 </v>
      </c>
    </row>
    <row r="32" spans="1:13" ht="15.2" customHeight="1" x14ac:dyDescent="0.2">
      <c r="A32" s="26" t="s">
        <v>1124</v>
      </c>
      <c r="B32" s="27" t="s">
        <v>1125</v>
      </c>
      <c r="C32" s="28">
        <v>1</v>
      </c>
      <c r="D32" s="29">
        <v>18.989999999999998</v>
      </c>
      <c r="E32" s="29">
        <v>18.989999999999998</v>
      </c>
      <c r="F32" s="30">
        <v>43.5</v>
      </c>
      <c r="G32" s="29">
        <v>43.5</v>
      </c>
      <c r="H32" s="28" t="s">
        <v>1126</v>
      </c>
      <c r="I32" s="27" t="s">
        <v>94</v>
      </c>
      <c r="J32" s="31" t="s">
        <v>113</v>
      </c>
      <c r="K32" s="27" t="s">
        <v>41</v>
      </c>
      <c r="L32" s="27" t="s">
        <v>45</v>
      </c>
      <c r="M32" s="32" t="str">
        <f>HYPERLINK("http://slimages.macys.com/is/image/MCY/3721274 ")</f>
        <v xml:space="preserve">http://slimages.macys.com/is/image/MCY/3721274 </v>
      </c>
    </row>
    <row r="33" spans="1:13" ht="15.2" customHeight="1" x14ac:dyDescent="0.2">
      <c r="A33" s="26" t="s">
        <v>3152</v>
      </c>
      <c r="B33" s="27" t="s">
        <v>3153</v>
      </c>
      <c r="C33" s="28">
        <v>1</v>
      </c>
      <c r="D33" s="29">
        <v>18.989999999999998</v>
      </c>
      <c r="E33" s="29">
        <v>18.989999999999998</v>
      </c>
      <c r="F33" s="30">
        <v>43.5</v>
      </c>
      <c r="G33" s="29">
        <v>43.5</v>
      </c>
      <c r="H33" s="28" t="s">
        <v>1126</v>
      </c>
      <c r="I33" s="27" t="s">
        <v>94</v>
      </c>
      <c r="J33" s="31" t="s">
        <v>216</v>
      </c>
      <c r="K33" s="27" t="s">
        <v>41</v>
      </c>
      <c r="L33" s="27" t="s">
        <v>45</v>
      </c>
      <c r="M33" s="32" t="str">
        <f>HYPERLINK("http://slimages.macys.com/is/image/MCY/3721274 ")</f>
        <v xml:space="preserve">http://slimages.macys.com/is/image/MCY/3721274 </v>
      </c>
    </row>
    <row r="34" spans="1:13" ht="15.2" customHeight="1" x14ac:dyDescent="0.2">
      <c r="A34" s="26" t="s">
        <v>6425</v>
      </c>
      <c r="B34" s="27" t="s">
        <v>6426</v>
      </c>
      <c r="C34" s="28">
        <v>1</v>
      </c>
      <c r="D34" s="29">
        <v>18.82</v>
      </c>
      <c r="E34" s="29">
        <v>18.82</v>
      </c>
      <c r="F34" s="30">
        <v>50.99</v>
      </c>
      <c r="G34" s="29">
        <v>50.99</v>
      </c>
      <c r="H34" s="28" t="s">
        <v>6427</v>
      </c>
      <c r="I34" s="27" t="s">
        <v>107</v>
      </c>
      <c r="J34" s="31" t="s">
        <v>52</v>
      </c>
      <c r="K34" s="27" t="s">
        <v>41</v>
      </c>
      <c r="L34" s="27" t="s">
        <v>45</v>
      </c>
      <c r="M34" s="32" t="str">
        <f>HYPERLINK("http://slimages.macys.com/is/image/MCY/3598853 ")</f>
        <v xml:space="preserve">http://slimages.macys.com/is/image/MCY/3598853 </v>
      </c>
    </row>
    <row r="35" spans="1:13" ht="15.2" customHeight="1" x14ac:dyDescent="0.2">
      <c r="A35" s="26" t="s">
        <v>6428</v>
      </c>
      <c r="B35" s="27" t="s">
        <v>6429</v>
      </c>
      <c r="C35" s="28">
        <v>1</v>
      </c>
      <c r="D35" s="29">
        <v>18.75</v>
      </c>
      <c r="E35" s="29">
        <v>18.75</v>
      </c>
      <c r="F35" s="30">
        <v>59</v>
      </c>
      <c r="G35" s="29">
        <v>59</v>
      </c>
      <c r="H35" s="28" t="s">
        <v>74</v>
      </c>
      <c r="I35" s="27" t="s">
        <v>144</v>
      </c>
      <c r="J35" s="31"/>
      <c r="K35" s="27" t="s">
        <v>37</v>
      </c>
      <c r="L35" s="27" t="s">
        <v>38</v>
      </c>
      <c r="M35" s="32" t="str">
        <f>HYPERLINK("http://slimages.macys.com/is/image/MCY/3937226 ")</f>
        <v xml:space="preserve">http://slimages.macys.com/is/image/MCY/3937226 </v>
      </c>
    </row>
    <row r="36" spans="1:13" ht="15.2" customHeight="1" x14ac:dyDescent="0.2">
      <c r="A36" s="26" t="s">
        <v>4602</v>
      </c>
      <c r="B36" s="27" t="s">
        <v>4603</v>
      </c>
      <c r="C36" s="28">
        <v>1</v>
      </c>
      <c r="D36" s="29">
        <v>18.75</v>
      </c>
      <c r="E36" s="29">
        <v>18.75</v>
      </c>
      <c r="F36" s="30">
        <v>59</v>
      </c>
      <c r="G36" s="29">
        <v>59</v>
      </c>
      <c r="H36" s="28" t="s">
        <v>74</v>
      </c>
      <c r="I36" s="27" t="s">
        <v>75</v>
      </c>
      <c r="J36" s="31"/>
      <c r="K36" s="27" t="s">
        <v>37</v>
      </c>
      <c r="L36" s="27" t="s">
        <v>38</v>
      </c>
      <c r="M36" s="32" t="str">
        <f>HYPERLINK("http://slimages.macys.com/is/image/MCY/3937226 ")</f>
        <v xml:space="preserve">http://slimages.macys.com/is/image/MCY/3937226 </v>
      </c>
    </row>
    <row r="37" spans="1:13" ht="15.2" customHeight="1" x14ac:dyDescent="0.2">
      <c r="A37" s="26" t="s">
        <v>1139</v>
      </c>
      <c r="B37" s="27" t="s">
        <v>1140</v>
      </c>
      <c r="C37" s="28">
        <v>1</v>
      </c>
      <c r="D37" s="29">
        <v>18.23</v>
      </c>
      <c r="E37" s="29">
        <v>18.23</v>
      </c>
      <c r="F37" s="30">
        <v>49.99</v>
      </c>
      <c r="G37" s="29">
        <v>49.99</v>
      </c>
      <c r="H37" s="28" t="s">
        <v>79</v>
      </c>
      <c r="I37" s="27" t="s">
        <v>20</v>
      </c>
      <c r="J37" s="31" t="s">
        <v>5</v>
      </c>
      <c r="K37" s="27" t="s">
        <v>41</v>
      </c>
      <c r="L37" s="27" t="s">
        <v>80</v>
      </c>
      <c r="M37" s="32" t="str">
        <f>HYPERLINK("http://slimages.macys.com/is/image/MCY/3954963 ")</f>
        <v xml:space="preserve">http://slimages.macys.com/is/image/MCY/3954963 </v>
      </c>
    </row>
    <row r="38" spans="1:13" ht="15.2" customHeight="1" x14ac:dyDescent="0.2">
      <c r="A38" s="26" t="s">
        <v>1137</v>
      </c>
      <c r="B38" s="27" t="s">
        <v>1138</v>
      </c>
      <c r="C38" s="28">
        <v>1</v>
      </c>
      <c r="D38" s="29">
        <v>18.23</v>
      </c>
      <c r="E38" s="29">
        <v>18.23</v>
      </c>
      <c r="F38" s="30">
        <v>49.99</v>
      </c>
      <c r="G38" s="29">
        <v>49.99</v>
      </c>
      <c r="H38" s="28" t="s">
        <v>79</v>
      </c>
      <c r="I38" s="27" t="s">
        <v>20</v>
      </c>
      <c r="J38" s="31" t="s">
        <v>40</v>
      </c>
      <c r="K38" s="27" t="s">
        <v>41</v>
      </c>
      <c r="L38" s="27" t="s">
        <v>80</v>
      </c>
      <c r="M38" s="32" t="str">
        <f>HYPERLINK("http://slimages.macys.com/is/image/MCY/3954963 ")</f>
        <v xml:space="preserve">http://slimages.macys.com/is/image/MCY/3954963 </v>
      </c>
    </row>
    <row r="39" spans="1:13" ht="15.2" customHeight="1" x14ac:dyDescent="0.2">
      <c r="A39" s="26" t="s">
        <v>2576</v>
      </c>
      <c r="B39" s="27" t="s">
        <v>2577</v>
      </c>
      <c r="C39" s="28">
        <v>1</v>
      </c>
      <c r="D39" s="29">
        <v>18.23</v>
      </c>
      <c r="E39" s="29">
        <v>18.23</v>
      </c>
      <c r="F39" s="30">
        <v>49.99</v>
      </c>
      <c r="G39" s="29">
        <v>49.99</v>
      </c>
      <c r="H39" s="28" t="s">
        <v>79</v>
      </c>
      <c r="I39" s="27" t="s">
        <v>20</v>
      </c>
      <c r="J39" s="31" t="s">
        <v>21</v>
      </c>
      <c r="K39" s="27" t="s">
        <v>41</v>
      </c>
      <c r="L39" s="27" t="s">
        <v>80</v>
      </c>
      <c r="M39" s="32" t="str">
        <f>HYPERLINK("http://slimages.macys.com/is/image/MCY/3954963 ")</f>
        <v xml:space="preserve">http://slimages.macys.com/is/image/MCY/3954963 </v>
      </c>
    </row>
    <row r="40" spans="1:13" ht="15.2" customHeight="1" x14ac:dyDescent="0.2">
      <c r="A40" s="26" t="s">
        <v>6430</v>
      </c>
      <c r="B40" s="27" t="s">
        <v>6431</v>
      </c>
      <c r="C40" s="28">
        <v>1</v>
      </c>
      <c r="D40" s="29">
        <v>18.07</v>
      </c>
      <c r="E40" s="29">
        <v>18.07</v>
      </c>
      <c r="F40" s="30">
        <v>49.5</v>
      </c>
      <c r="G40" s="29">
        <v>49.5</v>
      </c>
      <c r="H40" s="28" t="s">
        <v>5959</v>
      </c>
      <c r="I40" s="27" t="s">
        <v>64</v>
      </c>
      <c r="J40" s="31" t="s">
        <v>5</v>
      </c>
      <c r="K40" s="27" t="s">
        <v>41</v>
      </c>
      <c r="L40" s="27" t="s">
        <v>45</v>
      </c>
      <c r="M40" s="32" t="str">
        <f>HYPERLINK("http://slimages.macys.com/is/image/MCY/3905605 ")</f>
        <v xml:space="preserve">http://slimages.macys.com/is/image/MCY/3905605 </v>
      </c>
    </row>
    <row r="41" spans="1:13" ht="15.2" customHeight="1" x14ac:dyDescent="0.2">
      <c r="A41" s="26" t="s">
        <v>5960</v>
      </c>
      <c r="B41" s="27" t="s">
        <v>5961</v>
      </c>
      <c r="C41" s="28">
        <v>1</v>
      </c>
      <c r="D41" s="29">
        <v>18</v>
      </c>
      <c r="E41" s="29">
        <v>18</v>
      </c>
      <c r="F41" s="30">
        <v>69</v>
      </c>
      <c r="G41" s="29">
        <v>69</v>
      </c>
      <c r="H41" s="28" t="s">
        <v>5962</v>
      </c>
      <c r="I41" s="27" t="s">
        <v>207</v>
      </c>
      <c r="J41" s="31" t="s">
        <v>21</v>
      </c>
      <c r="K41" s="27" t="s">
        <v>37</v>
      </c>
      <c r="L41" s="27" t="s">
        <v>38</v>
      </c>
      <c r="M41" s="32" t="str">
        <f>HYPERLINK("http://slimages.macys.com/is/image/MCY/3670374 ")</f>
        <v xml:space="preserve">http://slimages.macys.com/is/image/MCY/3670374 </v>
      </c>
    </row>
    <row r="42" spans="1:13" ht="15.2" customHeight="1" x14ac:dyDescent="0.2">
      <c r="A42" s="26" t="s">
        <v>6432</v>
      </c>
      <c r="B42" s="27" t="s">
        <v>6433</v>
      </c>
      <c r="C42" s="28">
        <v>1</v>
      </c>
      <c r="D42" s="29">
        <v>17.98</v>
      </c>
      <c r="E42" s="29">
        <v>17.98</v>
      </c>
      <c r="F42" s="30">
        <v>40</v>
      </c>
      <c r="G42" s="29">
        <v>40</v>
      </c>
      <c r="H42" s="28" t="s">
        <v>6434</v>
      </c>
      <c r="I42" s="27" t="s">
        <v>59</v>
      </c>
      <c r="J42" s="31" t="s">
        <v>760</v>
      </c>
      <c r="K42" s="27" t="s">
        <v>42</v>
      </c>
      <c r="L42" s="27" t="s">
        <v>761</v>
      </c>
      <c r="M42" s="32" t="str">
        <f>HYPERLINK("http://slimages.macys.com/is/image/MCY/3632959 ")</f>
        <v xml:space="preserve">http://slimages.macys.com/is/image/MCY/3632959 </v>
      </c>
    </row>
    <row r="43" spans="1:13" ht="15.2" customHeight="1" x14ac:dyDescent="0.2">
      <c r="A43" s="26" t="s">
        <v>6380</v>
      </c>
      <c r="B43" s="27" t="s">
        <v>6381</v>
      </c>
      <c r="C43" s="28">
        <v>1</v>
      </c>
      <c r="D43" s="29">
        <v>17.850000000000001</v>
      </c>
      <c r="E43" s="29">
        <v>17.850000000000001</v>
      </c>
      <c r="F43" s="30">
        <v>59.5</v>
      </c>
      <c r="G43" s="29">
        <v>59.5</v>
      </c>
      <c r="H43" s="28">
        <v>49022881</v>
      </c>
      <c r="I43" s="27" t="s">
        <v>4</v>
      </c>
      <c r="J43" s="31" t="s">
        <v>21</v>
      </c>
      <c r="K43" s="27" t="s">
        <v>6</v>
      </c>
      <c r="L43" s="27" t="s">
        <v>7</v>
      </c>
      <c r="M43" s="32" t="str">
        <f>HYPERLINK("http://slimages.macys.com/is/image/MCY/3939797 ")</f>
        <v xml:space="preserve">http://slimages.macys.com/is/image/MCY/3939797 </v>
      </c>
    </row>
    <row r="44" spans="1:13" ht="15.2" customHeight="1" x14ac:dyDescent="0.2">
      <c r="A44" s="26" t="s">
        <v>6435</v>
      </c>
      <c r="B44" s="27" t="s">
        <v>6436</v>
      </c>
      <c r="C44" s="28">
        <v>1</v>
      </c>
      <c r="D44" s="29">
        <v>17.59</v>
      </c>
      <c r="E44" s="29">
        <v>17.59</v>
      </c>
      <c r="F44" s="30">
        <v>49.5</v>
      </c>
      <c r="G44" s="29">
        <v>49.5</v>
      </c>
      <c r="H44" s="28" t="s">
        <v>698</v>
      </c>
      <c r="I44" s="27" t="s">
        <v>22</v>
      </c>
      <c r="J44" s="31" t="s">
        <v>30</v>
      </c>
      <c r="K44" s="27" t="s">
        <v>12</v>
      </c>
      <c r="L44" s="27" t="s">
        <v>90</v>
      </c>
      <c r="M44" s="32" t="str">
        <f>HYPERLINK("http://slimages.macys.com/is/image/MCY/3922404 ")</f>
        <v xml:space="preserve">http://slimages.macys.com/is/image/MCY/3922404 </v>
      </c>
    </row>
    <row r="45" spans="1:13" ht="15.2" customHeight="1" x14ac:dyDescent="0.2">
      <c r="A45" s="26" t="s">
        <v>114</v>
      </c>
      <c r="B45" s="27" t="s">
        <v>115</v>
      </c>
      <c r="C45" s="28">
        <v>1</v>
      </c>
      <c r="D45" s="29">
        <v>17.25</v>
      </c>
      <c r="E45" s="29">
        <v>17.25</v>
      </c>
      <c r="F45" s="30">
        <v>49</v>
      </c>
      <c r="G45" s="29">
        <v>49</v>
      </c>
      <c r="H45" s="28" t="s">
        <v>116</v>
      </c>
      <c r="I45" s="27" t="s">
        <v>36</v>
      </c>
      <c r="J45" s="31" t="s">
        <v>21</v>
      </c>
      <c r="K45" s="27" t="s">
        <v>37</v>
      </c>
      <c r="L45" s="27" t="s">
        <v>38</v>
      </c>
      <c r="M45" s="32" t="str">
        <f>HYPERLINK("http://slimages.macys.com/is/image/MCY/3820526 ")</f>
        <v xml:space="preserve">http://slimages.macys.com/is/image/MCY/3820526 </v>
      </c>
    </row>
    <row r="46" spans="1:13" ht="15.2" customHeight="1" x14ac:dyDescent="0.2">
      <c r="A46" s="26" t="s">
        <v>6437</v>
      </c>
      <c r="B46" s="27" t="s">
        <v>6438</v>
      </c>
      <c r="C46" s="28">
        <v>1</v>
      </c>
      <c r="D46" s="29">
        <v>17.25</v>
      </c>
      <c r="E46" s="29">
        <v>17.25</v>
      </c>
      <c r="F46" s="30">
        <v>49</v>
      </c>
      <c r="G46" s="29">
        <v>49</v>
      </c>
      <c r="H46" s="28" t="s">
        <v>6439</v>
      </c>
      <c r="I46" s="27" t="s">
        <v>75</v>
      </c>
      <c r="J46" s="31" t="s">
        <v>40</v>
      </c>
      <c r="K46" s="27" t="s">
        <v>37</v>
      </c>
      <c r="L46" s="27" t="s">
        <v>38</v>
      </c>
      <c r="M46" s="32" t="str">
        <f>HYPERLINK("http://slimages.macys.com/is/image/MCY/3937236 ")</f>
        <v xml:space="preserve">http://slimages.macys.com/is/image/MCY/3937236 </v>
      </c>
    </row>
    <row r="47" spans="1:13" ht="15.2" customHeight="1" x14ac:dyDescent="0.2">
      <c r="A47" s="26" t="s">
        <v>6440</v>
      </c>
      <c r="B47" s="27" t="s">
        <v>6441</v>
      </c>
      <c r="C47" s="28">
        <v>1</v>
      </c>
      <c r="D47" s="29">
        <v>16.5</v>
      </c>
      <c r="E47" s="29">
        <v>16.5</v>
      </c>
      <c r="F47" s="30">
        <v>59</v>
      </c>
      <c r="G47" s="29">
        <v>59</v>
      </c>
      <c r="H47" s="28" t="s">
        <v>3745</v>
      </c>
      <c r="I47" s="27" t="s">
        <v>1</v>
      </c>
      <c r="J47" s="31" t="s">
        <v>32</v>
      </c>
      <c r="K47" s="27" t="s">
        <v>132</v>
      </c>
      <c r="L47" s="27" t="s">
        <v>254</v>
      </c>
      <c r="M47" s="32" t="str">
        <f>HYPERLINK("http://slimages.macys.com/is/image/MCY/3931840 ")</f>
        <v xml:space="preserve">http://slimages.macys.com/is/image/MCY/3931840 </v>
      </c>
    </row>
    <row r="48" spans="1:13" ht="15.2" customHeight="1" x14ac:dyDescent="0.2">
      <c r="A48" s="26" t="s">
        <v>1756</v>
      </c>
      <c r="B48" s="27" t="s">
        <v>1757</v>
      </c>
      <c r="C48" s="28">
        <v>3</v>
      </c>
      <c r="D48" s="29">
        <v>16.239999999999998</v>
      </c>
      <c r="E48" s="29">
        <v>48.72</v>
      </c>
      <c r="F48" s="30">
        <v>44.5</v>
      </c>
      <c r="G48" s="29">
        <v>133.5</v>
      </c>
      <c r="H48" s="28" t="s">
        <v>141</v>
      </c>
      <c r="I48" s="27" t="s">
        <v>22</v>
      </c>
      <c r="J48" s="31" t="s">
        <v>5</v>
      </c>
      <c r="K48" s="27" t="s">
        <v>41</v>
      </c>
      <c r="L48" s="27" t="s">
        <v>45</v>
      </c>
      <c r="M48" s="32" t="str">
        <f>HYPERLINK("http://slimages.macys.com/is/image/MCY/3802073 ")</f>
        <v xml:space="preserve">http://slimages.macys.com/is/image/MCY/3802073 </v>
      </c>
    </row>
    <row r="49" spans="1:13" ht="15.2" customHeight="1" x14ac:dyDescent="0.2">
      <c r="A49" s="26" t="s">
        <v>4340</v>
      </c>
      <c r="B49" s="27" t="s">
        <v>4341</v>
      </c>
      <c r="C49" s="28">
        <v>1</v>
      </c>
      <c r="D49" s="29">
        <v>16.239999999999998</v>
      </c>
      <c r="E49" s="29">
        <v>16.239999999999998</v>
      </c>
      <c r="F49" s="30">
        <v>44.5</v>
      </c>
      <c r="G49" s="29">
        <v>44.5</v>
      </c>
      <c r="H49" s="28" t="s">
        <v>2593</v>
      </c>
      <c r="I49" s="27" t="s">
        <v>4</v>
      </c>
      <c r="J49" s="31" t="s">
        <v>52</v>
      </c>
      <c r="K49" s="27" t="s">
        <v>53</v>
      </c>
      <c r="L49" s="27" t="s">
        <v>167</v>
      </c>
      <c r="M49" s="32" t="str">
        <f>HYPERLINK("http://slimages.macys.com/is/image/MCY/3954897 ")</f>
        <v xml:space="preserve">http://slimages.macys.com/is/image/MCY/3954897 </v>
      </c>
    </row>
    <row r="50" spans="1:13" ht="15.2" customHeight="1" x14ac:dyDescent="0.2">
      <c r="A50" s="26" t="s">
        <v>702</v>
      </c>
      <c r="B50" s="27" t="s">
        <v>703</v>
      </c>
      <c r="C50" s="28">
        <v>1</v>
      </c>
      <c r="D50" s="29">
        <v>16.239999999999998</v>
      </c>
      <c r="E50" s="29">
        <v>16.239999999999998</v>
      </c>
      <c r="F50" s="30">
        <v>44.5</v>
      </c>
      <c r="G50" s="29">
        <v>44.5</v>
      </c>
      <c r="H50" s="28" t="s">
        <v>141</v>
      </c>
      <c r="I50" s="27" t="s">
        <v>22</v>
      </c>
      <c r="J50" s="31" t="s">
        <v>65</v>
      </c>
      <c r="K50" s="27" t="s">
        <v>41</v>
      </c>
      <c r="L50" s="27" t="s">
        <v>45</v>
      </c>
      <c r="M50" s="32" t="str">
        <f>HYPERLINK("http://slimages.macys.com/is/image/MCY/3802073 ")</f>
        <v xml:space="preserve">http://slimages.macys.com/is/image/MCY/3802073 </v>
      </c>
    </row>
    <row r="51" spans="1:13" ht="15.2" customHeight="1" x14ac:dyDescent="0.2">
      <c r="A51" s="26" t="s">
        <v>1754</v>
      </c>
      <c r="B51" s="27" t="s">
        <v>1755</v>
      </c>
      <c r="C51" s="28">
        <v>1</v>
      </c>
      <c r="D51" s="29">
        <v>16.239999999999998</v>
      </c>
      <c r="E51" s="29">
        <v>16.239999999999998</v>
      </c>
      <c r="F51" s="30">
        <v>44.5</v>
      </c>
      <c r="G51" s="29">
        <v>44.5</v>
      </c>
      <c r="H51" s="28" t="s">
        <v>141</v>
      </c>
      <c r="I51" s="27" t="s">
        <v>22</v>
      </c>
      <c r="J51" s="31" t="s">
        <v>21</v>
      </c>
      <c r="K51" s="27" t="s">
        <v>41</v>
      </c>
      <c r="L51" s="27" t="s">
        <v>45</v>
      </c>
      <c r="M51" s="32" t="str">
        <f>HYPERLINK("http://slimages.macys.com/is/image/MCY/3802073 ")</f>
        <v xml:space="preserve">http://slimages.macys.com/is/image/MCY/3802073 </v>
      </c>
    </row>
    <row r="52" spans="1:13" ht="15.2" customHeight="1" x14ac:dyDescent="0.2">
      <c r="A52" s="26" t="s">
        <v>2108</v>
      </c>
      <c r="B52" s="27" t="s">
        <v>2109</v>
      </c>
      <c r="C52" s="28">
        <v>1</v>
      </c>
      <c r="D52" s="29">
        <v>16.239999999999998</v>
      </c>
      <c r="E52" s="29">
        <v>16.239999999999998</v>
      </c>
      <c r="F52" s="30">
        <v>44.5</v>
      </c>
      <c r="G52" s="29">
        <v>44.5</v>
      </c>
      <c r="H52" s="28" t="s">
        <v>141</v>
      </c>
      <c r="I52" s="27" t="s">
        <v>22</v>
      </c>
      <c r="J52" s="31" t="s">
        <v>52</v>
      </c>
      <c r="K52" s="27" t="s">
        <v>41</v>
      </c>
      <c r="L52" s="27" t="s">
        <v>45</v>
      </c>
      <c r="M52" s="32" t="str">
        <f>HYPERLINK("http://slimages.macys.com/is/image/MCY/3802073 ")</f>
        <v xml:space="preserve">http://slimages.macys.com/is/image/MCY/3802073 </v>
      </c>
    </row>
    <row r="53" spans="1:13" ht="15.2" customHeight="1" x14ac:dyDescent="0.2">
      <c r="A53" s="26" t="s">
        <v>6442</v>
      </c>
      <c r="B53" s="27" t="s">
        <v>6443</v>
      </c>
      <c r="C53" s="28">
        <v>1</v>
      </c>
      <c r="D53" s="29">
        <v>16.149999999999999</v>
      </c>
      <c r="E53" s="29">
        <v>16.149999999999999</v>
      </c>
      <c r="F53" s="30">
        <v>44.5</v>
      </c>
      <c r="G53" s="29">
        <v>44.5</v>
      </c>
      <c r="H53" s="28" t="s">
        <v>6018</v>
      </c>
      <c r="I53" s="27" t="s">
        <v>82</v>
      </c>
      <c r="J53" s="31" t="s">
        <v>21</v>
      </c>
      <c r="K53" s="27" t="s">
        <v>53</v>
      </c>
      <c r="L53" s="27" t="s">
        <v>54</v>
      </c>
      <c r="M53" s="32" t="str">
        <f>HYPERLINK("http://slimages.macys.com/is/image/MCY/3623787 ")</f>
        <v xml:space="preserve">http://slimages.macys.com/is/image/MCY/3623787 </v>
      </c>
    </row>
    <row r="54" spans="1:13" ht="15.2" customHeight="1" x14ac:dyDescent="0.2">
      <c r="A54" s="26" t="s">
        <v>6444</v>
      </c>
      <c r="B54" s="27" t="s">
        <v>6445</v>
      </c>
      <c r="C54" s="28">
        <v>1</v>
      </c>
      <c r="D54" s="29">
        <v>16</v>
      </c>
      <c r="E54" s="29">
        <v>16</v>
      </c>
      <c r="F54" s="30">
        <v>39.99</v>
      </c>
      <c r="G54" s="29">
        <v>39.99</v>
      </c>
      <c r="H54" s="28" t="s">
        <v>6446</v>
      </c>
      <c r="I54" s="27" t="s">
        <v>59</v>
      </c>
      <c r="J54" s="31" t="s">
        <v>71</v>
      </c>
      <c r="K54" s="27" t="s">
        <v>70</v>
      </c>
      <c r="L54" s="27" t="s">
        <v>485</v>
      </c>
      <c r="M54" s="32" t="str">
        <f>HYPERLINK("http://slimages.macys.com/is/image/MCY/3758395 ")</f>
        <v xml:space="preserve">http://slimages.macys.com/is/image/MCY/3758395 </v>
      </c>
    </row>
    <row r="55" spans="1:13" ht="15.2" customHeight="1" x14ac:dyDescent="0.2">
      <c r="A55" s="26" t="s">
        <v>6447</v>
      </c>
      <c r="B55" s="27" t="s">
        <v>6448</v>
      </c>
      <c r="C55" s="28">
        <v>1</v>
      </c>
      <c r="D55" s="29">
        <v>16</v>
      </c>
      <c r="E55" s="29">
        <v>16</v>
      </c>
      <c r="F55" s="30">
        <v>49</v>
      </c>
      <c r="G55" s="29">
        <v>49</v>
      </c>
      <c r="H55" s="28" t="s">
        <v>5629</v>
      </c>
      <c r="I55" s="27" t="s">
        <v>4</v>
      </c>
      <c r="J55" s="31" t="s">
        <v>71</v>
      </c>
      <c r="K55" s="27" t="s">
        <v>154</v>
      </c>
      <c r="L55" s="27" t="s">
        <v>155</v>
      </c>
      <c r="M55" s="32" t="str">
        <f>HYPERLINK("http://slimages.macys.com/is/image/MCY/3667375 ")</f>
        <v xml:space="preserve">http://slimages.macys.com/is/image/MCY/3667375 </v>
      </c>
    </row>
    <row r="56" spans="1:13" ht="15.2" customHeight="1" x14ac:dyDescent="0.2">
      <c r="A56" s="26" t="s">
        <v>6449</v>
      </c>
      <c r="B56" s="27" t="s">
        <v>6450</v>
      </c>
      <c r="C56" s="28">
        <v>1</v>
      </c>
      <c r="D56" s="29">
        <v>16</v>
      </c>
      <c r="E56" s="29">
        <v>16</v>
      </c>
      <c r="F56" s="30">
        <v>49</v>
      </c>
      <c r="G56" s="29">
        <v>49</v>
      </c>
      <c r="H56" s="28" t="s">
        <v>5629</v>
      </c>
      <c r="I56" s="27" t="s">
        <v>4</v>
      </c>
      <c r="J56" s="31" t="s">
        <v>52</v>
      </c>
      <c r="K56" s="27" t="s">
        <v>154</v>
      </c>
      <c r="L56" s="27" t="s">
        <v>155</v>
      </c>
      <c r="M56" s="32" t="str">
        <f>HYPERLINK("http://slimages.macys.com/is/image/MCY/3667375 ")</f>
        <v xml:space="preserve">http://slimages.macys.com/is/image/MCY/3667375 </v>
      </c>
    </row>
    <row r="57" spans="1:13" ht="15.2" customHeight="1" x14ac:dyDescent="0.2">
      <c r="A57" s="26" t="s">
        <v>6451</v>
      </c>
      <c r="B57" s="27" t="s">
        <v>6452</v>
      </c>
      <c r="C57" s="28">
        <v>1</v>
      </c>
      <c r="D57" s="29">
        <v>16</v>
      </c>
      <c r="E57" s="29">
        <v>16</v>
      </c>
      <c r="F57" s="30">
        <v>49</v>
      </c>
      <c r="G57" s="29">
        <v>49</v>
      </c>
      <c r="H57" s="28" t="s">
        <v>6453</v>
      </c>
      <c r="I57" s="27" t="s">
        <v>144</v>
      </c>
      <c r="J57" s="31" t="s">
        <v>21</v>
      </c>
      <c r="K57" s="27" t="s">
        <v>70</v>
      </c>
      <c r="L57" s="27" t="s">
        <v>999</v>
      </c>
      <c r="M57" s="32" t="str">
        <f>HYPERLINK("http://slimages.macys.com/is/image/MCY/1987498 ")</f>
        <v xml:space="preserve">http://slimages.macys.com/is/image/MCY/1987498 </v>
      </c>
    </row>
    <row r="58" spans="1:13" ht="15.2" customHeight="1" x14ac:dyDescent="0.2">
      <c r="A58" s="26" t="s">
        <v>6454</v>
      </c>
      <c r="B58" s="27" t="s">
        <v>6455</v>
      </c>
      <c r="C58" s="28">
        <v>1</v>
      </c>
      <c r="D58" s="29">
        <v>15.81</v>
      </c>
      <c r="E58" s="29">
        <v>15.81</v>
      </c>
      <c r="F58" s="30">
        <v>44.5</v>
      </c>
      <c r="G58" s="29">
        <v>44.5</v>
      </c>
      <c r="H58" s="28" t="s">
        <v>2835</v>
      </c>
      <c r="I58" s="27" t="s">
        <v>4</v>
      </c>
      <c r="J58" s="31" t="s">
        <v>50</v>
      </c>
      <c r="K58" s="27" t="s">
        <v>12</v>
      </c>
      <c r="L58" s="27" t="s">
        <v>13</v>
      </c>
      <c r="M58" s="32" t="str">
        <f>HYPERLINK("http://slimages.macys.com/is/image/MCY/3972905 ")</f>
        <v xml:space="preserve">http://slimages.macys.com/is/image/MCY/3972905 </v>
      </c>
    </row>
    <row r="59" spans="1:13" ht="15.2" customHeight="1" x14ac:dyDescent="0.2">
      <c r="A59" s="26" t="s">
        <v>6456</v>
      </c>
      <c r="B59" s="27" t="s">
        <v>6457</v>
      </c>
      <c r="C59" s="28">
        <v>1</v>
      </c>
      <c r="D59" s="29">
        <v>15.75</v>
      </c>
      <c r="E59" s="29">
        <v>15.75</v>
      </c>
      <c r="F59" s="30">
        <v>49</v>
      </c>
      <c r="G59" s="29">
        <v>49</v>
      </c>
      <c r="H59" s="28" t="s">
        <v>3208</v>
      </c>
      <c r="I59" s="27" t="s">
        <v>36</v>
      </c>
      <c r="J59" s="31" t="s">
        <v>5</v>
      </c>
      <c r="K59" s="27" t="s">
        <v>37</v>
      </c>
      <c r="L59" s="27" t="s">
        <v>38</v>
      </c>
      <c r="M59" s="32" t="str">
        <f>HYPERLINK("http://slimages.macys.com/is/image/MCY/3667790 ")</f>
        <v xml:space="preserve">http://slimages.macys.com/is/image/MCY/3667790 </v>
      </c>
    </row>
    <row r="60" spans="1:13" ht="15.2" customHeight="1" x14ac:dyDescent="0.2">
      <c r="A60" s="26" t="s">
        <v>6458</v>
      </c>
      <c r="B60" s="27" t="s">
        <v>6459</v>
      </c>
      <c r="C60" s="28">
        <v>1</v>
      </c>
      <c r="D60" s="29">
        <v>15.75</v>
      </c>
      <c r="E60" s="29">
        <v>15.75</v>
      </c>
      <c r="F60" s="30">
        <v>49</v>
      </c>
      <c r="G60" s="29">
        <v>49</v>
      </c>
      <c r="H60" s="28" t="s">
        <v>3208</v>
      </c>
      <c r="I60" s="27" t="s">
        <v>36</v>
      </c>
      <c r="J60" s="31" t="s">
        <v>40</v>
      </c>
      <c r="K60" s="27" t="s">
        <v>37</v>
      </c>
      <c r="L60" s="27" t="s">
        <v>38</v>
      </c>
      <c r="M60" s="32" t="str">
        <f>HYPERLINK("http://slimages.macys.com/is/image/MCY/3667790 ")</f>
        <v xml:space="preserve">http://slimages.macys.com/is/image/MCY/3667790 </v>
      </c>
    </row>
    <row r="61" spans="1:13" ht="15.2" customHeight="1" x14ac:dyDescent="0.2">
      <c r="A61" s="26" t="s">
        <v>713</v>
      </c>
      <c r="B61" s="27" t="s">
        <v>714</v>
      </c>
      <c r="C61" s="28">
        <v>1</v>
      </c>
      <c r="D61" s="29">
        <v>15.5</v>
      </c>
      <c r="E61" s="29">
        <v>15.5</v>
      </c>
      <c r="F61" s="30">
        <v>34.979999999999997</v>
      </c>
      <c r="G61" s="29">
        <v>34.979999999999997</v>
      </c>
      <c r="H61" s="28" t="s">
        <v>715</v>
      </c>
      <c r="I61" s="27" t="s">
        <v>4</v>
      </c>
      <c r="J61" s="31" t="s">
        <v>214</v>
      </c>
      <c r="K61" s="27" t="s">
        <v>154</v>
      </c>
      <c r="L61" s="27" t="s">
        <v>155</v>
      </c>
      <c r="M61" s="32" t="str">
        <f>HYPERLINK("http://slimages.macys.com/is/image/MCY/2597263 ")</f>
        <v xml:space="preserve">http://slimages.macys.com/is/image/MCY/2597263 </v>
      </c>
    </row>
    <row r="62" spans="1:13" ht="15.2" customHeight="1" x14ac:dyDescent="0.2">
      <c r="A62" s="26" t="s">
        <v>4197</v>
      </c>
      <c r="B62" s="27" t="s">
        <v>4198</v>
      </c>
      <c r="C62" s="28">
        <v>1</v>
      </c>
      <c r="D62" s="29">
        <v>15.5</v>
      </c>
      <c r="E62" s="29">
        <v>15.5</v>
      </c>
      <c r="F62" s="30">
        <v>34.979999999999997</v>
      </c>
      <c r="G62" s="29">
        <v>34.979999999999997</v>
      </c>
      <c r="H62" s="28" t="s">
        <v>715</v>
      </c>
      <c r="I62" s="27" t="s">
        <v>4</v>
      </c>
      <c r="J62" s="31" t="s">
        <v>69</v>
      </c>
      <c r="K62" s="27" t="s">
        <v>154</v>
      </c>
      <c r="L62" s="27" t="s">
        <v>155</v>
      </c>
      <c r="M62" s="32" t="str">
        <f>HYPERLINK("http://slimages.macys.com/is/image/MCY/2597263 ")</f>
        <v xml:space="preserve">http://slimages.macys.com/is/image/MCY/2597263 </v>
      </c>
    </row>
    <row r="63" spans="1:13" ht="15.2" customHeight="1" x14ac:dyDescent="0.2">
      <c r="A63" s="26" t="s">
        <v>6460</v>
      </c>
      <c r="B63" s="27" t="s">
        <v>6461</v>
      </c>
      <c r="C63" s="28">
        <v>1</v>
      </c>
      <c r="D63" s="29">
        <v>15.5</v>
      </c>
      <c r="E63" s="29">
        <v>15.5</v>
      </c>
      <c r="F63" s="30">
        <v>34.979999999999997</v>
      </c>
      <c r="G63" s="29">
        <v>34.979999999999997</v>
      </c>
      <c r="H63" s="28" t="s">
        <v>715</v>
      </c>
      <c r="I63" s="27" t="s">
        <v>4</v>
      </c>
      <c r="J63" s="31" t="s">
        <v>234</v>
      </c>
      <c r="K63" s="27" t="s">
        <v>154</v>
      </c>
      <c r="L63" s="27" t="s">
        <v>155</v>
      </c>
      <c r="M63" s="32" t="str">
        <f>HYPERLINK("http://slimages.macys.com/is/image/MCY/2597263 ")</f>
        <v xml:space="preserve">http://slimages.macys.com/is/image/MCY/2597263 </v>
      </c>
    </row>
    <row r="64" spans="1:13" ht="15.2" customHeight="1" x14ac:dyDescent="0.2">
      <c r="A64" s="26" t="s">
        <v>6462</v>
      </c>
      <c r="B64" s="27" t="s">
        <v>6463</v>
      </c>
      <c r="C64" s="28">
        <v>1</v>
      </c>
      <c r="D64" s="29">
        <v>15.5</v>
      </c>
      <c r="E64" s="29">
        <v>15.5</v>
      </c>
      <c r="F64" s="30">
        <v>39.99</v>
      </c>
      <c r="G64" s="29">
        <v>39.99</v>
      </c>
      <c r="H64" s="28" t="s">
        <v>4815</v>
      </c>
      <c r="I64" s="27" t="s">
        <v>59</v>
      </c>
      <c r="J64" s="31" t="s">
        <v>21</v>
      </c>
      <c r="K64" s="27" t="s">
        <v>70</v>
      </c>
      <c r="L64" s="27" t="s">
        <v>155</v>
      </c>
      <c r="M64" s="32" t="str">
        <f>HYPERLINK("http://slimages.macys.com/is/image/MCY/2664535 ")</f>
        <v xml:space="preserve">http://slimages.macys.com/is/image/MCY/2664535 </v>
      </c>
    </row>
    <row r="65" spans="1:13" ht="15.2" customHeight="1" x14ac:dyDescent="0.2">
      <c r="A65" s="26" t="s">
        <v>6464</v>
      </c>
      <c r="B65" s="27" t="s">
        <v>6465</v>
      </c>
      <c r="C65" s="28">
        <v>1</v>
      </c>
      <c r="D65" s="29">
        <v>15.5</v>
      </c>
      <c r="E65" s="29">
        <v>15.5</v>
      </c>
      <c r="F65" s="30">
        <v>34.979999999999997</v>
      </c>
      <c r="G65" s="29">
        <v>34.979999999999997</v>
      </c>
      <c r="H65" s="28" t="s">
        <v>715</v>
      </c>
      <c r="I65" s="27" t="s">
        <v>4</v>
      </c>
      <c r="J65" s="31" t="s">
        <v>210</v>
      </c>
      <c r="K65" s="27" t="s">
        <v>154</v>
      </c>
      <c r="L65" s="27" t="s">
        <v>155</v>
      </c>
      <c r="M65" s="32" t="str">
        <f>HYPERLINK("http://slimages.macys.com/is/image/MCY/2597263 ")</f>
        <v xml:space="preserve">http://slimages.macys.com/is/image/MCY/2597263 </v>
      </c>
    </row>
    <row r="66" spans="1:13" ht="15.2" customHeight="1" x14ac:dyDescent="0.2">
      <c r="A66" s="26" t="s">
        <v>6466</v>
      </c>
      <c r="B66" s="27" t="s">
        <v>6467</v>
      </c>
      <c r="C66" s="28">
        <v>1</v>
      </c>
      <c r="D66" s="29">
        <v>15.5</v>
      </c>
      <c r="E66" s="29">
        <v>15.5</v>
      </c>
      <c r="F66" s="30">
        <v>34.979999999999997</v>
      </c>
      <c r="G66" s="29">
        <v>34.979999999999997</v>
      </c>
      <c r="H66" s="28" t="s">
        <v>715</v>
      </c>
      <c r="I66" s="27" t="s">
        <v>4</v>
      </c>
      <c r="J66" s="31" t="s">
        <v>230</v>
      </c>
      <c r="K66" s="27" t="s">
        <v>154</v>
      </c>
      <c r="L66" s="27" t="s">
        <v>155</v>
      </c>
      <c r="M66" s="32" t="str">
        <f>HYPERLINK("http://slimages.macys.com/is/image/MCY/2597263 ")</f>
        <v xml:space="preserve">http://slimages.macys.com/is/image/MCY/2597263 </v>
      </c>
    </row>
    <row r="67" spans="1:13" ht="15.2" customHeight="1" x14ac:dyDescent="0.2">
      <c r="A67" s="26" t="s">
        <v>6468</v>
      </c>
      <c r="B67" s="27" t="s">
        <v>6469</v>
      </c>
      <c r="C67" s="28">
        <v>1</v>
      </c>
      <c r="D67" s="29">
        <v>15.5</v>
      </c>
      <c r="E67" s="29">
        <v>15.5</v>
      </c>
      <c r="F67" s="30">
        <v>34.979999999999997</v>
      </c>
      <c r="G67" s="29">
        <v>34.979999999999997</v>
      </c>
      <c r="H67" s="28" t="s">
        <v>715</v>
      </c>
      <c r="I67" s="27" t="s">
        <v>4</v>
      </c>
      <c r="J67" s="31" t="s">
        <v>23</v>
      </c>
      <c r="K67" s="27" t="s">
        <v>154</v>
      </c>
      <c r="L67" s="27" t="s">
        <v>155</v>
      </c>
      <c r="M67" s="32" t="str">
        <f>HYPERLINK("http://slimages.macys.com/is/image/MCY/2597263 ")</f>
        <v xml:space="preserve">http://slimages.macys.com/is/image/MCY/2597263 </v>
      </c>
    </row>
    <row r="68" spans="1:13" ht="15.2" customHeight="1" x14ac:dyDescent="0.2">
      <c r="A68" s="26" t="s">
        <v>6470</v>
      </c>
      <c r="B68" s="27" t="s">
        <v>6471</v>
      </c>
      <c r="C68" s="28">
        <v>2</v>
      </c>
      <c r="D68" s="29">
        <v>15.5</v>
      </c>
      <c r="E68" s="29">
        <v>31</v>
      </c>
      <c r="F68" s="30">
        <v>34.979999999999997</v>
      </c>
      <c r="G68" s="29">
        <v>69.959999999999994</v>
      </c>
      <c r="H68" s="28" t="s">
        <v>715</v>
      </c>
      <c r="I68" s="27" t="s">
        <v>4</v>
      </c>
      <c r="J68" s="31" t="s">
        <v>216</v>
      </c>
      <c r="K68" s="27" t="s">
        <v>154</v>
      </c>
      <c r="L68" s="27" t="s">
        <v>155</v>
      </c>
      <c r="M68" s="32" t="str">
        <f>HYPERLINK("http://slimages.macys.com/is/image/MCY/2597263 ")</f>
        <v xml:space="preserve">http://slimages.macys.com/is/image/MCY/2597263 </v>
      </c>
    </row>
    <row r="69" spans="1:13" ht="15.2" customHeight="1" x14ac:dyDescent="0.2">
      <c r="A69" s="26" t="s">
        <v>6472</v>
      </c>
      <c r="B69" s="27" t="s">
        <v>6473</v>
      </c>
      <c r="C69" s="28">
        <v>1</v>
      </c>
      <c r="D69" s="29">
        <v>15</v>
      </c>
      <c r="E69" s="29">
        <v>15</v>
      </c>
      <c r="F69" s="30">
        <v>59</v>
      </c>
      <c r="G69" s="29">
        <v>59</v>
      </c>
      <c r="H69" s="28" t="s">
        <v>151</v>
      </c>
      <c r="I69" s="27" t="s">
        <v>152</v>
      </c>
      <c r="J69" s="31" t="s">
        <v>172</v>
      </c>
      <c r="K69" s="27" t="s">
        <v>24</v>
      </c>
      <c r="L69" s="27" t="s">
        <v>67</v>
      </c>
      <c r="M69" s="32" t="str">
        <f>HYPERLINK("http://slimages.macys.com/is/image/MCY/3898824 ")</f>
        <v xml:space="preserve">http://slimages.macys.com/is/image/MCY/3898824 </v>
      </c>
    </row>
    <row r="70" spans="1:13" ht="15.2" customHeight="1" x14ac:dyDescent="0.2">
      <c r="A70" s="26" t="s">
        <v>4816</v>
      </c>
      <c r="B70" s="27" t="s">
        <v>4817</v>
      </c>
      <c r="C70" s="28">
        <v>1</v>
      </c>
      <c r="D70" s="29">
        <v>15</v>
      </c>
      <c r="E70" s="29">
        <v>15</v>
      </c>
      <c r="F70" s="30">
        <v>36.99</v>
      </c>
      <c r="G70" s="29">
        <v>36.99</v>
      </c>
      <c r="H70" s="28" t="s">
        <v>2843</v>
      </c>
      <c r="I70" s="27" t="s">
        <v>59</v>
      </c>
      <c r="J70" s="31" t="s">
        <v>5</v>
      </c>
      <c r="K70" s="27" t="s">
        <v>70</v>
      </c>
      <c r="L70" s="27" t="s">
        <v>1079</v>
      </c>
      <c r="M70" s="32" t="str">
        <f>HYPERLINK("http://slimages.macys.com/is/image/MCY/3690371 ")</f>
        <v xml:space="preserve">http://slimages.macys.com/is/image/MCY/3690371 </v>
      </c>
    </row>
    <row r="71" spans="1:13" ht="15.2" customHeight="1" x14ac:dyDescent="0.2">
      <c r="A71" s="26" t="s">
        <v>723</v>
      </c>
      <c r="B71" s="27" t="s">
        <v>724</v>
      </c>
      <c r="C71" s="28">
        <v>1</v>
      </c>
      <c r="D71" s="29">
        <v>15</v>
      </c>
      <c r="E71" s="29">
        <v>15</v>
      </c>
      <c r="F71" s="30">
        <v>39.5</v>
      </c>
      <c r="G71" s="29">
        <v>39.5</v>
      </c>
      <c r="H71" s="28" t="s">
        <v>718</v>
      </c>
      <c r="I71" s="27" t="s">
        <v>189</v>
      </c>
      <c r="J71" s="31" t="s">
        <v>71</v>
      </c>
      <c r="K71" s="27" t="s">
        <v>17</v>
      </c>
      <c r="L71" s="27" t="s">
        <v>18</v>
      </c>
      <c r="M71" s="32" t="str">
        <f>HYPERLINK("http://slimages.macys.com/is/image/MCY/3895640 ")</f>
        <v xml:space="preserve">http://slimages.macys.com/is/image/MCY/3895640 </v>
      </c>
    </row>
    <row r="72" spans="1:13" ht="15.2" customHeight="1" x14ac:dyDescent="0.2">
      <c r="A72" s="26" t="s">
        <v>4444</v>
      </c>
      <c r="B72" s="27" t="s">
        <v>4445</v>
      </c>
      <c r="C72" s="28">
        <v>1</v>
      </c>
      <c r="D72" s="29">
        <v>15</v>
      </c>
      <c r="E72" s="29">
        <v>15</v>
      </c>
      <c r="F72" s="30">
        <v>59</v>
      </c>
      <c r="G72" s="29">
        <v>59</v>
      </c>
      <c r="H72" s="28" t="s">
        <v>158</v>
      </c>
      <c r="I72" s="27"/>
      <c r="J72" s="31" t="s">
        <v>21</v>
      </c>
      <c r="K72" s="27" t="s">
        <v>154</v>
      </c>
      <c r="L72" s="27" t="s">
        <v>155</v>
      </c>
      <c r="M72" s="32" t="str">
        <f>HYPERLINK("http://slimages.macys.com/is/image/MCY/3667495 ")</f>
        <v xml:space="preserve">http://slimages.macys.com/is/image/MCY/3667495 </v>
      </c>
    </row>
    <row r="73" spans="1:13" ht="15.2" customHeight="1" x14ac:dyDescent="0.2">
      <c r="A73" s="26" t="s">
        <v>6474</v>
      </c>
      <c r="B73" s="27" t="s">
        <v>6475</v>
      </c>
      <c r="C73" s="28">
        <v>1</v>
      </c>
      <c r="D73" s="29">
        <v>14.5</v>
      </c>
      <c r="E73" s="29">
        <v>14.5</v>
      </c>
      <c r="F73" s="30">
        <v>36.99</v>
      </c>
      <c r="G73" s="29">
        <v>36.99</v>
      </c>
      <c r="H73" s="28" t="s">
        <v>6476</v>
      </c>
      <c r="I73" s="27" t="s">
        <v>10</v>
      </c>
      <c r="J73" s="31" t="s">
        <v>214</v>
      </c>
      <c r="K73" s="27" t="s">
        <v>70</v>
      </c>
      <c r="L73" s="27" t="s">
        <v>1079</v>
      </c>
      <c r="M73" s="32" t="str">
        <f>HYPERLINK("http://slimages.macys.com/is/image/MCY/3563262 ")</f>
        <v xml:space="preserve">http://slimages.macys.com/is/image/MCY/3563262 </v>
      </c>
    </row>
    <row r="74" spans="1:13" ht="15.2" customHeight="1" x14ac:dyDescent="0.2">
      <c r="A74" s="26" t="s">
        <v>1180</v>
      </c>
      <c r="B74" s="27" t="s">
        <v>1181</v>
      </c>
      <c r="C74" s="28">
        <v>1</v>
      </c>
      <c r="D74" s="29">
        <v>14.5</v>
      </c>
      <c r="E74" s="29">
        <v>14.5</v>
      </c>
      <c r="F74" s="30">
        <v>39.5</v>
      </c>
      <c r="G74" s="29">
        <v>39.5</v>
      </c>
      <c r="H74" s="28" t="s">
        <v>164</v>
      </c>
      <c r="I74" s="27" t="s">
        <v>4</v>
      </c>
      <c r="J74" s="31" t="s">
        <v>21</v>
      </c>
      <c r="K74" s="27" t="s">
        <v>53</v>
      </c>
      <c r="L74" s="27" t="s">
        <v>165</v>
      </c>
      <c r="M74" s="32" t="str">
        <f>HYPERLINK("http://slimages.macys.com/is/image/MCY/3954949 ")</f>
        <v xml:space="preserve">http://slimages.macys.com/is/image/MCY/3954949 </v>
      </c>
    </row>
    <row r="75" spans="1:13" ht="15.2" customHeight="1" x14ac:dyDescent="0.2">
      <c r="A75" s="26" t="s">
        <v>2128</v>
      </c>
      <c r="B75" s="27" t="s">
        <v>2129</v>
      </c>
      <c r="C75" s="28">
        <v>1</v>
      </c>
      <c r="D75" s="29">
        <v>14.5</v>
      </c>
      <c r="E75" s="29">
        <v>14.5</v>
      </c>
      <c r="F75" s="30">
        <v>39.5</v>
      </c>
      <c r="G75" s="29">
        <v>39.5</v>
      </c>
      <c r="H75" s="28" t="s">
        <v>164</v>
      </c>
      <c r="I75" s="27" t="s">
        <v>4</v>
      </c>
      <c r="J75" s="31" t="s">
        <v>40</v>
      </c>
      <c r="K75" s="27" t="s">
        <v>53</v>
      </c>
      <c r="L75" s="27" t="s">
        <v>165</v>
      </c>
      <c r="M75" s="32" t="str">
        <f>HYPERLINK("http://slimages.macys.com/is/image/MCY/3954949 ")</f>
        <v xml:space="preserve">http://slimages.macys.com/is/image/MCY/3954949 </v>
      </c>
    </row>
    <row r="76" spans="1:13" ht="15.2" customHeight="1" x14ac:dyDescent="0.2">
      <c r="A76" s="26" t="s">
        <v>6477</v>
      </c>
      <c r="B76" s="27" t="s">
        <v>6478</v>
      </c>
      <c r="C76" s="28">
        <v>1</v>
      </c>
      <c r="D76" s="29">
        <v>14.5</v>
      </c>
      <c r="E76" s="29">
        <v>14.5</v>
      </c>
      <c r="F76" s="30">
        <v>34.99</v>
      </c>
      <c r="G76" s="29">
        <v>34.99</v>
      </c>
      <c r="H76" s="28" t="s">
        <v>6479</v>
      </c>
      <c r="I76" s="27" t="s">
        <v>10</v>
      </c>
      <c r="J76" s="31" t="s">
        <v>69</v>
      </c>
      <c r="K76" s="27" t="s">
        <v>200</v>
      </c>
      <c r="L76" s="27" t="s">
        <v>133</v>
      </c>
      <c r="M76" s="32" t="str">
        <f>HYPERLINK("http://slimages.macys.com/is/image/MCY/3866390 ")</f>
        <v xml:space="preserve">http://slimages.macys.com/is/image/MCY/3866390 </v>
      </c>
    </row>
    <row r="77" spans="1:13" ht="15.2" customHeight="1" x14ac:dyDescent="0.2">
      <c r="A77" s="26" t="s">
        <v>6480</v>
      </c>
      <c r="B77" s="27" t="s">
        <v>6481</v>
      </c>
      <c r="C77" s="28">
        <v>1</v>
      </c>
      <c r="D77" s="29">
        <v>14.42</v>
      </c>
      <c r="E77" s="29">
        <v>14.42</v>
      </c>
      <c r="F77" s="30">
        <v>39.5</v>
      </c>
      <c r="G77" s="29">
        <v>39.5</v>
      </c>
      <c r="H77" s="28" t="s">
        <v>6482</v>
      </c>
      <c r="I77" s="27" t="s">
        <v>49</v>
      </c>
      <c r="J77" s="31" t="s">
        <v>71</v>
      </c>
      <c r="K77" s="27" t="s">
        <v>41</v>
      </c>
      <c r="L77" s="27" t="s">
        <v>90</v>
      </c>
      <c r="M77" s="32" t="str">
        <f>HYPERLINK("http://slimages.macys.com/is/image/MCY/3828943 ")</f>
        <v xml:space="preserve">http://slimages.macys.com/is/image/MCY/3828943 </v>
      </c>
    </row>
    <row r="78" spans="1:13" ht="15.2" customHeight="1" x14ac:dyDescent="0.2">
      <c r="A78" s="26" t="s">
        <v>6483</v>
      </c>
      <c r="B78" s="27" t="s">
        <v>6484</v>
      </c>
      <c r="C78" s="28">
        <v>1</v>
      </c>
      <c r="D78" s="29">
        <v>14.42</v>
      </c>
      <c r="E78" s="29">
        <v>14.42</v>
      </c>
      <c r="F78" s="30">
        <v>39.5</v>
      </c>
      <c r="G78" s="29">
        <v>39.5</v>
      </c>
      <c r="H78" s="28" t="s">
        <v>2141</v>
      </c>
      <c r="I78" s="27" t="s">
        <v>4</v>
      </c>
      <c r="J78" s="31" t="s">
        <v>172</v>
      </c>
      <c r="K78" s="27" t="s">
        <v>41</v>
      </c>
      <c r="L78" s="27" t="s">
        <v>68</v>
      </c>
      <c r="M78" s="32" t="str">
        <f>HYPERLINK("http://slimages.macys.com/is/image/MCY/3846662 ")</f>
        <v xml:space="preserve">http://slimages.macys.com/is/image/MCY/3846662 </v>
      </c>
    </row>
    <row r="79" spans="1:13" ht="15.2" customHeight="1" x14ac:dyDescent="0.2">
      <c r="A79" s="26" t="s">
        <v>6485</v>
      </c>
      <c r="B79" s="27" t="s">
        <v>6486</v>
      </c>
      <c r="C79" s="28">
        <v>1</v>
      </c>
      <c r="D79" s="29">
        <v>14</v>
      </c>
      <c r="E79" s="29">
        <v>14</v>
      </c>
      <c r="F79" s="30">
        <v>44</v>
      </c>
      <c r="G79" s="29">
        <v>44</v>
      </c>
      <c r="H79" s="28" t="s">
        <v>186</v>
      </c>
      <c r="I79" s="27" t="s">
        <v>377</v>
      </c>
      <c r="J79" s="31" t="s">
        <v>21</v>
      </c>
      <c r="K79" s="27" t="s">
        <v>37</v>
      </c>
      <c r="L79" s="27" t="s">
        <v>38</v>
      </c>
      <c r="M79" s="32" t="str">
        <f>HYPERLINK("http://slimages.macys.com/is/image/MCY/3667831 ")</f>
        <v xml:space="preserve">http://slimages.macys.com/is/image/MCY/3667831 </v>
      </c>
    </row>
    <row r="80" spans="1:13" ht="15.2" customHeight="1" x14ac:dyDescent="0.2">
      <c r="A80" s="26" t="s">
        <v>6487</v>
      </c>
      <c r="B80" s="27" t="s">
        <v>6488</v>
      </c>
      <c r="C80" s="28">
        <v>1</v>
      </c>
      <c r="D80" s="29">
        <v>13.25</v>
      </c>
      <c r="E80" s="29">
        <v>13.25</v>
      </c>
      <c r="F80" s="30">
        <v>59</v>
      </c>
      <c r="G80" s="29">
        <v>59</v>
      </c>
      <c r="H80" s="28" t="s">
        <v>6489</v>
      </c>
      <c r="I80" s="27" t="s">
        <v>107</v>
      </c>
      <c r="J80" s="31" t="s">
        <v>30</v>
      </c>
      <c r="K80" s="27" t="s">
        <v>132</v>
      </c>
      <c r="L80" s="27" t="s">
        <v>254</v>
      </c>
      <c r="M80" s="32" t="str">
        <f>HYPERLINK("http://slimages.macys.com/is/image/MCY/3959100 ")</f>
        <v xml:space="preserve">http://slimages.macys.com/is/image/MCY/3959100 </v>
      </c>
    </row>
    <row r="81" spans="1:13" ht="15.2" customHeight="1" x14ac:dyDescent="0.2">
      <c r="A81" s="26" t="s">
        <v>3787</v>
      </c>
      <c r="B81" s="27" t="s">
        <v>3788</v>
      </c>
      <c r="C81" s="28">
        <v>1</v>
      </c>
      <c r="D81" s="29">
        <v>13.23</v>
      </c>
      <c r="E81" s="29">
        <v>13.23</v>
      </c>
      <c r="F81" s="30">
        <v>39.5</v>
      </c>
      <c r="G81" s="29">
        <v>39.5</v>
      </c>
      <c r="H81" s="28" t="s">
        <v>198</v>
      </c>
      <c r="I81" s="27" t="s">
        <v>4</v>
      </c>
      <c r="J81" s="31" t="s">
        <v>52</v>
      </c>
      <c r="K81" s="27" t="s">
        <v>53</v>
      </c>
      <c r="L81" s="27" t="s">
        <v>165</v>
      </c>
      <c r="M81" s="32" t="str">
        <f>HYPERLINK("http://slimages.macys.com/is/image/MCY/3808484 ")</f>
        <v xml:space="preserve">http://slimages.macys.com/is/image/MCY/3808484 </v>
      </c>
    </row>
    <row r="82" spans="1:13" ht="15.2" customHeight="1" x14ac:dyDescent="0.2">
      <c r="A82" s="26" t="s">
        <v>6490</v>
      </c>
      <c r="B82" s="27" t="s">
        <v>6491</v>
      </c>
      <c r="C82" s="28">
        <v>1</v>
      </c>
      <c r="D82" s="29">
        <v>13</v>
      </c>
      <c r="E82" s="29">
        <v>13</v>
      </c>
      <c r="F82" s="30">
        <v>59</v>
      </c>
      <c r="G82" s="29">
        <v>59</v>
      </c>
      <c r="H82" s="28" t="s">
        <v>199</v>
      </c>
      <c r="I82" s="27" t="s">
        <v>4</v>
      </c>
      <c r="J82" s="31" t="s">
        <v>50</v>
      </c>
      <c r="K82" s="27" t="s">
        <v>132</v>
      </c>
      <c r="L82" s="27" t="s">
        <v>150</v>
      </c>
      <c r="M82" s="32" t="str">
        <f>HYPERLINK("http://slimages.macys.com/is/image/MCY/3913477 ")</f>
        <v xml:space="preserve">http://slimages.macys.com/is/image/MCY/3913477 </v>
      </c>
    </row>
    <row r="83" spans="1:13" ht="15.2" customHeight="1" x14ac:dyDescent="0.2">
      <c r="A83" s="26" t="s">
        <v>6492</v>
      </c>
      <c r="B83" s="27" t="s">
        <v>6493</v>
      </c>
      <c r="C83" s="28">
        <v>1</v>
      </c>
      <c r="D83" s="29">
        <v>12.95</v>
      </c>
      <c r="E83" s="29">
        <v>12.95</v>
      </c>
      <c r="F83" s="30">
        <v>29.99</v>
      </c>
      <c r="G83" s="29">
        <v>29.99</v>
      </c>
      <c r="H83" s="28" t="s">
        <v>1019</v>
      </c>
      <c r="I83" s="27" t="s">
        <v>146</v>
      </c>
      <c r="J83" s="31" t="s">
        <v>23</v>
      </c>
      <c r="K83" s="27" t="s">
        <v>200</v>
      </c>
      <c r="L83" s="27" t="s">
        <v>201</v>
      </c>
      <c r="M83" s="32" t="str">
        <f>HYPERLINK("http://slimages.macys.com/is/image/MCY/3954387 ")</f>
        <v xml:space="preserve">http://slimages.macys.com/is/image/MCY/3954387 </v>
      </c>
    </row>
    <row r="84" spans="1:13" ht="15.2" customHeight="1" x14ac:dyDescent="0.2">
      <c r="A84" s="26" t="s">
        <v>1783</v>
      </c>
      <c r="B84" s="27" t="s">
        <v>1784</v>
      </c>
      <c r="C84" s="28">
        <v>1</v>
      </c>
      <c r="D84" s="29">
        <v>12.77</v>
      </c>
      <c r="E84" s="29">
        <v>12.77</v>
      </c>
      <c r="F84" s="30">
        <v>34.99</v>
      </c>
      <c r="G84" s="29">
        <v>34.99</v>
      </c>
      <c r="H84" s="28" t="s">
        <v>758</v>
      </c>
      <c r="I84" s="27" t="s">
        <v>33</v>
      </c>
      <c r="J84" s="31" t="s">
        <v>5</v>
      </c>
      <c r="K84" s="27" t="s">
        <v>41</v>
      </c>
      <c r="L84" s="27" t="s">
        <v>90</v>
      </c>
      <c r="M84" s="32" t="str">
        <f>HYPERLINK("http://slimages.macys.com/is/image/MCY/3913270 ")</f>
        <v xml:space="preserve">http://slimages.macys.com/is/image/MCY/3913270 </v>
      </c>
    </row>
    <row r="85" spans="1:13" ht="15.2" customHeight="1" x14ac:dyDescent="0.2">
      <c r="A85" s="26" t="s">
        <v>4753</v>
      </c>
      <c r="B85" s="27" t="s">
        <v>4754</v>
      </c>
      <c r="C85" s="28">
        <v>1</v>
      </c>
      <c r="D85" s="29">
        <v>12.77</v>
      </c>
      <c r="E85" s="29">
        <v>12.77</v>
      </c>
      <c r="F85" s="30">
        <v>34.99</v>
      </c>
      <c r="G85" s="29">
        <v>34.99</v>
      </c>
      <c r="H85" s="28" t="s">
        <v>758</v>
      </c>
      <c r="I85" s="27" t="s">
        <v>82</v>
      </c>
      <c r="J85" s="31" t="s">
        <v>172</v>
      </c>
      <c r="K85" s="27" t="s">
        <v>41</v>
      </c>
      <c r="L85" s="27" t="s">
        <v>90</v>
      </c>
      <c r="M85" s="32" t="str">
        <f>HYPERLINK("http://slimages.macys.com/is/image/MCY/3913270 ")</f>
        <v xml:space="preserve">http://slimages.macys.com/is/image/MCY/3913270 </v>
      </c>
    </row>
    <row r="86" spans="1:13" ht="15.2" customHeight="1" x14ac:dyDescent="0.2">
      <c r="A86" s="26" t="s">
        <v>6494</v>
      </c>
      <c r="B86" s="27" t="s">
        <v>6495</v>
      </c>
      <c r="C86" s="28">
        <v>1</v>
      </c>
      <c r="D86" s="29">
        <v>12.65</v>
      </c>
      <c r="E86" s="29">
        <v>12.65</v>
      </c>
      <c r="F86" s="30">
        <v>29.99</v>
      </c>
      <c r="G86" s="29">
        <v>29.99</v>
      </c>
      <c r="H86" s="28" t="s">
        <v>764</v>
      </c>
      <c r="I86" s="27" t="s">
        <v>29</v>
      </c>
      <c r="J86" s="31" t="s">
        <v>23</v>
      </c>
      <c r="K86" s="27" t="s">
        <v>200</v>
      </c>
      <c r="L86" s="27" t="s">
        <v>765</v>
      </c>
      <c r="M86" s="32" t="str">
        <f>HYPERLINK("http://slimages.macys.com/is/image/MCY/3773746 ")</f>
        <v xml:space="preserve">http://slimages.macys.com/is/image/MCY/3773746 </v>
      </c>
    </row>
    <row r="87" spans="1:13" ht="15.2" customHeight="1" x14ac:dyDescent="0.2">
      <c r="A87" s="26" t="s">
        <v>6496</v>
      </c>
      <c r="B87" s="27" t="s">
        <v>6497</v>
      </c>
      <c r="C87" s="28">
        <v>1</v>
      </c>
      <c r="D87" s="29">
        <v>12.59</v>
      </c>
      <c r="E87" s="29">
        <v>12.59</v>
      </c>
      <c r="F87" s="30">
        <v>34.5</v>
      </c>
      <c r="G87" s="29">
        <v>34.5</v>
      </c>
      <c r="H87" s="28" t="s">
        <v>6498</v>
      </c>
      <c r="I87" s="27" t="s">
        <v>746</v>
      </c>
      <c r="J87" s="31" t="s">
        <v>21</v>
      </c>
      <c r="K87" s="27" t="s">
        <v>41</v>
      </c>
      <c r="L87" s="27" t="s">
        <v>45</v>
      </c>
      <c r="M87" s="32" t="str">
        <f>HYPERLINK("http://slimages.macys.com/is/image/MCY/3612227 ")</f>
        <v xml:space="preserve">http://slimages.macys.com/is/image/MCY/3612227 </v>
      </c>
    </row>
    <row r="88" spans="1:13" ht="15.2" customHeight="1" x14ac:dyDescent="0.2">
      <c r="A88" s="26" t="s">
        <v>6499</v>
      </c>
      <c r="B88" s="27" t="s">
        <v>6500</v>
      </c>
      <c r="C88" s="28">
        <v>1</v>
      </c>
      <c r="D88" s="29">
        <v>12.15</v>
      </c>
      <c r="E88" s="29">
        <v>12.15</v>
      </c>
      <c r="F88" s="30">
        <v>27.99</v>
      </c>
      <c r="G88" s="29">
        <v>27.99</v>
      </c>
      <c r="H88" s="28">
        <v>47852</v>
      </c>
      <c r="I88" s="27" t="s">
        <v>59</v>
      </c>
      <c r="J88" s="31" t="s">
        <v>21</v>
      </c>
      <c r="K88" s="27" t="s">
        <v>196</v>
      </c>
      <c r="L88" s="27" t="s">
        <v>1808</v>
      </c>
      <c r="M88" s="32" t="str">
        <f>HYPERLINK("http://slimages.macys.com/is/image/MCY/3755153 ")</f>
        <v xml:space="preserve">http://slimages.macys.com/is/image/MCY/3755153 </v>
      </c>
    </row>
    <row r="89" spans="1:13" ht="15.2" customHeight="1" x14ac:dyDescent="0.2">
      <c r="A89" s="26" t="s">
        <v>6501</v>
      </c>
      <c r="B89" s="27" t="s">
        <v>6502</v>
      </c>
      <c r="C89" s="28">
        <v>1</v>
      </c>
      <c r="D89" s="29">
        <v>12</v>
      </c>
      <c r="E89" s="29">
        <v>12</v>
      </c>
      <c r="F89" s="30">
        <v>25.99</v>
      </c>
      <c r="G89" s="29">
        <v>25.99</v>
      </c>
      <c r="H89" s="28" t="s">
        <v>209</v>
      </c>
      <c r="I89" s="27" t="s">
        <v>29</v>
      </c>
      <c r="J89" s="31" t="s">
        <v>113</v>
      </c>
      <c r="K89" s="27" t="s">
        <v>200</v>
      </c>
      <c r="L89" s="27" t="s">
        <v>133</v>
      </c>
      <c r="M89" s="32" t="str">
        <f>HYPERLINK("http://slimages.macys.com/is/image/MCY/2877996 ")</f>
        <v xml:space="preserve">http://slimages.macys.com/is/image/MCY/2877996 </v>
      </c>
    </row>
    <row r="90" spans="1:13" ht="15.2" customHeight="1" x14ac:dyDescent="0.2">
      <c r="A90" s="26" t="s">
        <v>3272</v>
      </c>
      <c r="B90" s="27" t="s">
        <v>3273</v>
      </c>
      <c r="C90" s="28">
        <v>2</v>
      </c>
      <c r="D90" s="29">
        <v>11.89</v>
      </c>
      <c r="E90" s="29">
        <v>23.78</v>
      </c>
      <c r="F90" s="30">
        <v>27.99</v>
      </c>
      <c r="G90" s="29">
        <v>55.98</v>
      </c>
      <c r="H90" s="28" t="s">
        <v>778</v>
      </c>
      <c r="I90" s="27" t="s">
        <v>29</v>
      </c>
      <c r="J90" s="31" t="s">
        <v>5</v>
      </c>
      <c r="K90" s="27" t="s">
        <v>224</v>
      </c>
      <c r="L90" s="27" t="s">
        <v>237</v>
      </c>
      <c r="M90" s="32" t="str">
        <f t="shared" ref="M90:M103" si="0">HYPERLINK("http://slimages.macys.com/is/image/MCY/3910851 ")</f>
        <v xml:space="preserve">http://slimages.macys.com/is/image/MCY/3910851 </v>
      </c>
    </row>
    <row r="91" spans="1:13" ht="15.2" customHeight="1" x14ac:dyDescent="0.2">
      <c r="A91" s="26" t="s">
        <v>1238</v>
      </c>
      <c r="B91" s="27" t="s">
        <v>1239</v>
      </c>
      <c r="C91" s="28">
        <v>1</v>
      </c>
      <c r="D91" s="29">
        <v>11.89</v>
      </c>
      <c r="E91" s="29">
        <v>11.89</v>
      </c>
      <c r="F91" s="30">
        <v>27.99</v>
      </c>
      <c r="G91" s="29">
        <v>27.99</v>
      </c>
      <c r="H91" s="28" t="s">
        <v>778</v>
      </c>
      <c r="I91" s="27" t="s">
        <v>238</v>
      </c>
      <c r="J91" s="31" t="s">
        <v>52</v>
      </c>
      <c r="K91" s="27" t="s">
        <v>224</v>
      </c>
      <c r="L91" s="27" t="s">
        <v>237</v>
      </c>
      <c r="M91" s="32" t="str">
        <f t="shared" si="0"/>
        <v xml:space="preserve">http://slimages.macys.com/is/image/MCY/3910851 </v>
      </c>
    </row>
    <row r="92" spans="1:13" ht="15.2" customHeight="1" x14ac:dyDescent="0.2">
      <c r="A92" s="26" t="s">
        <v>776</v>
      </c>
      <c r="B92" s="27" t="s">
        <v>777</v>
      </c>
      <c r="C92" s="28">
        <v>1</v>
      </c>
      <c r="D92" s="29">
        <v>11.89</v>
      </c>
      <c r="E92" s="29">
        <v>11.89</v>
      </c>
      <c r="F92" s="30">
        <v>27.99</v>
      </c>
      <c r="G92" s="29">
        <v>27.99</v>
      </c>
      <c r="H92" s="28" t="s">
        <v>778</v>
      </c>
      <c r="I92" s="27" t="s">
        <v>238</v>
      </c>
      <c r="J92" s="31" t="s">
        <v>40</v>
      </c>
      <c r="K92" s="27" t="s">
        <v>224</v>
      </c>
      <c r="L92" s="27" t="s">
        <v>237</v>
      </c>
      <c r="M92" s="32" t="str">
        <f t="shared" si="0"/>
        <v xml:space="preserve">http://slimages.macys.com/is/image/MCY/3910851 </v>
      </c>
    </row>
    <row r="93" spans="1:13" ht="15.2" customHeight="1" x14ac:dyDescent="0.2">
      <c r="A93" s="26" t="s">
        <v>1236</v>
      </c>
      <c r="B93" s="27" t="s">
        <v>1237</v>
      </c>
      <c r="C93" s="28">
        <v>3</v>
      </c>
      <c r="D93" s="29">
        <v>11.89</v>
      </c>
      <c r="E93" s="29">
        <v>35.67</v>
      </c>
      <c r="F93" s="30">
        <v>27.99</v>
      </c>
      <c r="G93" s="29">
        <v>83.97</v>
      </c>
      <c r="H93" s="28" t="s">
        <v>778</v>
      </c>
      <c r="I93" s="27" t="s">
        <v>4</v>
      </c>
      <c r="J93" s="31" t="s">
        <v>52</v>
      </c>
      <c r="K93" s="27" t="s">
        <v>224</v>
      </c>
      <c r="L93" s="27" t="s">
        <v>237</v>
      </c>
      <c r="M93" s="32" t="str">
        <f t="shared" si="0"/>
        <v xml:space="preserve">http://slimages.macys.com/is/image/MCY/3910851 </v>
      </c>
    </row>
    <row r="94" spans="1:13" ht="15.2" customHeight="1" x14ac:dyDescent="0.2">
      <c r="A94" s="26" t="s">
        <v>1242</v>
      </c>
      <c r="B94" s="27" t="s">
        <v>1243</v>
      </c>
      <c r="C94" s="28">
        <v>3</v>
      </c>
      <c r="D94" s="29">
        <v>11.89</v>
      </c>
      <c r="E94" s="29">
        <v>35.67</v>
      </c>
      <c r="F94" s="30">
        <v>27.99</v>
      </c>
      <c r="G94" s="29">
        <v>83.97</v>
      </c>
      <c r="H94" s="28" t="s">
        <v>778</v>
      </c>
      <c r="I94" s="27" t="s">
        <v>238</v>
      </c>
      <c r="J94" s="31" t="s">
        <v>5</v>
      </c>
      <c r="K94" s="27" t="s">
        <v>224</v>
      </c>
      <c r="L94" s="27" t="s">
        <v>237</v>
      </c>
      <c r="M94" s="32" t="str">
        <f t="shared" si="0"/>
        <v xml:space="preserve">http://slimages.macys.com/is/image/MCY/3910851 </v>
      </c>
    </row>
    <row r="95" spans="1:13" ht="15.2" customHeight="1" x14ac:dyDescent="0.2">
      <c r="A95" s="26" t="s">
        <v>3274</v>
      </c>
      <c r="B95" s="27" t="s">
        <v>3275</v>
      </c>
      <c r="C95" s="28">
        <v>3</v>
      </c>
      <c r="D95" s="29">
        <v>11.89</v>
      </c>
      <c r="E95" s="29">
        <v>35.67</v>
      </c>
      <c r="F95" s="30">
        <v>27.99</v>
      </c>
      <c r="G95" s="29">
        <v>83.97</v>
      </c>
      <c r="H95" s="28" t="s">
        <v>778</v>
      </c>
      <c r="I95" s="27" t="s">
        <v>280</v>
      </c>
      <c r="J95" s="31" t="s">
        <v>21</v>
      </c>
      <c r="K95" s="27" t="s">
        <v>224</v>
      </c>
      <c r="L95" s="27" t="s">
        <v>237</v>
      </c>
      <c r="M95" s="32" t="str">
        <f t="shared" si="0"/>
        <v xml:space="preserve">http://slimages.macys.com/is/image/MCY/3910851 </v>
      </c>
    </row>
    <row r="96" spans="1:13" ht="15.2" customHeight="1" x14ac:dyDescent="0.2">
      <c r="A96" s="26" t="s">
        <v>1246</v>
      </c>
      <c r="B96" s="27" t="s">
        <v>1247</v>
      </c>
      <c r="C96" s="28">
        <v>2</v>
      </c>
      <c r="D96" s="29">
        <v>11.89</v>
      </c>
      <c r="E96" s="29">
        <v>23.78</v>
      </c>
      <c r="F96" s="30">
        <v>27.99</v>
      </c>
      <c r="G96" s="29">
        <v>55.98</v>
      </c>
      <c r="H96" s="28" t="s">
        <v>778</v>
      </c>
      <c r="I96" s="27" t="s">
        <v>280</v>
      </c>
      <c r="J96" s="31" t="s">
        <v>52</v>
      </c>
      <c r="K96" s="27" t="s">
        <v>224</v>
      </c>
      <c r="L96" s="27" t="s">
        <v>237</v>
      </c>
      <c r="M96" s="32" t="str">
        <f t="shared" si="0"/>
        <v xml:space="preserve">http://slimages.macys.com/is/image/MCY/3910851 </v>
      </c>
    </row>
    <row r="97" spans="1:13" ht="15.2" customHeight="1" x14ac:dyDescent="0.2">
      <c r="A97" s="26" t="s">
        <v>6503</v>
      </c>
      <c r="B97" s="27" t="s">
        <v>6504</v>
      </c>
      <c r="C97" s="28">
        <v>3</v>
      </c>
      <c r="D97" s="29">
        <v>11.89</v>
      </c>
      <c r="E97" s="29">
        <v>35.67</v>
      </c>
      <c r="F97" s="30">
        <v>27.99</v>
      </c>
      <c r="G97" s="29">
        <v>83.97</v>
      </c>
      <c r="H97" s="28" t="s">
        <v>778</v>
      </c>
      <c r="I97" s="27" t="s">
        <v>4</v>
      </c>
      <c r="J97" s="31" t="s">
        <v>40</v>
      </c>
      <c r="K97" s="27" t="s">
        <v>224</v>
      </c>
      <c r="L97" s="27" t="s">
        <v>237</v>
      </c>
      <c r="M97" s="32" t="str">
        <f t="shared" si="0"/>
        <v xml:space="preserve">http://slimages.macys.com/is/image/MCY/3910851 </v>
      </c>
    </row>
    <row r="98" spans="1:13" ht="15.2" customHeight="1" x14ac:dyDescent="0.2">
      <c r="A98" s="26" t="s">
        <v>4210</v>
      </c>
      <c r="B98" s="27" t="s">
        <v>4211</v>
      </c>
      <c r="C98" s="28">
        <v>2</v>
      </c>
      <c r="D98" s="29">
        <v>11.89</v>
      </c>
      <c r="E98" s="29">
        <v>23.78</v>
      </c>
      <c r="F98" s="30">
        <v>27.99</v>
      </c>
      <c r="G98" s="29">
        <v>55.98</v>
      </c>
      <c r="H98" s="28" t="s">
        <v>778</v>
      </c>
      <c r="I98" s="27" t="s">
        <v>4</v>
      </c>
      <c r="J98" s="31" t="s">
        <v>21</v>
      </c>
      <c r="K98" s="27" t="s">
        <v>224</v>
      </c>
      <c r="L98" s="27" t="s">
        <v>237</v>
      </c>
      <c r="M98" s="32" t="str">
        <f t="shared" si="0"/>
        <v xml:space="preserve">http://slimages.macys.com/is/image/MCY/3910851 </v>
      </c>
    </row>
    <row r="99" spans="1:13" ht="15.2" customHeight="1" x14ac:dyDescent="0.2">
      <c r="A99" s="26" t="s">
        <v>4208</v>
      </c>
      <c r="B99" s="27" t="s">
        <v>4209</v>
      </c>
      <c r="C99" s="28">
        <v>1</v>
      </c>
      <c r="D99" s="29">
        <v>11.89</v>
      </c>
      <c r="E99" s="29">
        <v>11.89</v>
      </c>
      <c r="F99" s="30">
        <v>27.99</v>
      </c>
      <c r="G99" s="29">
        <v>27.99</v>
      </c>
      <c r="H99" s="28" t="s">
        <v>778</v>
      </c>
      <c r="I99" s="27" t="s">
        <v>29</v>
      </c>
      <c r="J99" s="31" t="s">
        <v>21</v>
      </c>
      <c r="K99" s="27" t="s">
        <v>224</v>
      </c>
      <c r="L99" s="27" t="s">
        <v>237</v>
      </c>
      <c r="M99" s="32" t="str">
        <f t="shared" si="0"/>
        <v xml:space="preserve">http://slimages.macys.com/is/image/MCY/3910851 </v>
      </c>
    </row>
    <row r="100" spans="1:13" ht="15.2" customHeight="1" x14ac:dyDescent="0.2">
      <c r="A100" s="26" t="s">
        <v>1244</v>
      </c>
      <c r="B100" s="27" t="s">
        <v>1245</v>
      </c>
      <c r="C100" s="28">
        <v>5</v>
      </c>
      <c r="D100" s="29">
        <v>11.89</v>
      </c>
      <c r="E100" s="29">
        <v>59.45</v>
      </c>
      <c r="F100" s="30">
        <v>27.99</v>
      </c>
      <c r="G100" s="29">
        <v>139.94999999999999</v>
      </c>
      <c r="H100" s="28" t="s">
        <v>778</v>
      </c>
      <c r="I100" s="27" t="s">
        <v>238</v>
      </c>
      <c r="J100" s="31" t="s">
        <v>21</v>
      </c>
      <c r="K100" s="27" t="s">
        <v>224</v>
      </c>
      <c r="L100" s="27" t="s">
        <v>237</v>
      </c>
      <c r="M100" s="32" t="str">
        <f t="shared" si="0"/>
        <v xml:space="preserve">http://slimages.macys.com/is/image/MCY/3910851 </v>
      </c>
    </row>
    <row r="101" spans="1:13" ht="15.2" customHeight="1" x14ac:dyDescent="0.2">
      <c r="A101" s="26" t="s">
        <v>4757</v>
      </c>
      <c r="B101" s="27" t="s">
        <v>4758</v>
      </c>
      <c r="C101" s="28">
        <v>2</v>
      </c>
      <c r="D101" s="29">
        <v>11.89</v>
      </c>
      <c r="E101" s="29">
        <v>23.78</v>
      </c>
      <c r="F101" s="30">
        <v>27.99</v>
      </c>
      <c r="G101" s="29">
        <v>55.98</v>
      </c>
      <c r="H101" s="28" t="s">
        <v>778</v>
      </c>
      <c r="I101" s="27" t="s">
        <v>280</v>
      </c>
      <c r="J101" s="31" t="s">
        <v>40</v>
      </c>
      <c r="K101" s="27" t="s">
        <v>224</v>
      </c>
      <c r="L101" s="27" t="s">
        <v>237</v>
      </c>
      <c r="M101" s="32" t="str">
        <f t="shared" si="0"/>
        <v xml:space="preserve">http://slimages.macys.com/is/image/MCY/3910851 </v>
      </c>
    </row>
    <row r="102" spans="1:13" ht="15.2" customHeight="1" x14ac:dyDescent="0.2">
      <c r="A102" s="26" t="s">
        <v>1240</v>
      </c>
      <c r="B102" s="27" t="s">
        <v>1241</v>
      </c>
      <c r="C102" s="28">
        <v>2</v>
      </c>
      <c r="D102" s="29">
        <v>11.89</v>
      </c>
      <c r="E102" s="29">
        <v>23.78</v>
      </c>
      <c r="F102" s="30">
        <v>27.99</v>
      </c>
      <c r="G102" s="29">
        <v>55.98</v>
      </c>
      <c r="H102" s="28" t="s">
        <v>778</v>
      </c>
      <c r="I102" s="27" t="s">
        <v>4</v>
      </c>
      <c r="J102" s="31" t="s">
        <v>5</v>
      </c>
      <c r="K102" s="27" t="s">
        <v>224</v>
      </c>
      <c r="L102" s="27" t="s">
        <v>237</v>
      </c>
      <c r="M102" s="32" t="str">
        <f t="shared" si="0"/>
        <v xml:space="preserve">http://slimages.macys.com/is/image/MCY/3910851 </v>
      </c>
    </row>
    <row r="103" spans="1:13" ht="15.2" customHeight="1" x14ac:dyDescent="0.2">
      <c r="A103" s="26" t="s">
        <v>3811</v>
      </c>
      <c r="B103" s="27" t="s">
        <v>3812</v>
      </c>
      <c r="C103" s="28">
        <v>2</v>
      </c>
      <c r="D103" s="29">
        <v>11.89</v>
      </c>
      <c r="E103" s="29">
        <v>23.78</v>
      </c>
      <c r="F103" s="30">
        <v>27.99</v>
      </c>
      <c r="G103" s="29">
        <v>55.98</v>
      </c>
      <c r="H103" s="28" t="s">
        <v>778</v>
      </c>
      <c r="I103" s="27" t="s">
        <v>29</v>
      </c>
      <c r="J103" s="31" t="s">
        <v>52</v>
      </c>
      <c r="K103" s="27" t="s">
        <v>224</v>
      </c>
      <c r="L103" s="27" t="s">
        <v>237</v>
      </c>
      <c r="M103" s="32" t="str">
        <f t="shared" si="0"/>
        <v xml:space="preserve">http://slimages.macys.com/is/image/MCY/3910851 </v>
      </c>
    </row>
    <row r="104" spans="1:13" ht="15.2" customHeight="1" x14ac:dyDescent="0.2">
      <c r="A104" s="26" t="s">
        <v>6505</v>
      </c>
      <c r="B104" s="27" t="s">
        <v>6506</v>
      </c>
      <c r="C104" s="28">
        <v>1</v>
      </c>
      <c r="D104" s="29">
        <v>11.75</v>
      </c>
      <c r="E104" s="29">
        <v>11.75</v>
      </c>
      <c r="F104" s="30">
        <v>24.99</v>
      </c>
      <c r="G104" s="29">
        <v>24.99</v>
      </c>
      <c r="H104" s="28">
        <v>48088</v>
      </c>
      <c r="I104" s="27" t="s">
        <v>94</v>
      </c>
      <c r="J104" s="31" t="s">
        <v>40</v>
      </c>
      <c r="K104" s="27" t="s">
        <v>196</v>
      </c>
      <c r="L104" s="27" t="s">
        <v>1808</v>
      </c>
      <c r="M104" s="32" t="str">
        <f>HYPERLINK("http://slimages.macys.com/is/image/MCY/3916034 ")</f>
        <v xml:space="preserve">http://slimages.macys.com/is/image/MCY/3916034 </v>
      </c>
    </row>
    <row r="105" spans="1:13" ht="15.2" customHeight="1" x14ac:dyDescent="0.2">
      <c r="A105" s="26" t="s">
        <v>6507</v>
      </c>
      <c r="B105" s="27" t="s">
        <v>6508</v>
      </c>
      <c r="C105" s="28">
        <v>1</v>
      </c>
      <c r="D105" s="29">
        <v>11.5</v>
      </c>
      <c r="E105" s="29">
        <v>11.5</v>
      </c>
      <c r="F105" s="30">
        <v>25.99</v>
      </c>
      <c r="G105" s="29">
        <v>25.99</v>
      </c>
      <c r="H105" s="28" t="s">
        <v>229</v>
      </c>
      <c r="I105" s="27" t="s">
        <v>75</v>
      </c>
      <c r="J105" s="31" t="s">
        <v>210</v>
      </c>
      <c r="K105" s="27" t="s">
        <v>200</v>
      </c>
      <c r="L105" s="27" t="s">
        <v>133</v>
      </c>
      <c r="M105" s="32" t="str">
        <f>HYPERLINK("http://slimages.macys.com/is/image/MCY/3858043 ")</f>
        <v xml:space="preserve">http://slimages.macys.com/is/image/MCY/3858043 </v>
      </c>
    </row>
    <row r="106" spans="1:13" ht="15.2" customHeight="1" x14ac:dyDescent="0.2">
      <c r="A106" s="26" t="s">
        <v>6509</v>
      </c>
      <c r="B106" s="27" t="s">
        <v>6510</v>
      </c>
      <c r="C106" s="28">
        <v>1</v>
      </c>
      <c r="D106" s="29">
        <v>11.5</v>
      </c>
      <c r="E106" s="29">
        <v>11.5</v>
      </c>
      <c r="F106" s="30">
        <v>27.99</v>
      </c>
      <c r="G106" s="29">
        <v>27.99</v>
      </c>
      <c r="H106" s="28" t="s">
        <v>223</v>
      </c>
      <c r="I106" s="27" t="s">
        <v>36</v>
      </c>
      <c r="J106" s="31" t="s">
        <v>52</v>
      </c>
      <c r="K106" s="27" t="s">
        <v>224</v>
      </c>
      <c r="L106" s="27" t="s">
        <v>225</v>
      </c>
      <c r="M106" s="32" t="str">
        <f>HYPERLINK("http://slimages.macys.com/is/image/MCY/3777812 ")</f>
        <v xml:space="preserve">http://slimages.macys.com/is/image/MCY/3777812 </v>
      </c>
    </row>
    <row r="107" spans="1:13" ht="15.2" customHeight="1" x14ac:dyDescent="0.2">
      <c r="A107" s="26" t="s">
        <v>6511</v>
      </c>
      <c r="B107" s="27" t="s">
        <v>6512</v>
      </c>
      <c r="C107" s="28">
        <v>1</v>
      </c>
      <c r="D107" s="29">
        <v>11.5</v>
      </c>
      <c r="E107" s="29">
        <v>11.5</v>
      </c>
      <c r="F107" s="30">
        <v>39</v>
      </c>
      <c r="G107" s="29">
        <v>39</v>
      </c>
      <c r="H107" s="28" t="s">
        <v>5965</v>
      </c>
      <c r="I107" s="27" t="s">
        <v>215</v>
      </c>
      <c r="J107" s="31" t="s">
        <v>52</v>
      </c>
      <c r="K107" s="27" t="s">
        <v>154</v>
      </c>
      <c r="L107" s="27" t="s">
        <v>155</v>
      </c>
      <c r="M107" s="32" t="str">
        <f>HYPERLINK("http://slimages.macys.com/is/image/MCY/3781158 ")</f>
        <v xml:space="preserve">http://slimages.macys.com/is/image/MCY/3781158 </v>
      </c>
    </row>
    <row r="108" spans="1:13" ht="15.2" customHeight="1" x14ac:dyDescent="0.2">
      <c r="A108" s="26" t="s">
        <v>3841</v>
      </c>
      <c r="B108" s="27" t="s">
        <v>3842</v>
      </c>
      <c r="C108" s="28">
        <v>1</v>
      </c>
      <c r="D108" s="29">
        <v>10.5</v>
      </c>
      <c r="E108" s="29">
        <v>10.5</v>
      </c>
      <c r="F108" s="30">
        <v>27.99</v>
      </c>
      <c r="G108" s="29">
        <v>27.99</v>
      </c>
      <c r="H108" s="28" t="s">
        <v>790</v>
      </c>
      <c r="I108" s="27" t="s">
        <v>285</v>
      </c>
      <c r="J108" s="31" t="s">
        <v>21</v>
      </c>
      <c r="K108" s="27" t="s">
        <v>224</v>
      </c>
      <c r="L108" s="27" t="s">
        <v>239</v>
      </c>
      <c r="M108" s="32" t="str">
        <f>HYPERLINK("http://slimages.macys.com/is/image/MCY/3910858 ")</f>
        <v xml:space="preserve">http://slimages.macys.com/is/image/MCY/3910858 </v>
      </c>
    </row>
    <row r="109" spans="1:13" ht="15.2" customHeight="1" x14ac:dyDescent="0.2">
      <c r="A109" s="26" t="s">
        <v>6513</v>
      </c>
      <c r="B109" s="27" t="s">
        <v>6514</v>
      </c>
      <c r="C109" s="28">
        <v>1</v>
      </c>
      <c r="D109" s="29">
        <v>10.5</v>
      </c>
      <c r="E109" s="29">
        <v>10.5</v>
      </c>
      <c r="F109" s="30">
        <v>24.99</v>
      </c>
      <c r="G109" s="29">
        <v>24.99</v>
      </c>
      <c r="H109" s="28" t="s">
        <v>1810</v>
      </c>
      <c r="I109" s="27" t="s">
        <v>4</v>
      </c>
      <c r="J109" s="31" t="s">
        <v>5</v>
      </c>
      <c r="K109" s="27" t="s">
        <v>159</v>
      </c>
      <c r="L109" s="27" t="s">
        <v>160</v>
      </c>
      <c r="M109" s="32" t="str">
        <f>HYPERLINK("http://slimages.macys.com/is/image/MCY/3813785 ")</f>
        <v xml:space="preserve">http://slimages.macys.com/is/image/MCY/3813785 </v>
      </c>
    </row>
    <row r="110" spans="1:13" ht="15.2" customHeight="1" x14ac:dyDescent="0.2">
      <c r="A110" s="26" t="s">
        <v>1811</v>
      </c>
      <c r="B110" s="27" t="s">
        <v>1812</v>
      </c>
      <c r="C110" s="28">
        <v>1</v>
      </c>
      <c r="D110" s="29">
        <v>10.5</v>
      </c>
      <c r="E110" s="29">
        <v>10.5</v>
      </c>
      <c r="F110" s="30">
        <v>24.99</v>
      </c>
      <c r="G110" s="29">
        <v>24.99</v>
      </c>
      <c r="H110" s="28" t="s">
        <v>259</v>
      </c>
      <c r="I110" s="27" t="s">
        <v>36</v>
      </c>
      <c r="J110" s="31" t="s">
        <v>40</v>
      </c>
      <c r="K110" s="27" t="s">
        <v>224</v>
      </c>
      <c r="L110" s="27" t="s">
        <v>260</v>
      </c>
      <c r="M110" s="32" t="str">
        <f>HYPERLINK("http://slimages.macys.com/is/image/MCY/3832935 ")</f>
        <v xml:space="preserve">http://slimages.macys.com/is/image/MCY/3832935 </v>
      </c>
    </row>
    <row r="111" spans="1:13" ht="15.2" customHeight="1" x14ac:dyDescent="0.2">
      <c r="A111" s="26" t="s">
        <v>3336</v>
      </c>
      <c r="B111" s="27" t="s">
        <v>3337</v>
      </c>
      <c r="C111" s="28">
        <v>1</v>
      </c>
      <c r="D111" s="29">
        <v>10.5</v>
      </c>
      <c r="E111" s="29">
        <v>10.5</v>
      </c>
      <c r="F111" s="30">
        <v>27.99</v>
      </c>
      <c r="G111" s="29">
        <v>27.99</v>
      </c>
      <c r="H111" s="28" t="s">
        <v>790</v>
      </c>
      <c r="I111" s="27" t="s">
        <v>189</v>
      </c>
      <c r="J111" s="31" t="s">
        <v>40</v>
      </c>
      <c r="K111" s="27" t="s">
        <v>224</v>
      </c>
      <c r="L111" s="27" t="s">
        <v>239</v>
      </c>
      <c r="M111" s="32" t="str">
        <f>HYPERLINK("http://slimages.macys.com/is/image/MCY/3910853 ")</f>
        <v xml:space="preserve">http://slimages.macys.com/is/image/MCY/3910853 </v>
      </c>
    </row>
    <row r="112" spans="1:13" ht="15.2" customHeight="1" x14ac:dyDescent="0.2">
      <c r="A112" s="26" t="s">
        <v>3330</v>
      </c>
      <c r="B112" s="27" t="s">
        <v>3331</v>
      </c>
      <c r="C112" s="28">
        <v>1</v>
      </c>
      <c r="D112" s="29">
        <v>10.5</v>
      </c>
      <c r="E112" s="29">
        <v>10.5</v>
      </c>
      <c r="F112" s="30">
        <v>27.99</v>
      </c>
      <c r="G112" s="29">
        <v>27.99</v>
      </c>
      <c r="H112" s="28" t="s">
        <v>790</v>
      </c>
      <c r="I112" s="27" t="s">
        <v>285</v>
      </c>
      <c r="J112" s="31" t="s">
        <v>71</v>
      </c>
      <c r="K112" s="27" t="s">
        <v>224</v>
      </c>
      <c r="L112" s="27" t="s">
        <v>239</v>
      </c>
      <c r="M112" s="32" t="str">
        <f>HYPERLINK("http://slimages.macys.com/is/image/MCY/3910858 ")</f>
        <v xml:space="preserve">http://slimages.macys.com/is/image/MCY/3910858 </v>
      </c>
    </row>
    <row r="113" spans="1:13" ht="15.2" customHeight="1" x14ac:dyDescent="0.2">
      <c r="A113" s="26" t="s">
        <v>1301</v>
      </c>
      <c r="B113" s="27" t="s">
        <v>1302</v>
      </c>
      <c r="C113" s="28">
        <v>1</v>
      </c>
      <c r="D113" s="29">
        <v>10.5</v>
      </c>
      <c r="E113" s="29">
        <v>10.5</v>
      </c>
      <c r="F113" s="30">
        <v>27.99</v>
      </c>
      <c r="G113" s="29">
        <v>27.99</v>
      </c>
      <c r="H113" s="28" t="s">
        <v>790</v>
      </c>
      <c r="I113" s="27" t="s">
        <v>189</v>
      </c>
      <c r="J113" s="31" t="s">
        <v>5</v>
      </c>
      <c r="K113" s="27" t="s">
        <v>224</v>
      </c>
      <c r="L113" s="27" t="s">
        <v>239</v>
      </c>
      <c r="M113" s="32" t="str">
        <f>HYPERLINK("http://slimages.macys.com/is/image/MCY/3910853 ")</f>
        <v xml:space="preserve">http://slimages.macys.com/is/image/MCY/3910853 </v>
      </c>
    </row>
    <row r="114" spans="1:13" ht="15.2" customHeight="1" x14ac:dyDescent="0.2">
      <c r="A114" s="26" t="s">
        <v>6515</v>
      </c>
      <c r="B114" s="27" t="s">
        <v>6516</v>
      </c>
      <c r="C114" s="28">
        <v>1</v>
      </c>
      <c r="D114" s="29">
        <v>10</v>
      </c>
      <c r="E114" s="29">
        <v>10</v>
      </c>
      <c r="F114" s="30">
        <v>24.99</v>
      </c>
      <c r="G114" s="29">
        <v>24.99</v>
      </c>
      <c r="H114" s="28" t="s">
        <v>270</v>
      </c>
      <c r="I114" s="27" t="s">
        <v>4</v>
      </c>
      <c r="J114" s="31" t="s">
        <v>71</v>
      </c>
      <c r="K114" s="27" t="s">
        <v>224</v>
      </c>
      <c r="L114" s="27" t="s">
        <v>260</v>
      </c>
      <c r="M114" s="32" t="str">
        <f>HYPERLINK("http://slimages.macys.com/is/image/MCY/3931167 ")</f>
        <v xml:space="preserve">http://slimages.macys.com/is/image/MCY/3931167 </v>
      </c>
    </row>
    <row r="115" spans="1:13" ht="15.2" customHeight="1" x14ac:dyDescent="0.2">
      <c r="A115" s="26" t="s">
        <v>6382</v>
      </c>
      <c r="B115" s="27" t="s">
        <v>6383</v>
      </c>
      <c r="C115" s="28">
        <v>1</v>
      </c>
      <c r="D115" s="29">
        <v>10</v>
      </c>
      <c r="E115" s="29">
        <v>10</v>
      </c>
      <c r="F115" s="30">
        <v>24.99</v>
      </c>
      <c r="G115" s="29">
        <v>24.99</v>
      </c>
      <c r="H115" s="28" t="s">
        <v>270</v>
      </c>
      <c r="I115" s="27" t="s">
        <v>271</v>
      </c>
      <c r="J115" s="31" t="s">
        <v>5</v>
      </c>
      <c r="K115" s="27" t="s">
        <v>224</v>
      </c>
      <c r="L115" s="27" t="s">
        <v>260</v>
      </c>
      <c r="M115" s="32" t="str">
        <f>HYPERLINK("http://slimages.macys.com/is/image/MCY/3931167 ")</f>
        <v xml:space="preserve">http://slimages.macys.com/is/image/MCY/3931167 </v>
      </c>
    </row>
    <row r="116" spans="1:13" ht="15.2" customHeight="1" x14ac:dyDescent="0.2">
      <c r="A116" s="26" t="s">
        <v>4220</v>
      </c>
      <c r="B116" s="27" t="s">
        <v>4221</v>
      </c>
      <c r="C116" s="28">
        <v>2</v>
      </c>
      <c r="D116" s="29">
        <v>10</v>
      </c>
      <c r="E116" s="29">
        <v>20</v>
      </c>
      <c r="F116" s="30">
        <v>24.99</v>
      </c>
      <c r="G116" s="29">
        <v>49.98</v>
      </c>
      <c r="H116" s="28" t="s">
        <v>270</v>
      </c>
      <c r="I116" s="27" t="s">
        <v>75</v>
      </c>
      <c r="J116" s="31" t="s">
        <v>21</v>
      </c>
      <c r="K116" s="27" t="s">
        <v>224</v>
      </c>
      <c r="L116" s="27" t="s">
        <v>260</v>
      </c>
      <c r="M116" s="32" t="str">
        <f>HYPERLINK("http://slimages.macys.com/is/image/MCY/3931167 ")</f>
        <v xml:space="preserve">http://slimages.macys.com/is/image/MCY/3931167 </v>
      </c>
    </row>
    <row r="117" spans="1:13" ht="15.2" customHeight="1" x14ac:dyDescent="0.2">
      <c r="A117" s="26" t="s">
        <v>6517</v>
      </c>
      <c r="B117" s="27" t="s">
        <v>6518</v>
      </c>
      <c r="C117" s="28">
        <v>1</v>
      </c>
      <c r="D117" s="29">
        <v>10</v>
      </c>
      <c r="E117" s="29">
        <v>10</v>
      </c>
      <c r="F117" s="30">
        <v>24.98</v>
      </c>
      <c r="G117" s="29">
        <v>24.98</v>
      </c>
      <c r="H117" s="28" t="s">
        <v>6519</v>
      </c>
      <c r="I117" s="27" t="s">
        <v>271</v>
      </c>
      <c r="J117" s="31" t="s">
        <v>71</v>
      </c>
      <c r="K117" s="27" t="s">
        <v>154</v>
      </c>
      <c r="L117" s="27" t="s">
        <v>155</v>
      </c>
      <c r="M117" s="32" t="str">
        <f>HYPERLINK("http://slimages.macys.com/is/image/MCY/3808487 ")</f>
        <v xml:space="preserve">http://slimages.macys.com/is/image/MCY/3808487 </v>
      </c>
    </row>
    <row r="118" spans="1:13" ht="15.2" customHeight="1" x14ac:dyDescent="0.2">
      <c r="A118" s="26" t="s">
        <v>6520</v>
      </c>
      <c r="B118" s="27" t="s">
        <v>6521</v>
      </c>
      <c r="C118" s="28">
        <v>1</v>
      </c>
      <c r="D118" s="29">
        <v>9.75</v>
      </c>
      <c r="E118" s="29">
        <v>9.75</v>
      </c>
      <c r="F118" s="30">
        <v>24.99</v>
      </c>
      <c r="G118" s="29">
        <v>24.99</v>
      </c>
      <c r="H118" s="28" t="s">
        <v>6522</v>
      </c>
      <c r="I118" s="27" t="s">
        <v>22</v>
      </c>
      <c r="J118" s="31" t="s">
        <v>65</v>
      </c>
      <c r="K118" s="27" t="s">
        <v>70</v>
      </c>
      <c r="L118" s="27" t="s">
        <v>250</v>
      </c>
      <c r="M118" s="32" t="str">
        <f>HYPERLINK("http://slimages.macys.com/is/image/MCY/3823552 ")</f>
        <v xml:space="preserve">http://slimages.macys.com/is/image/MCY/3823552 </v>
      </c>
    </row>
    <row r="119" spans="1:13" ht="15.2" customHeight="1" x14ac:dyDescent="0.2">
      <c r="A119" s="26" t="s">
        <v>6523</v>
      </c>
      <c r="B119" s="27" t="s">
        <v>6524</v>
      </c>
      <c r="C119" s="28">
        <v>2</v>
      </c>
      <c r="D119" s="29">
        <v>9.75</v>
      </c>
      <c r="E119" s="29">
        <v>19.5</v>
      </c>
      <c r="F119" s="30">
        <v>24.99</v>
      </c>
      <c r="G119" s="29">
        <v>49.98</v>
      </c>
      <c r="H119" s="28" t="s">
        <v>4347</v>
      </c>
      <c r="I119" s="27" t="s">
        <v>82</v>
      </c>
      <c r="J119" s="31" t="s">
        <v>21</v>
      </c>
      <c r="K119" s="27" t="s">
        <v>224</v>
      </c>
      <c r="L119" s="27" t="s">
        <v>197</v>
      </c>
      <c r="M119" s="32" t="str">
        <f>HYPERLINK("http://slimages.macys.com/is/image/MCY/3820961 ")</f>
        <v xml:space="preserve">http://slimages.macys.com/is/image/MCY/3820961 </v>
      </c>
    </row>
    <row r="120" spans="1:13" ht="15.2" customHeight="1" x14ac:dyDescent="0.2">
      <c r="A120" s="26" t="s">
        <v>277</v>
      </c>
      <c r="B120" s="27" t="s">
        <v>278</v>
      </c>
      <c r="C120" s="28">
        <v>1</v>
      </c>
      <c r="D120" s="29">
        <v>9.65</v>
      </c>
      <c r="E120" s="29">
        <v>9.65</v>
      </c>
      <c r="F120" s="30">
        <v>27.99</v>
      </c>
      <c r="G120" s="29">
        <v>27.99</v>
      </c>
      <c r="H120" s="28" t="s">
        <v>279</v>
      </c>
      <c r="I120" s="27" t="s">
        <v>280</v>
      </c>
      <c r="J120" s="31" t="s">
        <v>5</v>
      </c>
      <c r="K120" s="27" t="s">
        <v>224</v>
      </c>
      <c r="L120" s="27" t="s">
        <v>237</v>
      </c>
      <c r="M120" s="32" t="str">
        <f>HYPERLINK("http://slimages.macys.com/is/image/MCY/3820978 ")</f>
        <v xml:space="preserve">http://slimages.macys.com/is/image/MCY/3820978 </v>
      </c>
    </row>
    <row r="121" spans="1:13" ht="15.2" customHeight="1" x14ac:dyDescent="0.2">
      <c r="A121" s="26" t="s">
        <v>6525</v>
      </c>
      <c r="B121" s="27" t="s">
        <v>6526</v>
      </c>
      <c r="C121" s="28">
        <v>1</v>
      </c>
      <c r="D121" s="29">
        <v>9.5</v>
      </c>
      <c r="E121" s="29">
        <v>9.5</v>
      </c>
      <c r="F121" s="30">
        <v>22.99</v>
      </c>
      <c r="G121" s="29">
        <v>22.99</v>
      </c>
      <c r="H121" s="28" t="s">
        <v>5065</v>
      </c>
      <c r="I121" s="27" t="s">
        <v>10</v>
      </c>
      <c r="J121" s="31" t="s">
        <v>5</v>
      </c>
      <c r="K121" s="27" t="s">
        <v>208</v>
      </c>
      <c r="L121" s="27" t="s">
        <v>197</v>
      </c>
      <c r="M121" s="32" t="str">
        <f>HYPERLINK("http://slimages.macys.com/is/image/MCY/3738472 ")</f>
        <v xml:space="preserve">http://slimages.macys.com/is/image/MCY/3738472 </v>
      </c>
    </row>
    <row r="122" spans="1:13" ht="15.2" customHeight="1" x14ac:dyDescent="0.2">
      <c r="A122" s="26" t="s">
        <v>6219</v>
      </c>
      <c r="B122" s="27" t="s">
        <v>6220</v>
      </c>
      <c r="C122" s="28">
        <v>1</v>
      </c>
      <c r="D122" s="29">
        <v>9.25</v>
      </c>
      <c r="E122" s="29">
        <v>9.25</v>
      </c>
      <c r="F122" s="30">
        <v>19.989999999999998</v>
      </c>
      <c r="G122" s="29">
        <v>19.989999999999998</v>
      </c>
      <c r="H122" s="28" t="s">
        <v>2934</v>
      </c>
      <c r="I122" s="27" t="s">
        <v>22</v>
      </c>
      <c r="J122" s="31" t="s">
        <v>21</v>
      </c>
      <c r="K122" s="27" t="s">
        <v>282</v>
      </c>
      <c r="L122" s="27" t="s">
        <v>283</v>
      </c>
      <c r="M122" s="32" t="str">
        <f>HYPERLINK("http://slimages.macys.com/is/image/MCY/3875951 ")</f>
        <v xml:space="preserve">http://slimages.macys.com/is/image/MCY/3875951 </v>
      </c>
    </row>
    <row r="123" spans="1:13" ht="15.2" customHeight="1" x14ac:dyDescent="0.2">
      <c r="A123" s="26" t="s">
        <v>4477</v>
      </c>
      <c r="B123" s="27" t="s">
        <v>4478</v>
      </c>
      <c r="C123" s="28">
        <v>1</v>
      </c>
      <c r="D123" s="29">
        <v>9.25</v>
      </c>
      <c r="E123" s="29">
        <v>9.25</v>
      </c>
      <c r="F123" s="30">
        <v>19.989999999999998</v>
      </c>
      <c r="G123" s="29">
        <v>19.989999999999998</v>
      </c>
      <c r="H123" s="28" t="s">
        <v>290</v>
      </c>
      <c r="I123" s="27" t="s">
        <v>59</v>
      </c>
      <c r="J123" s="31" t="s">
        <v>40</v>
      </c>
      <c r="K123" s="27" t="s">
        <v>282</v>
      </c>
      <c r="L123" s="27" t="s">
        <v>283</v>
      </c>
      <c r="M123" s="32" t="str">
        <f>HYPERLINK("http://slimages.macys.com/is/image/MCY/3875956 ")</f>
        <v xml:space="preserve">http://slimages.macys.com/is/image/MCY/3875956 </v>
      </c>
    </row>
    <row r="124" spans="1:13" ht="15.2" customHeight="1" x14ac:dyDescent="0.2">
      <c r="A124" s="26" t="s">
        <v>5073</v>
      </c>
      <c r="B124" s="27" t="s">
        <v>5074</v>
      </c>
      <c r="C124" s="28">
        <v>1</v>
      </c>
      <c r="D124" s="29">
        <v>9.24</v>
      </c>
      <c r="E124" s="29">
        <v>9.24</v>
      </c>
      <c r="F124" s="30">
        <v>21.99</v>
      </c>
      <c r="G124" s="29">
        <v>21.99</v>
      </c>
      <c r="H124" s="28" t="s">
        <v>5075</v>
      </c>
      <c r="I124" s="27" t="s">
        <v>4</v>
      </c>
      <c r="J124" s="31" t="s">
        <v>52</v>
      </c>
      <c r="K124" s="27" t="s">
        <v>159</v>
      </c>
      <c r="L124" s="27" t="s">
        <v>160</v>
      </c>
      <c r="M124" s="32" t="str">
        <f>HYPERLINK("http://slimages.macys.com/is/image/MCY/3738488 ")</f>
        <v xml:space="preserve">http://slimages.macys.com/is/image/MCY/3738488 </v>
      </c>
    </row>
    <row r="125" spans="1:13" ht="15.2" customHeight="1" x14ac:dyDescent="0.2">
      <c r="A125" s="26" t="s">
        <v>2635</v>
      </c>
      <c r="B125" s="27" t="s">
        <v>2636</v>
      </c>
      <c r="C125" s="28">
        <v>1</v>
      </c>
      <c r="D125" s="29">
        <v>9.2200000000000006</v>
      </c>
      <c r="E125" s="29">
        <v>9.2200000000000006</v>
      </c>
      <c r="F125" s="30">
        <v>21.99</v>
      </c>
      <c r="G125" s="29">
        <v>21.99</v>
      </c>
      <c r="H125" s="28" t="s">
        <v>294</v>
      </c>
      <c r="I125" s="27" t="s">
        <v>295</v>
      </c>
      <c r="J125" s="31" t="s">
        <v>40</v>
      </c>
      <c r="K125" s="27" t="s">
        <v>159</v>
      </c>
      <c r="L125" s="27" t="s">
        <v>160</v>
      </c>
      <c r="M125" s="32" t="str">
        <f>HYPERLINK("http://slimages.macys.com/is/image/MCY/3857709 ")</f>
        <v xml:space="preserve">http://slimages.macys.com/is/image/MCY/3857709 </v>
      </c>
    </row>
    <row r="126" spans="1:13" ht="15.2" customHeight="1" x14ac:dyDescent="0.2">
      <c r="A126" s="26" t="s">
        <v>1827</v>
      </c>
      <c r="B126" s="27" t="s">
        <v>1828</v>
      </c>
      <c r="C126" s="28">
        <v>1</v>
      </c>
      <c r="D126" s="29">
        <v>9.2200000000000006</v>
      </c>
      <c r="E126" s="29">
        <v>9.2200000000000006</v>
      </c>
      <c r="F126" s="30">
        <v>21.99</v>
      </c>
      <c r="G126" s="29">
        <v>21.99</v>
      </c>
      <c r="H126" s="28" t="s">
        <v>296</v>
      </c>
      <c r="I126" s="27" t="s">
        <v>36</v>
      </c>
      <c r="J126" s="31" t="s">
        <v>5</v>
      </c>
      <c r="K126" s="27" t="s">
        <v>159</v>
      </c>
      <c r="L126" s="27" t="s">
        <v>160</v>
      </c>
      <c r="M126" s="32" t="str">
        <f>HYPERLINK("http://slimages.macys.com/is/image/MCY/3857710 ")</f>
        <v xml:space="preserve">http://slimages.macys.com/is/image/MCY/3857710 </v>
      </c>
    </row>
    <row r="127" spans="1:13" ht="15.2" customHeight="1" x14ac:dyDescent="0.2">
      <c r="A127" s="26" t="s">
        <v>297</v>
      </c>
      <c r="B127" s="27" t="s">
        <v>298</v>
      </c>
      <c r="C127" s="28">
        <v>1</v>
      </c>
      <c r="D127" s="29">
        <v>9.2200000000000006</v>
      </c>
      <c r="E127" s="29">
        <v>9.2200000000000006</v>
      </c>
      <c r="F127" s="30">
        <v>21.99</v>
      </c>
      <c r="G127" s="29">
        <v>21.99</v>
      </c>
      <c r="H127" s="28" t="s">
        <v>296</v>
      </c>
      <c r="I127" s="27" t="s">
        <v>36</v>
      </c>
      <c r="J127" s="31" t="s">
        <v>71</v>
      </c>
      <c r="K127" s="27" t="s">
        <v>159</v>
      </c>
      <c r="L127" s="27" t="s">
        <v>160</v>
      </c>
      <c r="M127" s="32" t="str">
        <f>HYPERLINK("http://slimages.macys.com/is/image/MCY/3857710 ")</f>
        <v xml:space="preserve">http://slimages.macys.com/is/image/MCY/3857710 </v>
      </c>
    </row>
    <row r="128" spans="1:13" ht="15.2" customHeight="1" x14ac:dyDescent="0.2">
      <c r="A128" s="26" t="s">
        <v>1345</v>
      </c>
      <c r="B128" s="27" t="s">
        <v>1346</v>
      </c>
      <c r="C128" s="28">
        <v>1</v>
      </c>
      <c r="D128" s="29">
        <v>9.2200000000000006</v>
      </c>
      <c r="E128" s="29">
        <v>9.2200000000000006</v>
      </c>
      <c r="F128" s="30">
        <v>21.99</v>
      </c>
      <c r="G128" s="29">
        <v>21.99</v>
      </c>
      <c r="H128" s="28" t="s">
        <v>1347</v>
      </c>
      <c r="I128" s="27" t="s">
        <v>4</v>
      </c>
      <c r="J128" s="31" t="s">
        <v>52</v>
      </c>
      <c r="K128" s="27" t="s">
        <v>159</v>
      </c>
      <c r="L128" s="27" t="s">
        <v>160</v>
      </c>
      <c r="M128" s="32" t="str">
        <f>HYPERLINK("http://slimages.macys.com/is/image/MCY/3870610 ")</f>
        <v xml:space="preserve">http://slimages.macys.com/is/image/MCY/3870610 </v>
      </c>
    </row>
    <row r="129" spans="1:13" ht="15.2" customHeight="1" x14ac:dyDescent="0.2">
      <c r="A129" s="26" t="s">
        <v>2641</v>
      </c>
      <c r="B129" s="27" t="s">
        <v>2642</v>
      </c>
      <c r="C129" s="28">
        <v>1</v>
      </c>
      <c r="D129" s="29">
        <v>9.2200000000000006</v>
      </c>
      <c r="E129" s="29">
        <v>9.2200000000000006</v>
      </c>
      <c r="F129" s="30">
        <v>21.99</v>
      </c>
      <c r="G129" s="29">
        <v>21.99</v>
      </c>
      <c r="H129" s="28" t="s">
        <v>1347</v>
      </c>
      <c r="I129" s="27" t="s">
        <v>4</v>
      </c>
      <c r="J129" s="31" t="s">
        <v>5</v>
      </c>
      <c r="K129" s="27" t="s">
        <v>159</v>
      </c>
      <c r="L129" s="27" t="s">
        <v>160</v>
      </c>
      <c r="M129" s="32" t="str">
        <f>HYPERLINK("http://slimages.macys.com/is/image/MCY/3870610 ")</f>
        <v xml:space="preserve">http://slimages.macys.com/is/image/MCY/3870610 </v>
      </c>
    </row>
    <row r="130" spans="1:13" ht="15.2" customHeight="1" x14ac:dyDescent="0.2">
      <c r="A130" s="26" t="s">
        <v>2953</v>
      </c>
      <c r="B130" s="27" t="s">
        <v>2954</v>
      </c>
      <c r="C130" s="28">
        <v>1</v>
      </c>
      <c r="D130" s="29">
        <v>9.15</v>
      </c>
      <c r="E130" s="29">
        <v>9.15</v>
      </c>
      <c r="F130" s="30">
        <v>21.99</v>
      </c>
      <c r="G130" s="29">
        <v>21.99</v>
      </c>
      <c r="H130" s="28" t="s">
        <v>2955</v>
      </c>
      <c r="I130" s="27" t="s">
        <v>2956</v>
      </c>
      <c r="J130" s="31" t="s">
        <v>40</v>
      </c>
      <c r="K130" s="27" t="s">
        <v>159</v>
      </c>
      <c r="L130" s="27" t="s">
        <v>160</v>
      </c>
      <c r="M130" s="32" t="str">
        <f>HYPERLINK("http://slimages.macys.com/is/image/MCY/3664655 ")</f>
        <v xml:space="preserve">http://slimages.macys.com/is/image/MCY/3664655 </v>
      </c>
    </row>
    <row r="131" spans="1:13" ht="15.2" customHeight="1" x14ac:dyDescent="0.2">
      <c r="A131" s="26" t="s">
        <v>4479</v>
      </c>
      <c r="B131" s="27" t="s">
        <v>4480</v>
      </c>
      <c r="C131" s="28">
        <v>1</v>
      </c>
      <c r="D131" s="29">
        <v>9.1</v>
      </c>
      <c r="E131" s="29">
        <v>9.1</v>
      </c>
      <c r="F131" s="30">
        <v>19.989999999999998</v>
      </c>
      <c r="G131" s="29">
        <v>19.989999999999998</v>
      </c>
      <c r="H131" s="28" t="s">
        <v>1838</v>
      </c>
      <c r="I131" s="27" t="s">
        <v>94</v>
      </c>
      <c r="J131" s="31" t="s">
        <v>40</v>
      </c>
      <c r="K131" s="27" t="s">
        <v>224</v>
      </c>
      <c r="L131" s="27" t="s">
        <v>276</v>
      </c>
      <c r="M131" s="32" t="str">
        <f>HYPERLINK("http://slimages.macys.com/is/image/MCY/3853655 ")</f>
        <v xml:space="preserve">http://slimages.macys.com/is/image/MCY/3853655 </v>
      </c>
    </row>
    <row r="132" spans="1:13" ht="15.2" customHeight="1" x14ac:dyDescent="0.2">
      <c r="A132" s="26" t="s">
        <v>6527</v>
      </c>
      <c r="B132" s="27" t="s">
        <v>6528</v>
      </c>
      <c r="C132" s="28">
        <v>1</v>
      </c>
      <c r="D132" s="29">
        <v>9.1</v>
      </c>
      <c r="E132" s="29">
        <v>9.1</v>
      </c>
      <c r="F132" s="30">
        <v>19.989999999999998</v>
      </c>
      <c r="G132" s="29">
        <v>19.989999999999998</v>
      </c>
      <c r="H132" s="28" t="s">
        <v>1838</v>
      </c>
      <c r="I132" s="27" t="s">
        <v>26</v>
      </c>
      <c r="J132" s="31" t="s">
        <v>52</v>
      </c>
      <c r="K132" s="27" t="s">
        <v>224</v>
      </c>
      <c r="L132" s="27" t="s">
        <v>276</v>
      </c>
      <c r="M132" s="32" t="str">
        <f>HYPERLINK("http://slimages.macys.com/is/image/MCY/3853655 ")</f>
        <v xml:space="preserve">http://slimages.macys.com/is/image/MCY/3853655 </v>
      </c>
    </row>
    <row r="133" spans="1:13" ht="15.2" customHeight="1" x14ac:dyDescent="0.2">
      <c r="A133" s="26" t="s">
        <v>3382</v>
      </c>
      <c r="B133" s="27" t="s">
        <v>3383</v>
      </c>
      <c r="C133" s="28">
        <v>1</v>
      </c>
      <c r="D133" s="29">
        <v>9.1</v>
      </c>
      <c r="E133" s="29">
        <v>9.1</v>
      </c>
      <c r="F133" s="30">
        <v>19.989999999999998</v>
      </c>
      <c r="G133" s="29">
        <v>19.989999999999998</v>
      </c>
      <c r="H133" s="28" t="s">
        <v>1838</v>
      </c>
      <c r="I133" s="27" t="s">
        <v>94</v>
      </c>
      <c r="J133" s="31" t="s">
        <v>71</v>
      </c>
      <c r="K133" s="27" t="s">
        <v>224</v>
      </c>
      <c r="L133" s="27" t="s">
        <v>276</v>
      </c>
      <c r="M133" s="32" t="str">
        <f>HYPERLINK("http://slimages.macys.com/is/image/MCY/3853655 ")</f>
        <v xml:space="preserve">http://slimages.macys.com/is/image/MCY/3853655 </v>
      </c>
    </row>
    <row r="134" spans="1:13" ht="15.2" customHeight="1" x14ac:dyDescent="0.2">
      <c r="A134" s="26" t="s">
        <v>4222</v>
      </c>
      <c r="B134" s="27" t="s">
        <v>4223</v>
      </c>
      <c r="C134" s="28">
        <v>1</v>
      </c>
      <c r="D134" s="29">
        <v>9.1</v>
      </c>
      <c r="E134" s="29">
        <v>9.1</v>
      </c>
      <c r="F134" s="30">
        <v>19.989999999999998</v>
      </c>
      <c r="G134" s="29">
        <v>19.989999999999998</v>
      </c>
      <c r="H134" s="28" t="s">
        <v>1353</v>
      </c>
      <c r="I134" s="27" t="s">
        <v>10</v>
      </c>
      <c r="J134" s="31" t="s">
        <v>21</v>
      </c>
      <c r="K134" s="27" t="s">
        <v>224</v>
      </c>
      <c r="L134" s="27" t="s">
        <v>276</v>
      </c>
      <c r="M134" s="32" t="str">
        <f>HYPERLINK("http://slimages.macys.com/is/image/MCY/3821784 ")</f>
        <v xml:space="preserve">http://slimages.macys.com/is/image/MCY/3821784 </v>
      </c>
    </row>
    <row r="135" spans="1:13" ht="15.2" customHeight="1" x14ac:dyDescent="0.2">
      <c r="A135" s="26" t="s">
        <v>6529</v>
      </c>
      <c r="B135" s="27" t="s">
        <v>6530</v>
      </c>
      <c r="C135" s="28">
        <v>1</v>
      </c>
      <c r="D135" s="29">
        <v>9.1</v>
      </c>
      <c r="E135" s="29">
        <v>9.1</v>
      </c>
      <c r="F135" s="30">
        <v>19.989999999999998</v>
      </c>
      <c r="G135" s="29">
        <v>19.989999999999998</v>
      </c>
      <c r="H135" s="28" t="s">
        <v>1838</v>
      </c>
      <c r="I135" s="27" t="s">
        <v>66</v>
      </c>
      <c r="J135" s="31" t="s">
        <v>21</v>
      </c>
      <c r="K135" s="27" t="s">
        <v>224</v>
      </c>
      <c r="L135" s="27" t="s">
        <v>276</v>
      </c>
      <c r="M135" s="32" t="str">
        <f>HYPERLINK("http://slimages.macys.com/is/image/MCY/3853655 ")</f>
        <v xml:space="preserve">http://slimages.macys.com/is/image/MCY/3853655 </v>
      </c>
    </row>
    <row r="136" spans="1:13" ht="15.2" customHeight="1" x14ac:dyDescent="0.2">
      <c r="A136" s="26" t="s">
        <v>6531</v>
      </c>
      <c r="B136" s="27" t="s">
        <v>6532</v>
      </c>
      <c r="C136" s="28">
        <v>1</v>
      </c>
      <c r="D136" s="29">
        <v>9</v>
      </c>
      <c r="E136" s="29">
        <v>9</v>
      </c>
      <c r="F136" s="30">
        <v>19.989999999999998</v>
      </c>
      <c r="G136" s="29">
        <v>19.989999999999998</v>
      </c>
      <c r="H136" s="28">
        <v>60433869</v>
      </c>
      <c r="I136" s="27" t="s">
        <v>215</v>
      </c>
      <c r="J136" s="31" t="s">
        <v>71</v>
      </c>
      <c r="K136" s="27" t="s">
        <v>224</v>
      </c>
      <c r="L136" s="27" t="s">
        <v>255</v>
      </c>
      <c r="M136" s="32" t="str">
        <f>HYPERLINK("http://slimages.macys.com/is/image/MCY/3797796 ")</f>
        <v xml:space="preserve">http://slimages.macys.com/is/image/MCY/3797796 </v>
      </c>
    </row>
    <row r="137" spans="1:13" ht="15.2" customHeight="1" x14ac:dyDescent="0.2">
      <c r="A137" s="26" t="s">
        <v>6533</v>
      </c>
      <c r="B137" s="27" t="s">
        <v>6534</v>
      </c>
      <c r="C137" s="28">
        <v>1</v>
      </c>
      <c r="D137" s="29">
        <v>8.75</v>
      </c>
      <c r="E137" s="29">
        <v>8.75</v>
      </c>
      <c r="F137" s="30">
        <v>19.989999999999998</v>
      </c>
      <c r="G137" s="29">
        <v>19.989999999999998</v>
      </c>
      <c r="H137" s="28" t="s">
        <v>2252</v>
      </c>
      <c r="I137" s="27" t="s">
        <v>82</v>
      </c>
      <c r="J137" s="31" t="s">
        <v>21</v>
      </c>
      <c r="K137" s="27" t="s">
        <v>196</v>
      </c>
      <c r="L137" s="27" t="s">
        <v>260</v>
      </c>
      <c r="M137" s="32" t="str">
        <f>HYPERLINK("http://slimages.macys.com/is/image/MCY/3623304 ")</f>
        <v xml:space="preserve">http://slimages.macys.com/is/image/MCY/3623304 </v>
      </c>
    </row>
    <row r="138" spans="1:13" ht="15.2" customHeight="1" x14ac:dyDescent="0.2">
      <c r="A138" s="26" t="s">
        <v>3402</v>
      </c>
      <c r="B138" s="27" t="s">
        <v>3403</v>
      </c>
      <c r="C138" s="28">
        <v>1</v>
      </c>
      <c r="D138" s="29">
        <v>8.5500000000000007</v>
      </c>
      <c r="E138" s="29">
        <v>8.5500000000000007</v>
      </c>
      <c r="F138" s="30">
        <v>19.989999999999998</v>
      </c>
      <c r="G138" s="29">
        <v>19.989999999999998</v>
      </c>
      <c r="H138" s="28" t="s">
        <v>3398</v>
      </c>
      <c r="I138" s="27" t="s">
        <v>1</v>
      </c>
      <c r="J138" s="31" t="s">
        <v>21</v>
      </c>
      <c r="K138" s="27" t="s">
        <v>224</v>
      </c>
      <c r="L138" s="27" t="s">
        <v>254</v>
      </c>
      <c r="M138" s="32" t="str">
        <f>HYPERLINK("http://slimages.macys.com/is/image/MCY/3931020 ")</f>
        <v xml:space="preserve">http://slimages.macys.com/is/image/MCY/3931020 </v>
      </c>
    </row>
    <row r="139" spans="1:13" ht="15.2" customHeight="1" x14ac:dyDescent="0.2">
      <c r="A139" s="26" t="s">
        <v>4840</v>
      </c>
      <c r="B139" s="27" t="s">
        <v>4841</v>
      </c>
      <c r="C139" s="28">
        <v>1</v>
      </c>
      <c r="D139" s="29">
        <v>8.5500000000000007</v>
      </c>
      <c r="E139" s="29">
        <v>8.5500000000000007</v>
      </c>
      <c r="F139" s="30">
        <v>19.989999999999998</v>
      </c>
      <c r="G139" s="29">
        <v>19.989999999999998</v>
      </c>
      <c r="H139" s="28" t="s">
        <v>3398</v>
      </c>
      <c r="I139" s="27" t="s">
        <v>1</v>
      </c>
      <c r="J139" s="31" t="s">
        <v>71</v>
      </c>
      <c r="K139" s="27" t="s">
        <v>224</v>
      </c>
      <c r="L139" s="27" t="s">
        <v>254</v>
      </c>
      <c r="M139" s="32" t="str">
        <f>HYPERLINK("http://slimages.macys.com/is/image/MCY/3931020 ")</f>
        <v xml:space="preserve">http://slimages.macys.com/is/image/MCY/3931020 </v>
      </c>
    </row>
    <row r="140" spans="1:13" ht="15.2" customHeight="1" x14ac:dyDescent="0.2">
      <c r="A140" s="26" t="s">
        <v>6535</v>
      </c>
      <c r="B140" s="27" t="s">
        <v>6536</v>
      </c>
      <c r="C140" s="28">
        <v>1</v>
      </c>
      <c r="D140" s="29">
        <v>8.5</v>
      </c>
      <c r="E140" s="29">
        <v>8.5</v>
      </c>
      <c r="F140" s="30">
        <v>19.989999999999998</v>
      </c>
      <c r="G140" s="29">
        <v>19.989999999999998</v>
      </c>
      <c r="H140" s="28" t="s">
        <v>827</v>
      </c>
      <c r="I140" s="27" t="s">
        <v>10</v>
      </c>
      <c r="J140" s="31" t="s">
        <v>52</v>
      </c>
      <c r="K140" s="27" t="s">
        <v>196</v>
      </c>
      <c r="L140" s="27" t="s">
        <v>260</v>
      </c>
      <c r="M140" s="32" t="str">
        <f>HYPERLINK("http://slimages.macys.com/is/image/MCY/3910806 ")</f>
        <v xml:space="preserve">http://slimages.macys.com/is/image/MCY/3910806 </v>
      </c>
    </row>
    <row r="141" spans="1:13" ht="15.2" customHeight="1" x14ac:dyDescent="0.2">
      <c r="A141" s="26" t="s">
        <v>6537</v>
      </c>
      <c r="B141" s="27" t="s">
        <v>6538</v>
      </c>
      <c r="C141" s="28">
        <v>1</v>
      </c>
      <c r="D141" s="29">
        <v>8.5</v>
      </c>
      <c r="E141" s="29">
        <v>8.5</v>
      </c>
      <c r="F141" s="30">
        <v>19.989999999999998</v>
      </c>
      <c r="G141" s="29">
        <v>19.989999999999998</v>
      </c>
      <c r="H141" s="28" t="s">
        <v>6539</v>
      </c>
      <c r="I141" s="27" t="s">
        <v>10</v>
      </c>
      <c r="J141" s="31" t="s">
        <v>40</v>
      </c>
      <c r="K141" s="27" t="s">
        <v>200</v>
      </c>
      <c r="L141" s="27" t="s">
        <v>260</v>
      </c>
      <c r="M141" s="32" t="str">
        <f>HYPERLINK("http://slimages.macys.com/is/image/MCY/3480935 ")</f>
        <v xml:space="preserve">http://slimages.macys.com/is/image/MCY/3480935 </v>
      </c>
    </row>
    <row r="142" spans="1:13" ht="15.2" customHeight="1" x14ac:dyDescent="0.2">
      <c r="A142" s="26" t="s">
        <v>4763</v>
      </c>
      <c r="B142" s="27" t="s">
        <v>4764</v>
      </c>
      <c r="C142" s="28">
        <v>1</v>
      </c>
      <c r="D142" s="29">
        <v>8.5</v>
      </c>
      <c r="E142" s="29">
        <v>8.5</v>
      </c>
      <c r="F142" s="30">
        <v>19.989999999999998</v>
      </c>
      <c r="G142" s="29">
        <v>19.989999999999998</v>
      </c>
      <c r="H142" s="28" t="s">
        <v>321</v>
      </c>
      <c r="I142" s="27" t="s">
        <v>75</v>
      </c>
      <c r="J142" s="31" t="s">
        <v>40</v>
      </c>
      <c r="K142" s="27" t="s">
        <v>196</v>
      </c>
      <c r="L142" s="27" t="s">
        <v>322</v>
      </c>
      <c r="M142" s="32" t="str">
        <f>HYPERLINK("http://slimages.macys.com/is/image/MCY/3910788 ")</f>
        <v xml:space="preserve">http://slimages.macys.com/is/image/MCY/3910788 </v>
      </c>
    </row>
    <row r="143" spans="1:13" ht="15.2" customHeight="1" x14ac:dyDescent="0.2">
      <c r="A143" s="26" t="s">
        <v>329</v>
      </c>
      <c r="B143" s="27" t="s">
        <v>330</v>
      </c>
      <c r="C143" s="28">
        <v>2</v>
      </c>
      <c r="D143" s="29">
        <v>8.5</v>
      </c>
      <c r="E143" s="29">
        <v>17</v>
      </c>
      <c r="F143" s="30">
        <v>19.989999999999998</v>
      </c>
      <c r="G143" s="29">
        <v>39.979999999999997</v>
      </c>
      <c r="H143" s="28" t="s">
        <v>321</v>
      </c>
      <c r="I143" s="27" t="s">
        <v>280</v>
      </c>
      <c r="J143" s="31" t="s">
        <v>40</v>
      </c>
      <c r="K143" s="27" t="s">
        <v>196</v>
      </c>
      <c r="L143" s="27" t="s">
        <v>322</v>
      </c>
      <c r="M143" s="32" t="str">
        <f>HYPERLINK("http://slimages.macys.com/is/image/MCY/3910788 ")</f>
        <v xml:space="preserve">http://slimages.macys.com/is/image/MCY/3910788 </v>
      </c>
    </row>
    <row r="144" spans="1:13" ht="15.2" customHeight="1" x14ac:dyDescent="0.2">
      <c r="A144" s="26" t="s">
        <v>2277</v>
      </c>
      <c r="B144" s="27" t="s">
        <v>2278</v>
      </c>
      <c r="C144" s="28">
        <v>1</v>
      </c>
      <c r="D144" s="29">
        <v>8.5</v>
      </c>
      <c r="E144" s="29">
        <v>8.5</v>
      </c>
      <c r="F144" s="30">
        <v>19.989999999999998</v>
      </c>
      <c r="G144" s="29">
        <v>19.989999999999998</v>
      </c>
      <c r="H144" s="28" t="s">
        <v>827</v>
      </c>
      <c r="I144" s="27" t="s">
        <v>10</v>
      </c>
      <c r="J144" s="31" t="s">
        <v>5</v>
      </c>
      <c r="K144" s="27" t="s">
        <v>196</v>
      </c>
      <c r="L144" s="27" t="s">
        <v>260</v>
      </c>
      <c r="M144" s="32" t="str">
        <f>HYPERLINK("http://slimages.macys.com/is/image/MCY/3910806 ")</f>
        <v xml:space="preserve">http://slimages.macys.com/is/image/MCY/3910806 </v>
      </c>
    </row>
    <row r="145" spans="1:13" ht="15.2" customHeight="1" x14ac:dyDescent="0.2">
      <c r="A145" s="26" t="s">
        <v>2285</v>
      </c>
      <c r="B145" s="27" t="s">
        <v>2286</v>
      </c>
      <c r="C145" s="28">
        <v>1</v>
      </c>
      <c r="D145" s="29">
        <v>8.5</v>
      </c>
      <c r="E145" s="29">
        <v>8.5</v>
      </c>
      <c r="F145" s="30">
        <v>19.989999999999998</v>
      </c>
      <c r="G145" s="29">
        <v>19.989999999999998</v>
      </c>
      <c r="H145" s="28" t="s">
        <v>323</v>
      </c>
      <c r="I145" s="27" t="s">
        <v>33</v>
      </c>
      <c r="J145" s="31" t="s">
        <v>21</v>
      </c>
      <c r="K145" s="27" t="s">
        <v>196</v>
      </c>
      <c r="L145" s="27" t="s">
        <v>239</v>
      </c>
      <c r="M145" s="32" t="str">
        <f>HYPERLINK("http://slimages.macys.com/is/image/MCY/3890900 ")</f>
        <v xml:space="preserve">http://slimages.macys.com/is/image/MCY/3890900 </v>
      </c>
    </row>
    <row r="146" spans="1:13" ht="15.2" customHeight="1" x14ac:dyDescent="0.2">
      <c r="A146" s="26" t="s">
        <v>6540</v>
      </c>
      <c r="B146" s="27" t="s">
        <v>6541</v>
      </c>
      <c r="C146" s="28">
        <v>1</v>
      </c>
      <c r="D146" s="29">
        <v>8.5</v>
      </c>
      <c r="E146" s="29">
        <v>8.5</v>
      </c>
      <c r="F146" s="30">
        <v>19.989999999999998</v>
      </c>
      <c r="G146" s="29">
        <v>19.989999999999998</v>
      </c>
      <c r="H146" s="28">
        <v>60444519</v>
      </c>
      <c r="I146" s="27" t="s">
        <v>4</v>
      </c>
      <c r="J146" s="31" t="s">
        <v>21</v>
      </c>
      <c r="K146" s="27" t="s">
        <v>208</v>
      </c>
      <c r="L146" s="27" t="s">
        <v>255</v>
      </c>
      <c r="M146" s="32" t="str">
        <f>HYPERLINK("http://slimages.macys.com/is/image/MCY/3820344 ")</f>
        <v xml:space="preserve">http://slimages.macys.com/is/image/MCY/3820344 </v>
      </c>
    </row>
    <row r="147" spans="1:13" ht="15.2" customHeight="1" x14ac:dyDescent="0.2">
      <c r="A147" s="26" t="s">
        <v>6542</v>
      </c>
      <c r="B147" s="27" t="s">
        <v>6543</v>
      </c>
      <c r="C147" s="28">
        <v>1</v>
      </c>
      <c r="D147" s="29">
        <v>8.5</v>
      </c>
      <c r="E147" s="29">
        <v>8.5</v>
      </c>
      <c r="F147" s="30">
        <v>19.989999999999998</v>
      </c>
      <c r="G147" s="29">
        <v>19.989999999999998</v>
      </c>
      <c r="H147" s="28" t="s">
        <v>334</v>
      </c>
      <c r="I147" s="27" t="s">
        <v>189</v>
      </c>
      <c r="J147" s="31" t="s">
        <v>5</v>
      </c>
      <c r="K147" s="27" t="s">
        <v>196</v>
      </c>
      <c r="L147" s="27" t="s">
        <v>239</v>
      </c>
      <c r="M147" s="32" t="str">
        <f>HYPERLINK("http://slimages.macys.com/is/image/MCY/3890886 ")</f>
        <v xml:space="preserve">http://slimages.macys.com/is/image/MCY/3890886 </v>
      </c>
    </row>
    <row r="148" spans="1:13" ht="15.2" customHeight="1" x14ac:dyDescent="0.2">
      <c r="A148" s="26" t="s">
        <v>6544</v>
      </c>
      <c r="B148" s="27" t="s">
        <v>6545</v>
      </c>
      <c r="C148" s="28">
        <v>1</v>
      </c>
      <c r="D148" s="29">
        <v>8.5</v>
      </c>
      <c r="E148" s="29">
        <v>8.5</v>
      </c>
      <c r="F148" s="30">
        <v>19.989999999999998</v>
      </c>
      <c r="G148" s="29">
        <v>19.989999999999998</v>
      </c>
      <c r="H148" s="28" t="s">
        <v>2261</v>
      </c>
      <c r="I148" s="27" t="s">
        <v>189</v>
      </c>
      <c r="J148" s="31" t="s">
        <v>40</v>
      </c>
      <c r="K148" s="27" t="s">
        <v>196</v>
      </c>
      <c r="L148" s="27" t="s">
        <v>239</v>
      </c>
      <c r="M148" s="32" t="str">
        <f>HYPERLINK("http://slimages.macys.com/is/image/MCY/3890914 ")</f>
        <v xml:space="preserve">http://slimages.macys.com/is/image/MCY/3890914 </v>
      </c>
    </row>
    <row r="149" spans="1:13" ht="15.2" customHeight="1" x14ac:dyDescent="0.2">
      <c r="A149" s="26" t="s">
        <v>4227</v>
      </c>
      <c r="B149" s="27" t="s">
        <v>4228</v>
      </c>
      <c r="C149" s="28">
        <v>1</v>
      </c>
      <c r="D149" s="29">
        <v>8.5</v>
      </c>
      <c r="E149" s="29">
        <v>8.5</v>
      </c>
      <c r="F149" s="30">
        <v>19.989999999999998</v>
      </c>
      <c r="G149" s="29">
        <v>19.989999999999998</v>
      </c>
      <c r="H149" s="28" t="s">
        <v>321</v>
      </c>
      <c r="I149" s="27" t="s">
        <v>333</v>
      </c>
      <c r="J149" s="31" t="s">
        <v>40</v>
      </c>
      <c r="K149" s="27" t="s">
        <v>196</v>
      </c>
      <c r="L149" s="27" t="s">
        <v>322</v>
      </c>
      <c r="M149" s="32" t="str">
        <f>HYPERLINK("http://slimages.macys.com/is/image/MCY/3910788 ")</f>
        <v xml:space="preserve">http://slimages.macys.com/is/image/MCY/3910788 </v>
      </c>
    </row>
    <row r="150" spans="1:13" ht="15.2" customHeight="1" x14ac:dyDescent="0.2">
      <c r="A150" s="26" t="s">
        <v>6546</v>
      </c>
      <c r="B150" s="27" t="s">
        <v>6547</v>
      </c>
      <c r="C150" s="28">
        <v>1</v>
      </c>
      <c r="D150" s="29">
        <v>8.25</v>
      </c>
      <c r="E150" s="29">
        <v>8.25</v>
      </c>
      <c r="F150" s="30">
        <v>19.989999999999998</v>
      </c>
      <c r="G150" s="29">
        <v>19.989999999999998</v>
      </c>
      <c r="H150" s="28" t="s">
        <v>2291</v>
      </c>
      <c r="I150" s="27" t="s">
        <v>357</v>
      </c>
      <c r="J150" s="31" t="s">
        <v>52</v>
      </c>
      <c r="K150" s="27" t="s">
        <v>196</v>
      </c>
      <c r="L150" s="27" t="s">
        <v>225</v>
      </c>
      <c r="M150" s="32" t="str">
        <f>HYPERLINK("http://slimages.macys.com/is/image/MCY/3875563 ")</f>
        <v xml:space="preserve">http://slimages.macys.com/is/image/MCY/3875563 </v>
      </c>
    </row>
    <row r="151" spans="1:13" ht="15.2" customHeight="1" x14ac:dyDescent="0.2">
      <c r="A151" s="26" t="s">
        <v>6548</v>
      </c>
      <c r="B151" s="27" t="s">
        <v>6549</v>
      </c>
      <c r="C151" s="28">
        <v>1</v>
      </c>
      <c r="D151" s="29">
        <v>8.25</v>
      </c>
      <c r="E151" s="29">
        <v>8.25</v>
      </c>
      <c r="F151" s="30">
        <v>16.989999999999998</v>
      </c>
      <c r="G151" s="29">
        <v>16.989999999999998</v>
      </c>
      <c r="H151" s="28" t="s">
        <v>6550</v>
      </c>
      <c r="I151" s="27" t="s">
        <v>478</v>
      </c>
      <c r="J151" s="31" t="s">
        <v>760</v>
      </c>
      <c r="K151" s="27" t="s">
        <v>224</v>
      </c>
      <c r="L151" s="27" t="s">
        <v>254</v>
      </c>
      <c r="M151" s="32" t="str">
        <f>HYPERLINK("http://slimages.macys.com/is/image/MCY/3931083 ")</f>
        <v xml:space="preserve">http://slimages.macys.com/is/image/MCY/3931083 </v>
      </c>
    </row>
    <row r="152" spans="1:13" ht="15.2" customHeight="1" x14ac:dyDescent="0.2">
      <c r="A152" s="26" t="s">
        <v>6551</v>
      </c>
      <c r="B152" s="27" t="s">
        <v>6552</v>
      </c>
      <c r="C152" s="28">
        <v>1</v>
      </c>
      <c r="D152" s="29">
        <v>8.25</v>
      </c>
      <c r="E152" s="29">
        <v>8.25</v>
      </c>
      <c r="F152" s="30">
        <v>19.989999999999998</v>
      </c>
      <c r="G152" s="29">
        <v>19.989999999999998</v>
      </c>
      <c r="H152" s="28">
        <v>60444968</v>
      </c>
      <c r="I152" s="27" t="s">
        <v>4</v>
      </c>
      <c r="J152" s="31" t="s">
        <v>52</v>
      </c>
      <c r="K152" s="27" t="s">
        <v>208</v>
      </c>
      <c r="L152" s="27" t="s">
        <v>255</v>
      </c>
      <c r="M152" s="32" t="str">
        <f>HYPERLINK("http://slimages.macys.com/is/image/MCY/3828259 ")</f>
        <v xml:space="preserve">http://slimages.macys.com/is/image/MCY/3828259 </v>
      </c>
    </row>
    <row r="153" spans="1:13" ht="15.2" customHeight="1" x14ac:dyDescent="0.2">
      <c r="A153" s="26" t="s">
        <v>2301</v>
      </c>
      <c r="B153" s="27" t="s">
        <v>2302</v>
      </c>
      <c r="C153" s="28">
        <v>1</v>
      </c>
      <c r="D153" s="29">
        <v>8</v>
      </c>
      <c r="E153" s="29">
        <v>8</v>
      </c>
      <c r="F153" s="30">
        <v>19.989999999999998</v>
      </c>
      <c r="G153" s="29">
        <v>19.989999999999998</v>
      </c>
      <c r="H153" s="28" t="s">
        <v>364</v>
      </c>
      <c r="I153" s="27" t="s">
        <v>280</v>
      </c>
      <c r="J153" s="31" t="s">
        <v>52</v>
      </c>
      <c r="K153" s="27" t="s">
        <v>282</v>
      </c>
      <c r="L153" s="27" t="s">
        <v>358</v>
      </c>
      <c r="M153" s="32" t="str">
        <f>HYPERLINK("http://slimages.macys.com/is/image/MCY/3931077 ")</f>
        <v xml:space="preserve">http://slimages.macys.com/is/image/MCY/3931077 </v>
      </c>
    </row>
    <row r="154" spans="1:13" ht="15.2" customHeight="1" x14ac:dyDescent="0.2">
      <c r="A154" s="26" t="s">
        <v>6553</v>
      </c>
      <c r="B154" s="27" t="s">
        <v>6554</v>
      </c>
      <c r="C154" s="28">
        <v>1</v>
      </c>
      <c r="D154" s="29">
        <v>7.85</v>
      </c>
      <c r="E154" s="29">
        <v>7.85</v>
      </c>
      <c r="F154" s="30">
        <v>27.99</v>
      </c>
      <c r="G154" s="29">
        <v>27.99</v>
      </c>
      <c r="H154" s="28" t="s">
        <v>1419</v>
      </c>
      <c r="I154" s="27" t="s">
        <v>4</v>
      </c>
      <c r="J154" s="31" t="s">
        <v>40</v>
      </c>
      <c r="K154" s="27" t="s">
        <v>224</v>
      </c>
      <c r="L154" s="27" t="s">
        <v>260</v>
      </c>
      <c r="M154" s="32" t="str">
        <f>HYPERLINK("http://slimages.macys.com/is/image/MCY/3798032 ")</f>
        <v xml:space="preserve">http://slimages.macys.com/is/image/MCY/3798032 </v>
      </c>
    </row>
    <row r="155" spans="1:13" ht="15.2" customHeight="1" x14ac:dyDescent="0.2">
      <c r="A155" s="26" t="s">
        <v>857</v>
      </c>
      <c r="B155" s="27" t="s">
        <v>858</v>
      </c>
      <c r="C155" s="28">
        <v>1</v>
      </c>
      <c r="D155" s="29">
        <v>7.85</v>
      </c>
      <c r="E155" s="29">
        <v>7.85</v>
      </c>
      <c r="F155" s="30">
        <v>24.99</v>
      </c>
      <c r="G155" s="29">
        <v>24.99</v>
      </c>
      <c r="H155" s="28" t="s">
        <v>367</v>
      </c>
      <c r="I155" s="27" t="s">
        <v>144</v>
      </c>
      <c r="J155" s="31" t="s">
        <v>52</v>
      </c>
      <c r="K155" s="27" t="s">
        <v>224</v>
      </c>
      <c r="L155" s="27" t="s">
        <v>260</v>
      </c>
      <c r="M155" s="32" t="str">
        <f>HYPERLINK("http://slimages.macys.com/is/image/MCY/3853703 ")</f>
        <v xml:space="preserve">http://slimages.macys.com/is/image/MCY/3853703 </v>
      </c>
    </row>
    <row r="156" spans="1:13" ht="15.2" customHeight="1" x14ac:dyDescent="0.2">
      <c r="A156" s="26" t="s">
        <v>4486</v>
      </c>
      <c r="B156" s="27" t="s">
        <v>4487</v>
      </c>
      <c r="C156" s="28">
        <v>1</v>
      </c>
      <c r="D156" s="29">
        <v>7.85</v>
      </c>
      <c r="E156" s="29">
        <v>7.85</v>
      </c>
      <c r="F156" s="30">
        <v>24.99</v>
      </c>
      <c r="G156" s="29">
        <v>24.99</v>
      </c>
      <c r="H156" s="28" t="s">
        <v>367</v>
      </c>
      <c r="I156" s="27" t="s">
        <v>274</v>
      </c>
      <c r="J156" s="31" t="s">
        <v>5</v>
      </c>
      <c r="K156" s="27" t="s">
        <v>224</v>
      </c>
      <c r="L156" s="27" t="s">
        <v>260</v>
      </c>
      <c r="M156" s="32" t="str">
        <f>HYPERLINK("http://slimages.macys.com/is/image/MCY/3853703 ")</f>
        <v xml:space="preserve">http://slimages.macys.com/is/image/MCY/3853703 </v>
      </c>
    </row>
    <row r="157" spans="1:13" ht="15.2" customHeight="1" x14ac:dyDescent="0.2">
      <c r="A157" s="26" t="s">
        <v>6555</v>
      </c>
      <c r="B157" s="27" t="s">
        <v>6556</v>
      </c>
      <c r="C157" s="28">
        <v>1</v>
      </c>
      <c r="D157" s="29">
        <v>7.5</v>
      </c>
      <c r="E157" s="29">
        <v>7.5</v>
      </c>
      <c r="F157" s="30">
        <v>18.989999999999998</v>
      </c>
      <c r="G157" s="29">
        <v>18.989999999999998</v>
      </c>
      <c r="H157" s="28" t="s">
        <v>3447</v>
      </c>
      <c r="I157" s="27" t="s">
        <v>189</v>
      </c>
      <c r="J157" s="31" t="s">
        <v>21</v>
      </c>
      <c r="K157" s="27" t="s">
        <v>70</v>
      </c>
      <c r="L157" s="27" t="s">
        <v>260</v>
      </c>
      <c r="M157" s="32" t="str">
        <f>HYPERLINK("http://slimages.macys.com/is/image/MCY/3955684 ")</f>
        <v xml:space="preserve">http://slimages.macys.com/is/image/MCY/3955684 </v>
      </c>
    </row>
    <row r="158" spans="1:13" ht="15.2" customHeight="1" x14ac:dyDescent="0.2">
      <c r="A158" s="26" t="s">
        <v>6557</v>
      </c>
      <c r="B158" s="27" t="s">
        <v>6558</v>
      </c>
      <c r="C158" s="28">
        <v>1</v>
      </c>
      <c r="D158" s="29">
        <v>7.5</v>
      </c>
      <c r="E158" s="29">
        <v>7.5</v>
      </c>
      <c r="F158" s="30">
        <v>19.989999999999998</v>
      </c>
      <c r="G158" s="29">
        <v>19.989999999999998</v>
      </c>
      <c r="H158" s="28" t="s">
        <v>6559</v>
      </c>
      <c r="I158" s="27" t="s">
        <v>64</v>
      </c>
      <c r="J158" s="31" t="s">
        <v>52</v>
      </c>
      <c r="K158" s="27" t="s">
        <v>196</v>
      </c>
      <c r="L158" s="27" t="s">
        <v>225</v>
      </c>
      <c r="M158" s="32" t="str">
        <f>HYPERLINK("http://slimages.macys.com/is/image/MCY/3593667 ")</f>
        <v xml:space="preserve">http://slimages.macys.com/is/image/MCY/3593667 </v>
      </c>
    </row>
    <row r="159" spans="1:13" ht="15.2" customHeight="1" x14ac:dyDescent="0.2">
      <c r="A159" s="26" t="s">
        <v>6560</v>
      </c>
      <c r="B159" s="27" t="s">
        <v>6561</v>
      </c>
      <c r="C159" s="28">
        <v>1</v>
      </c>
      <c r="D159" s="29">
        <v>7</v>
      </c>
      <c r="E159" s="29">
        <v>7</v>
      </c>
      <c r="F159" s="30">
        <v>19.989999999999998</v>
      </c>
      <c r="G159" s="29">
        <v>19.989999999999998</v>
      </c>
      <c r="H159" s="28" t="s">
        <v>4233</v>
      </c>
      <c r="I159" s="27" t="s">
        <v>4</v>
      </c>
      <c r="J159" s="31" t="s">
        <v>21</v>
      </c>
      <c r="K159" s="27" t="s">
        <v>196</v>
      </c>
      <c r="L159" s="27" t="s">
        <v>260</v>
      </c>
      <c r="M159" s="32" t="str">
        <f>HYPERLINK("http://slimages.macys.com/is/image/MCY/3609986 ")</f>
        <v xml:space="preserve">http://slimages.macys.com/is/image/MCY/3609986 </v>
      </c>
    </row>
    <row r="160" spans="1:13" ht="15.2" customHeight="1" x14ac:dyDescent="0.2">
      <c r="A160" s="26" t="s">
        <v>6562</v>
      </c>
      <c r="B160" s="27" t="s">
        <v>6563</v>
      </c>
      <c r="C160" s="28">
        <v>1</v>
      </c>
      <c r="D160" s="29">
        <v>6.75</v>
      </c>
      <c r="E160" s="29">
        <v>6.75</v>
      </c>
      <c r="F160" s="30">
        <v>12.99</v>
      </c>
      <c r="G160" s="29">
        <v>12.99</v>
      </c>
      <c r="H160" s="28" t="s">
        <v>5550</v>
      </c>
      <c r="I160" s="27" t="s">
        <v>103</v>
      </c>
      <c r="J160" s="31" t="s">
        <v>52</v>
      </c>
      <c r="K160" s="27" t="s">
        <v>282</v>
      </c>
      <c r="L160" s="27" t="s">
        <v>225</v>
      </c>
      <c r="M160" s="32" t="str">
        <f>HYPERLINK("http://slimages.macys.com/is/image/MCY/3859746 ")</f>
        <v xml:space="preserve">http://slimages.macys.com/is/image/MCY/3859746 </v>
      </c>
    </row>
    <row r="161" spans="1:13" ht="15.2" customHeight="1" x14ac:dyDescent="0.2">
      <c r="A161" s="26" t="s">
        <v>6564</v>
      </c>
      <c r="B161" s="27" t="s">
        <v>6565</v>
      </c>
      <c r="C161" s="28">
        <v>2</v>
      </c>
      <c r="D161" s="29">
        <v>6.75</v>
      </c>
      <c r="E161" s="29">
        <v>13.5</v>
      </c>
      <c r="F161" s="30">
        <v>12.99</v>
      </c>
      <c r="G161" s="29">
        <v>25.98</v>
      </c>
      <c r="H161" s="28" t="s">
        <v>5550</v>
      </c>
      <c r="I161" s="27" t="s">
        <v>103</v>
      </c>
      <c r="J161" s="31" t="s">
        <v>71</v>
      </c>
      <c r="K161" s="27" t="s">
        <v>282</v>
      </c>
      <c r="L161" s="27" t="s">
        <v>225</v>
      </c>
      <c r="M161" s="32" t="str">
        <f>HYPERLINK("http://slimages.macys.com/is/image/MCY/3859746 ")</f>
        <v xml:space="preserve">http://slimages.macys.com/is/image/MCY/3859746 </v>
      </c>
    </row>
    <row r="162" spans="1:13" ht="15.2" customHeight="1" x14ac:dyDescent="0.2">
      <c r="A162" s="26" t="s">
        <v>6566</v>
      </c>
      <c r="B162" s="27" t="s">
        <v>6567</v>
      </c>
      <c r="C162" s="28">
        <v>1</v>
      </c>
      <c r="D162" s="29">
        <v>6.75</v>
      </c>
      <c r="E162" s="29">
        <v>6.75</v>
      </c>
      <c r="F162" s="30">
        <v>12.99</v>
      </c>
      <c r="G162" s="29">
        <v>12.99</v>
      </c>
      <c r="H162" s="28" t="s">
        <v>5550</v>
      </c>
      <c r="I162" s="27" t="s">
        <v>103</v>
      </c>
      <c r="J162" s="31" t="s">
        <v>40</v>
      </c>
      <c r="K162" s="27" t="s">
        <v>282</v>
      </c>
      <c r="L162" s="27" t="s">
        <v>225</v>
      </c>
      <c r="M162" s="32" t="str">
        <f>HYPERLINK("http://slimages.macys.com/is/image/MCY/3859746 ")</f>
        <v xml:space="preserve">http://slimages.macys.com/is/image/MCY/3859746 </v>
      </c>
    </row>
    <row r="163" spans="1:13" ht="15.2" customHeight="1" x14ac:dyDescent="0.2">
      <c r="A163" s="26" t="s">
        <v>5548</v>
      </c>
      <c r="B163" s="27" t="s">
        <v>5549</v>
      </c>
      <c r="C163" s="28">
        <v>3</v>
      </c>
      <c r="D163" s="29">
        <v>6.75</v>
      </c>
      <c r="E163" s="29">
        <v>20.25</v>
      </c>
      <c r="F163" s="30">
        <v>12.99</v>
      </c>
      <c r="G163" s="29">
        <v>38.97</v>
      </c>
      <c r="H163" s="28" t="s">
        <v>5550</v>
      </c>
      <c r="I163" s="27" t="s">
        <v>103</v>
      </c>
      <c r="J163" s="31" t="s">
        <v>5</v>
      </c>
      <c r="K163" s="27" t="s">
        <v>282</v>
      </c>
      <c r="L163" s="27" t="s">
        <v>225</v>
      </c>
      <c r="M163" s="32" t="str">
        <f>HYPERLINK("http://slimages.macys.com/is/image/MCY/3859746 ")</f>
        <v xml:space="preserve">http://slimages.macys.com/is/image/MCY/3859746 </v>
      </c>
    </row>
    <row r="164" spans="1:13" ht="15.2" customHeight="1" x14ac:dyDescent="0.2">
      <c r="A164" s="26" t="s">
        <v>6568</v>
      </c>
      <c r="B164" s="27" t="s">
        <v>6569</v>
      </c>
      <c r="C164" s="28">
        <v>2</v>
      </c>
      <c r="D164" s="29">
        <v>6.75</v>
      </c>
      <c r="E164" s="29">
        <v>13.5</v>
      </c>
      <c r="F164" s="30">
        <v>12.99</v>
      </c>
      <c r="G164" s="29">
        <v>25.98</v>
      </c>
      <c r="H164" s="28" t="s">
        <v>5550</v>
      </c>
      <c r="I164" s="27" t="s">
        <v>103</v>
      </c>
      <c r="J164" s="31" t="s">
        <v>21</v>
      </c>
      <c r="K164" s="27" t="s">
        <v>282</v>
      </c>
      <c r="L164" s="27" t="s">
        <v>225</v>
      </c>
      <c r="M164" s="32" t="str">
        <f>HYPERLINK("http://slimages.macys.com/is/image/MCY/3859746 ")</f>
        <v xml:space="preserve">http://slimages.macys.com/is/image/MCY/3859746 </v>
      </c>
    </row>
    <row r="165" spans="1:13" ht="15.2" customHeight="1" x14ac:dyDescent="0.2">
      <c r="A165" s="26" t="s">
        <v>6570</v>
      </c>
      <c r="B165" s="27" t="s">
        <v>6571</v>
      </c>
      <c r="C165" s="28">
        <v>1</v>
      </c>
      <c r="D165" s="29">
        <v>6.5</v>
      </c>
      <c r="E165" s="29">
        <v>6.5</v>
      </c>
      <c r="F165" s="30">
        <v>12.99</v>
      </c>
      <c r="G165" s="29">
        <v>12.99</v>
      </c>
      <c r="H165" s="28" t="s">
        <v>6572</v>
      </c>
      <c r="I165" s="27"/>
      <c r="J165" s="31" t="s">
        <v>52</v>
      </c>
      <c r="K165" s="27" t="s">
        <v>282</v>
      </c>
      <c r="L165" s="27" t="s">
        <v>250</v>
      </c>
      <c r="M165" s="32" t="str">
        <f>HYPERLINK("http://slimages.macys.com/is/image/MCY/3726553 ")</f>
        <v xml:space="preserve">http://slimages.macys.com/is/image/MCY/3726553 </v>
      </c>
    </row>
    <row r="166" spans="1:13" ht="15.2" customHeight="1" x14ac:dyDescent="0.2">
      <c r="A166" s="26" t="s">
        <v>6573</v>
      </c>
      <c r="B166" s="27" t="s">
        <v>6574</v>
      </c>
      <c r="C166" s="28">
        <v>1</v>
      </c>
      <c r="D166" s="29">
        <v>6.5</v>
      </c>
      <c r="E166" s="29">
        <v>6.5</v>
      </c>
      <c r="F166" s="30">
        <v>12.99</v>
      </c>
      <c r="G166" s="29">
        <v>12.99</v>
      </c>
      <c r="H166" s="28" t="s">
        <v>6572</v>
      </c>
      <c r="I166" s="27"/>
      <c r="J166" s="31" t="s">
        <v>71</v>
      </c>
      <c r="K166" s="27" t="s">
        <v>282</v>
      </c>
      <c r="L166" s="27" t="s">
        <v>250</v>
      </c>
      <c r="M166" s="32" t="str">
        <f>HYPERLINK("http://slimages.macys.com/is/image/MCY/3726553 ")</f>
        <v xml:space="preserve">http://slimages.macys.com/is/image/MCY/3726553 </v>
      </c>
    </row>
    <row r="167" spans="1:13" ht="15.2" customHeight="1" x14ac:dyDescent="0.2">
      <c r="A167" s="26" t="s">
        <v>6575</v>
      </c>
      <c r="B167" s="27" t="s">
        <v>6576</v>
      </c>
      <c r="C167" s="28">
        <v>2</v>
      </c>
      <c r="D167" s="29">
        <v>6.5</v>
      </c>
      <c r="E167" s="29">
        <v>13</v>
      </c>
      <c r="F167" s="30">
        <v>12.99</v>
      </c>
      <c r="G167" s="29">
        <v>25.98</v>
      </c>
      <c r="H167" s="28" t="s">
        <v>6572</v>
      </c>
      <c r="I167" s="27"/>
      <c r="J167" s="31" t="s">
        <v>5</v>
      </c>
      <c r="K167" s="27" t="s">
        <v>282</v>
      </c>
      <c r="L167" s="27" t="s">
        <v>250</v>
      </c>
      <c r="M167" s="32" t="str">
        <f>HYPERLINK("http://slimages.macys.com/is/image/MCY/3726553 ")</f>
        <v xml:space="preserve">http://slimages.macys.com/is/image/MCY/3726553 </v>
      </c>
    </row>
    <row r="168" spans="1:13" ht="15.2" customHeight="1" x14ac:dyDescent="0.2">
      <c r="A168" s="26" t="s">
        <v>6577</v>
      </c>
      <c r="B168" s="27" t="s">
        <v>6578</v>
      </c>
      <c r="C168" s="28">
        <v>1</v>
      </c>
      <c r="D168" s="29">
        <v>6.5</v>
      </c>
      <c r="E168" s="29">
        <v>6.5</v>
      </c>
      <c r="F168" s="30">
        <v>12.99</v>
      </c>
      <c r="G168" s="29">
        <v>12.99</v>
      </c>
      <c r="H168" s="28" t="s">
        <v>6572</v>
      </c>
      <c r="I168" s="27"/>
      <c r="J168" s="31" t="s">
        <v>40</v>
      </c>
      <c r="K168" s="27" t="s">
        <v>282</v>
      </c>
      <c r="L168" s="27" t="s">
        <v>250</v>
      </c>
      <c r="M168" s="32" t="str">
        <f>HYPERLINK("http://slimages.macys.com/is/image/MCY/3726553 ")</f>
        <v xml:space="preserve">http://slimages.macys.com/is/image/MCY/3726553 </v>
      </c>
    </row>
    <row r="169" spans="1:13" ht="15.2" customHeight="1" x14ac:dyDescent="0.2">
      <c r="A169" s="26" t="s">
        <v>5154</v>
      </c>
      <c r="B169" s="27" t="s">
        <v>5155</v>
      </c>
      <c r="C169" s="28">
        <v>1</v>
      </c>
      <c r="D169" s="29">
        <v>6.4</v>
      </c>
      <c r="E169" s="29">
        <v>6.4</v>
      </c>
      <c r="F169" s="30">
        <v>13.99</v>
      </c>
      <c r="G169" s="29">
        <v>13.99</v>
      </c>
      <c r="H169" s="28" t="s">
        <v>394</v>
      </c>
      <c r="I169" s="27" t="s">
        <v>4</v>
      </c>
      <c r="J169" s="31" t="s">
        <v>71</v>
      </c>
      <c r="K169" s="27" t="s">
        <v>282</v>
      </c>
      <c r="L169" s="27" t="s">
        <v>312</v>
      </c>
      <c r="M169" s="32" t="str">
        <f>HYPERLINK("http://slimages.macys.com/is/image/MCY/3623277 ")</f>
        <v xml:space="preserve">http://slimages.macys.com/is/image/MCY/3623277 </v>
      </c>
    </row>
    <row r="170" spans="1:13" ht="15.2" customHeight="1" x14ac:dyDescent="0.2">
      <c r="A170" s="26" t="s">
        <v>6579</v>
      </c>
      <c r="B170" s="27" t="s">
        <v>6580</v>
      </c>
      <c r="C170" s="28">
        <v>1</v>
      </c>
      <c r="D170" s="29">
        <v>6.35</v>
      </c>
      <c r="E170" s="29">
        <v>6.35</v>
      </c>
      <c r="F170" s="30">
        <v>12.99</v>
      </c>
      <c r="G170" s="29">
        <v>12.99</v>
      </c>
      <c r="H170" s="28" t="s">
        <v>1452</v>
      </c>
      <c r="I170" s="27" t="s">
        <v>8</v>
      </c>
      <c r="J170" s="31" t="s">
        <v>71</v>
      </c>
      <c r="K170" s="27" t="s">
        <v>282</v>
      </c>
      <c r="L170" s="27" t="s">
        <v>349</v>
      </c>
      <c r="M170" s="32" t="str">
        <f>HYPERLINK("http://slimages.macys.com/is/image/MCY/3704433 ")</f>
        <v xml:space="preserve">http://slimages.macys.com/is/image/MCY/3704433 </v>
      </c>
    </row>
    <row r="171" spans="1:13" ht="15.2" customHeight="1" x14ac:dyDescent="0.2">
      <c r="A171" s="26" t="s">
        <v>6581</v>
      </c>
      <c r="B171" s="27" t="s">
        <v>6582</v>
      </c>
      <c r="C171" s="28">
        <v>1</v>
      </c>
      <c r="D171" s="29">
        <v>6.35</v>
      </c>
      <c r="E171" s="29">
        <v>6.35</v>
      </c>
      <c r="F171" s="30">
        <v>12.99</v>
      </c>
      <c r="G171" s="29">
        <v>12.99</v>
      </c>
      <c r="H171" s="28" t="s">
        <v>6583</v>
      </c>
      <c r="I171" s="27" t="s">
        <v>285</v>
      </c>
      <c r="J171" s="31" t="s">
        <v>5</v>
      </c>
      <c r="K171" s="27" t="s">
        <v>282</v>
      </c>
      <c r="L171" s="27" t="s">
        <v>349</v>
      </c>
      <c r="M171" s="32" t="str">
        <f>HYPERLINK("http://slimages.macys.com/is/image/MCY/3660127 ")</f>
        <v xml:space="preserve">http://slimages.macys.com/is/image/MCY/3660127 </v>
      </c>
    </row>
    <row r="172" spans="1:13" ht="15.2" customHeight="1" x14ac:dyDescent="0.2">
      <c r="A172" s="26" t="s">
        <v>6584</v>
      </c>
      <c r="B172" s="27" t="s">
        <v>6585</v>
      </c>
      <c r="C172" s="28">
        <v>2</v>
      </c>
      <c r="D172" s="29">
        <v>6.35</v>
      </c>
      <c r="E172" s="29">
        <v>12.7</v>
      </c>
      <c r="F172" s="30">
        <v>12.99</v>
      </c>
      <c r="G172" s="29">
        <v>25.98</v>
      </c>
      <c r="H172" s="28" t="s">
        <v>6583</v>
      </c>
      <c r="I172" s="27" t="s">
        <v>285</v>
      </c>
      <c r="J172" s="31" t="s">
        <v>21</v>
      </c>
      <c r="K172" s="27" t="s">
        <v>282</v>
      </c>
      <c r="L172" s="27" t="s">
        <v>349</v>
      </c>
      <c r="M172" s="32" t="str">
        <f>HYPERLINK("http://slimages.macys.com/is/image/MCY/3660127 ")</f>
        <v xml:space="preserve">http://slimages.macys.com/is/image/MCY/3660127 </v>
      </c>
    </row>
    <row r="173" spans="1:13" ht="15.2" customHeight="1" x14ac:dyDescent="0.2">
      <c r="A173" s="26" t="s">
        <v>3001</v>
      </c>
      <c r="B173" s="27" t="s">
        <v>3002</v>
      </c>
      <c r="C173" s="28">
        <v>1</v>
      </c>
      <c r="D173" s="29">
        <v>6.3</v>
      </c>
      <c r="E173" s="29">
        <v>6.3</v>
      </c>
      <c r="F173" s="30">
        <v>14.99</v>
      </c>
      <c r="G173" s="29">
        <v>14.99</v>
      </c>
      <c r="H173" s="28" t="s">
        <v>2679</v>
      </c>
      <c r="I173" s="27" t="s">
        <v>4</v>
      </c>
      <c r="J173" s="31" t="s">
        <v>21</v>
      </c>
      <c r="K173" s="27" t="s">
        <v>159</v>
      </c>
      <c r="L173" s="27" t="s">
        <v>160</v>
      </c>
      <c r="M173" s="32" t="str">
        <f>HYPERLINK("http://slimages.macys.com/is/image/MCY/3876250 ")</f>
        <v xml:space="preserve">http://slimages.macys.com/is/image/MCY/3876250 </v>
      </c>
    </row>
    <row r="174" spans="1:13" ht="15.2" customHeight="1" x14ac:dyDescent="0.2">
      <c r="A174" s="26" t="s">
        <v>395</v>
      </c>
      <c r="B174" s="27" t="s">
        <v>396</v>
      </c>
      <c r="C174" s="28">
        <v>1</v>
      </c>
      <c r="D174" s="29">
        <v>6.3</v>
      </c>
      <c r="E174" s="29">
        <v>6.3</v>
      </c>
      <c r="F174" s="30">
        <v>14.99</v>
      </c>
      <c r="G174" s="29">
        <v>14.99</v>
      </c>
      <c r="H174" s="28" t="s">
        <v>397</v>
      </c>
      <c r="I174" s="27" t="s">
        <v>36</v>
      </c>
      <c r="J174" s="31" t="s">
        <v>21</v>
      </c>
      <c r="K174" s="27" t="s">
        <v>159</v>
      </c>
      <c r="L174" s="27" t="s">
        <v>160</v>
      </c>
      <c r="M174" s="32" t="str">
        <f>HYPERLINK("http://slimages.macys.com/is/image/MCY/3876250 ")</f>
        <v xml:space="preserve">http://slimages.macys.com/is/image/MCY/3876250 </v>
      </c>
    </row>
    <row r="175" spans="1:13" ht="15.2" customHeight="1" x14ac:dyDescent="0.2">
      <c r="A175" s="26" t="s">
        <v>2996</v>
      </c>
      <c r="B175" s="27" t="s">
        <v>2997</v>
      </c>
      <c r="C175" s="28">
        <v>1</v>
      </c>
      <c r="D175" s="29">
        <v>6.3</v>
      </c>
      <c r="E175" s="29">
        <v>6.3</v>
      </c>
      <c r="F175" s="30">
        <v>14.99</v>
      </c>
      <c r="G175" s="29">
        <v>14.99</v>
      </c>
      <c r="H175" s="28" t="s">
        <v>2679</v>
      </c>
      <c r="I175" s="27" t="s">
        <v>4</v>
      </c>
      <c r="J175" s="31" t="s">
        <v>172</v>
      </c>
      <c r="K175" s="27" t="s">
        <v>159</v>
      </c>
      <c r="L175" s="27" t="s">
        <v>160</v>
      </c>
      <c r="M175" s="32" t="str">
        <f>HYPERLINK("http://slimages.macys.com/is/image/MCY/3876250 ")</f>
        <v xml:space="preserve">http://slimages.macys.com/is/image/MCY/3876250 </v>
      </c>
    </row>
    <row r="176" spans="1:13" ht="15.2" customHeight="1" x14ac:dyDescent="0.2">
      <c r="A176" s="26" t="s">
        <v>2677</v>
      </c>
      <c r="B176" s="27" t="s">
        <v>2678</v>
      </c>
      <c r="C176" s="28">
        <v>3</v>
      </c>
      <c r="D176" s="29">
        <v>6.3</v>
      </c>
      <c r="E176" s="29">
        <v>18.899999999999999</v>
      </c>
      <c r="F176" s="30">
        <v>14.99</v>
      </c>
      <c r="G176" s="29">
        <v>44.97</v>
      </c>
      <c r="H176" s="28" t="s">
        <v>2679</v>
      </c>
      <c r="I176" s="27" t="s">
        <v>4</v>
      </c>
      <c r="J176" s="31" t="s">
        <v>40</v>
      </c>
      <c r="K176" s="27" t="s">
        <v>159</v>
      </c>
      <c r="L176" s="27" t="s">
        <v>160</v>
      </c>
      <c r="M176" s="32" t="str">
        <f>HYPERLINK("http://slimages.macys.com/is/image/MCY/3876250 ")</f>
        <v xml:space="preserve">http://slimages.macys.com/is/image/MCY/3876250 </v>
      </c>
    </row>
    <row r="177" spans="1:13" ht="15.2" customHeight="1" x14ac:dyDescent="0.2">
      <c r="A177" s="26" t="s">
        <v>2680</v>
      </c>
      <c r="B177" s="27" t="s">
        <v>2681</v>
      </c>
      <c r="C177" s="28">
        <v>2</v>
      </c>
      <c r="D177" s="29">
        <v>6.3</v>
      </c>
      <c r="E177" s="29">
        <v>12.6</v>
      </c>
      <c r="F177" s="30">
        <v>14.99</v>
      </c>
      <c r="G177" s="29">
        <v>29.98</v>
      </c>
      <c r="H177" s="28" t="s">
        <v>2679</v>
      </c>
      <c r="I177" s="27" t="s">
        <v>4</v>
      </c>
      <c r="J177" s="31" t="s">
        <v>71</v>
      </c>
      <c r="K177" s="27" t="s">
        <v>159</v>
      </c>
      <c r="L177" s="27" t="s">
        <v>160</v>
      </c>
      <c r="M177" s="32" t="str">
        <f>HYPERLINK("http://slimages.macys.com/is/image/MCY/3876250 ")</f>
        <v xml:space="preserve">http://slimages.macys.com/is/image/MCY/3876250 </v>
      </c>
    </row>
    <row r="178" spans="1:13" ht="15.2" customHeight="1" x14ac:dyDescent="0.2">
      <c r="A178" s="26" t="s">
        <v>5788</v>
      </c>
      <c r="B178" s="27" t="s">
        <v>5789</v>
      </c>
      <c r="C178" s="28">
        <v>1</v>
      </c>
      <c r="D178" s="29">
        <v>6.25</v>
      </c>
      <c r="E178" s="29">
        <v>6.25</v>
      </c>
      <c r="F178" s="30">
        <v>12.99</v>
      </c>
      <c r="G178" s="29">
        <v>12.99</v>
      </c>
      <c r="H178" s="28" t="s">
        <v>2373</v>
      </c>
      <c r="I178" s="27" t="s">
        <v>82</v>
      </c>
      <c r="J178" s="31" t="s">
        <v>21</v>
      </c>
      <c r="K178" s="27" t="s">
        <v>282</v>
      </c>
      <c r="L178" s="27" t="s">
        <v>283</v>
      </c>
      <c r="M178" s="32" t="str">
        <f>HYPERLINK("http://slimages.macys.com/is/image/MCY/3773475 ")</f>
        <v xml:space="preserve">http://slimages.macys.com/is/image/MCY/3773475 </v>
      </c>
    </row>
    <row r="179" spans="1:13" ht="15.2" customHeight="1" x14ac:dyDescent="0.2">
      <c r="A179" s="26" t="s">
        <v>6091</v>
      </c>
      <c r="B179" s="27" t="s">
        <v>6092</v>
      </c>
      <c r="C179" s="28">
        <v>1</v>
      </c>
      <c r="D179" s="29">
        <v>6.25</v>
      </c>
      <c r="E179" s="29">
        <v>6.25</v>
      </c>
      <c r="F179" s="30">
        <v>12.99</v>
      </c>
      <c r="G179" s="29">
        <v>12.99</v>
      </c>
      <c r="H179" s="28" t="s">
        <v>2373</v>
      </c>
      <c r="I179" s="27" t="s">
        <v>82</v>
      </c>
      <c r="J179" s="31" t="s">
        <v>5</v>
      </c>
      <c r="K179" s="27" t="s">
        <v>282</v>
      </c>
      <c r="L179" s="27" t="s">
        <v>283</v>
      </c>
      <c r="M179" s="32" t="str">
        <f>HYPERLINK("http://slimages.macys.com/is/image/MCY/3773475 ")</f>
        <v xml:space="preserve">http://slimages.macys.com/is/image/MCY/3773475 </v>
      </c>
    </row>
    <row r="180" spans="1:13" ht="15.2" customHeight="1" x14ac:dyDescent="0.2">
      <c r="A180" s="26" t="s">
        <v>6586</v>
      </c>
      <c r="B180" s="27" t="s">
        <v>6587</v>
      </c>
      <c r="C180" s="28">
        <v>1</v>
      </c>
      <c r="D180" s="29">
        <v>6.21</v>
      </c>
      <c r="E180" s="29">
        <v>6.21</v>
      </c>
      <c r="F180" s="30">
        <v>16.989999999999998</v>
      </c>
      <c r="G180" s="29">
        <v>16.989999999999998</v>
      </c>
      <c r="H180" s="28">
        <v>60450152</v>
      </c>
      <c r="I180" s="27" t="s">
        <v>103</v>
      </c>
      <c r="J180" s="31" t="s">
        <v>40</v>
      </c>
      <c r="K180" s="27" t="s">
        <v>208</v>
      </c>
      <c r="L180" s="27" t="s">
        <v>255</v>
      </c>
      <c r="M180" s="32" t="str">
        <f>HYPERLINK("http://slimages.macys.com/is/image/MCY/3940690 ")</f>
        <v xml:space="preserve">http://slimages.macys.com/is/image/MCY/3940690 </v>
      </c>
    </row>
    <row r="181" spans="1:13" ht="15.2" customHeight="1" x14ac:dyDescent="0.2">
      <c r="A181" s="26" t="s">
        <v>1480</v>
      </c>
      <c r="B181" s="27" t="s">
        <v>1481</v>
      </c>
      <c r="C181" s="28">
        <v>1</v>
      </c>
      <c r="D181" s="29">
        <v>6.15</v>
      </c>
      <c r="E181" s="29">
        <v>6.15</v>
      </c>
      <c r="F181" s="30">
        <v>14.99</v>
      </c>
      <c r="G181" s="29">
        <v>14.99</v>
      </c>
      <c r="H181" s="28" t="s">
        <v>1477</v>
      </c>
      <c r="I181" s="27" t="s">
        <v>103</v>
      </c>
      <c r="J181" s="31" t="s">
        <v>21</v>
      </c>
      <c r="K181" s="27" t="s">
        <v>159</v>
      </c>
      <c r="L181" s="27" t="s">
        <v>160</v>
      </c>
      <c r="M181" s="32" t="str">
        <f>HYPERLINK("http://slimages.macys.com/is/image/MCY/3857666 ")</f>
        <v xml:space="preserve">http://slimages.macys.com/is/image/MCY/3857666 </v>
      </c>
    </row>
    <row r="182" spans="1:13" ht="15.2" customHeight="1" x14ac:dyDescent="0.2">
      <c r="A182" s="26" t="s">
        <v>1475</v>
      </c>
      <c r="B182" s="27" t="s">
        <v>1476</v>
      </c>
      <c r="C182" s="28">
        <v>2</v>
      </c>
      <c r="D182" s="29">
        <v>6.15</v>
      </c>
      <c r="E182" s="29">
        <v>12.3</v>
      </c>
      <c r="F182" s="30">
        <v>14.99</v>
      </c>
      <c r="G182" s="29">
        <v>29.98</v>
      </c>
      <c r="H182" s="28" t="s">
        <v>403</v>
      </c>
      <c r="I182" s="27" t="s">
        <v>207</v>
      </c>
      <c r="J182" s="31" t="s">
        <v>21</v>
      </c>
      <c r="K182" s="27" t="s">
        <v>159</v>
      </c>
      <c r="L182" s="27" t="s">
        <v>160</v>
      </c>
      <c r="M182" s="32" t="str">
        <f>HYPERLINK("http://slimages.macys.com/is/image/MCY/3899765 ")</f>
        <v xml:space="preserve">http://slimages.macys.com/is/image/MCY/3899765 </v>
      </c>
    </row>
    <row r="183" spans="1:13" ht="15.2" customHeight="1" x14ac:dyDescent="0.2">
      <c r="A183" s="26" t="s">
        <v>2697</v>
      </c>
      <c r="B183" s="27" t="s">
        <v>2698</v>
      </c>
      <c r="C183" s="28">
        <v>1</v>
      </c>
      <c r="D183" s="29">
        <v>6.15</v>
      </c>
      <c r="E183" s="29">
        <v>6.15</v>
      </c>
      <c r="F183" s="30">
        <v>14.99</v>
      </c>
      <c r="G183" s="29">
        <v>14.99</v>
      </c>
      <c r="H183" s="28" t="s">
        <v>2694</v>
      </c>
      <c r="I183" s="27" t="s">
        <v>295</v>
      </c>
      <c r="J183" s="31" t="s">
        <v>5</v>
      </c>
      <c r="K183" s="27" t="s">
        <v>159</v>
      </c>
      <c r="L183" s="27" t="s">
        <v>160</v>
      </c>
      <c r="M183" s="32" t="str">
        <f>HYPERLINK("http://slimages.macys.com/is/image/MCY/3857666 ")</f>
        <v xml:space="preserve">http://slimages.macys.com/is/image/MCY/3857666 </v>
      </c>
    </row>
    <row r="184" spans="1:13" ht="15.2" customHeight="1" x14ac:dyDescent="0.2">
      <c r="A184" s="26" t="s">
        <v>6588</v>
      </c>
      <c r="B184" s="27" t="s">
        <v>6589</v>
      </c>
      <c r="C184" s="28">
        <v>1</v>
      </c>
      <c r="D184" s="29">
        <v>6</v>
      </c>
      <c r="E184" s="29">
        <v>6</v>
      </c>
      <c r="F184" s="30">
        <v>12.99</v>
      </c>
      <c r="G184" s="29">
        <v>12.99</v>
      </c>
      <c r="H184" s="28" t="s">
        <v>895</v>
      </c>
      <c r="I184" s="27" t="s">
        <v>82</v>
      </c>
      <c r="J184" s="31" t="s">
        <v>52</v>
      </c>
      <c r="K184" s="27" t="s">
        <v>282</v>
      </c>
      <c r="L184" s="27" t="s">
        <v>327</v>
      </c>
      <c r="M184" s="32" t="str">
        <f>HYPERLINK("http://slimages.macys.com/is/image/MCY/3812938 ")</f>
        <v xml:space="preserve">http://slimages.macys.com/is/image/MCY/3812938 </v>
      </c>
    </row>
    <row r="185" spans="1:13" ht="15.2" customHeight="1" x14ac:dyDescent="0.2">
      <c r="A185" s="26" t="s">
        <v>6590</v>
      </c>
      <c r="B185" s="27" t="s">
        <v>6591</v>
      </c>
      <c r="C185" s="28">
        <v>1</v>
      </c>
      <c r="D185" s="29">
        <v>6</v>
      </c>
      <c r="E185" s="29">
        <v>6</v>
      </c>
      <c r="F185" s="30">
        <v>12.99</v>
      </c>
      <c r="G185" s="29">
        <v>12.99</v>
      </c>
      <c r="H185" s="28" t="s">
        <v>3927</v>
      </c>
      <c r="I185" s="27" t="s">
        <v>144</v>
      </c>
      <c r="J185" s="31" t="s">
        <v>21</v>
      </c>
      <c r="K185" s="27" t="s">
        <v>282</v>
      </c>
      <c r="L185" s="27" t="s">
        <v>283</v>
      </c>
      <c r="M185" s="32" t="str">
        <f>HYPERLINK("http://slimages.macys.com/is/image/MCY/3924232 ")</f>
        <v xml:space="preserve">http://slimages.macys.com/is/image/MCY/3924232 </v>
      </c>
    </row>
    <row r="186" spans="1:13" ht="15.2" customHeight="1" x14ac:dyDescent="0.2">
      <c r="A186" s="26" t="s">
        <v>6592</v>
      </c>
      <c r="B186" s="27" t="s">
        <v>6593</v>
      </c>
      <c r="C186" s="28">
        <v>1</v>
      </c>
      <c r="D186" s="29">
        <v>5.95</v>
      </c>
      <c r="E186" s="29">
        <v>5.95</v>
      </c>
      <c r="F186" s="30">
        <v>12.99</v>
      </c>
      <c r="G186" s="29">
        <v>12.99</v>
      </c>
      <c r="H186" s="28" t="s">
        <v>3009</v>
      </c>
      <c r="I186" s="27" t="s">
        <v>357</v>
      </c>
      <c r="J186" s="31" t="s">
        <v>71</v>
      </c>
      <c r="K186" s="27" t="s">
        <v>282</v>
      </c>
      <c r="L186" s="27" t="s">
        <v>358</v>
      </c>
      <c r="M186" s="32" t="str">
        <f>HYPERLINK("http://slimages.macys.com/is/image/MCY/3773354 ")</f>
        <v xml:space="preserve">http://slimages.macys.com/is/image/MCY/3773354 </v>
      </c>
    </row>
    <row r="187" spans="1:13" ht="15.2" customHeight="1" x14ac:dyDescent="0.2">
      <c r="A187" s="26" t="s">
        <v>3938</v>
      </c>
      <c r="B187" s="27" t="s">
        <v>3939</v>
      </c>
      <c r="C187" s="28">
        <v>1</v>
      </c>
      <c r="D187" s="29">
        <v>5.95</v>
      </c>
      <c r="E187" s="29">
        <v>5.95</v>
      </c>
      <c r="F187" s="30">
        <v>12.99</v>
      </c>
      <c r="G187" s="29">
        <v>12.99</v>
      </c>
      <c r="H187" s="28" t="s">
        <v>3009</v>
      </c>
      <c r="I187" s="27" t="s">
        <v>357</v>
      </c>
      <c r="J187" s="31" t="s">
        <v>5</v>
      </c>
      <c r="K187" s="27" t="s">
        <v>282</v>
      </c>
      <c r="L187" s="27" t="s">
        <v>358</v>
      </c>
      <c r="M187" s="32" t="str">
        <f>HYPERLINK("http://slimages.macys.com/is/image/MCY/3773354 ")</f>
        <v xml:space="preserve">http://slimages.macys.com/is/image/MCY/3773354 </v>
      </c>
    </row>
    <row r="188" spans="1:13" ht="15.2" customHeight="1" x14ac:dyDescent="0.2">
      <c r="A188" s="26" t="s">
        <v>4362</v>
      </c>
      <c r="B188" s="27" t="s">
        <v>4363</v>
      </c>
      <c r="C188" s="28">
        <v>1</v>
      </c>
      <c r="D188" s="29">
        <v>5.95</v>
      </c>
      <c r="E188" s="29">
        <v>5.95</v>
      </c>
      <c r="F188" s="30">
        <v>12.99</v>
      </c>
      <c r="G188" s="29">
        <v>12.99</v>
      </c>
      <c r="H188" s="28" t="s">
        <v>4364</v>
      </c>
      <c r="I188" s="27" t="s">
        <v>144</v>
      </c>
      <c r="J188" s="31" t="s">
        <v>52</v>
      </c>
      <c r="K188" s="27" t="s">
        <v>282</v>
      </c>
      <c r="L188" s="27" t="s">
        <v>358</v>
      </c>
      <c r="M188" s="32" t="str">
        <f>HYPERLINK("http://slimages.macys.com/is/image/MCY/3832188 ")</f>
        <v xml:space="preserve">http://slimages.macys.com/is/image/MCY/3832188 </v>
      </c>
    </row>
    <row r="189" spans="1:13" ht="15.2" customHeight="1" x14ac:dyDescent="0.2">
      <c r="A189" s="26" t="s">
        <v>6594</v>
      </c>
      <c r="B189" s="27" t="s">
        <v>6595</v>
      </c>
      <c r="C189" s="28">
        <v>1</v>
      </c>
      <c r="D189" s="29">
        <v>5.95</v>
      </c>
      <c r="E189" s="29">
        <v>5.95</v>
      </c>
      <c r="F189" s="30">
        <v>12.99</v>
      </c>
      <c r="G189" s="29">
        <v>12.99</v>
      </c>
      <c r="H189" s="28" t="s">
        <v>3458</v>
      </c>
      <c r="I189" s="27" t="s">
        <v>265</v>
      </c>
      <c r="J189" s="31" t="s">
        <v>71</v>
      </c>
      <c r="K189" s="27" t="s">
        <v>282</v>
      </c>
      <c r="L189" s="27" t="s">
        <v>358</v>
      </c>
      <c r="M189" s="32" t="str">
        <f>HYPERLINK("http://slimages.macys.com/is/image/MCY/3947094 ")</f>
        <v xml:space="preserve">http://slimages.macys.com/is/image/MCY/3947094 </v>
      </c>
    </row>
    <row r="190" spans="1:13" ht="15.2" customHeight="1" x14ac:dyDescent="0.2">
      <c r="A190" s="26" t="s">
        <v>6596</v>
      </c>
      <c r="B190" s="27" t="s">
        <v>6597</v>
      </c>
      <c r="C190" s="28">
        <v>1</v>
      </c>
      <c r="D190" s="29">
        <v>5.95</v>
      </c>
      <c r="E190" s="29">
        <v>5.95</v>
      </c>
      <c r="F190" s="30">
        <v>12.99</v>
      </c>
      <c r="G190" s="29">
        <v>12.99</v>
      </c>
      <c r="H190" s="28" t="s">
        <v>422</v>
      </c>
      <c r="I190" s="27" t="s">
        <v>343</v>
      </c>
      <c r="J190" s="31" t="s">
        <v>21</v>
      </c>
      <c r="K190" s="27" t="s">
        <v>282</v>
      </c>
      <c r="L190" s="27" t="s">
        <v>358</v>
      </c>
      <c r="M190" s="32" t="str">
        <f>HYPERLINK("http://slimages.macys.com/is/image/MCY/3947154 ")</f>
        <v xml:space="preserve">http://slimages.macys.com/is/image/MCY/3947154 </v>
      </c>
    </row>
    <row r="191" spans="1:13" ht="15.2" customHeight="1" x14ac:dyDescent="0.2">
      <c r="A191" s="26" t="s">
        <v>6598</v>
      </c>
      <c r="B191" s="27" t="s">
        <v>6599</v>
      </c>
      <c r="C191" s="28">
        <v>1</v>
      </c>
      <c r="D191" s="29">
        <v>5.75</v>
      </c>
      <c r="E191" s="29">
        <v>5.75</v>
      </c>
      <c r="F191" s="30">
        <v>12.99</v>
      </c>
      <c r="G191" s="29">
        <v>12.99</v>
      </c>
      <c r="H191" s="28" t="s">
        <v>1536</v>
      </c>
      <c r="I191" s="27" t="s">
        <v>22</v>
      </c>
      <c r="J191" s="31" t="s">
        <v>71</v>
      </c>
      <c r="K191" s="27" t="s">
        <v>282</v>
      </c>
      <c r="L191" s="27" t="s">
        <v>349</v>
      </c>
      <c r="M191" s="32" t="str">
        <f>HYPERLINK("http://slimages.macys.com/is/image/MCY/3755122 ")</f>
        <v xml:space="preserve">http://slimages.macys.com/is/image/MCY/3755122 </v>
      </c>
    </row>
    <row r="192" spans="1:13" ht="15.2" customHeight="1" x14ac:dyDescent="0.2">
      <c r="A192" s="26" t="s">
        <v>6600</v>
      </c>
      <c r="B192" s="27" t="s">
        <v>6601</v>
      </c>
      <c r="C192" s="28">
        <v>1</v>
      </c>
      <c r="D192" s="29">
        <v>5.75</v>
      </c>
      <c r="E192" s="29">
        <v>5.75</v>
      </c>
      <c r="F192" s="30">
        <v>12.99</v>
      </c>
      <c r="G192" s="29">
        <v>12.99</v>
      </c>
      <c r="H192" s="28" t="s">
        <v>3010</v>
      </c>
      <c r="I192" s="27" t="s">
        <v>59</v>
      </c>
      <c r="J192" s="31" t="s">
        <v>52</v>
      </c>
      <c r="K192" s="27" t="s">
        <v>282</v>
      </c>
      <c r="L192" s="27" t="s">
        <v>225</v>
      </c>
      <c r="M192" s="32" t="str">
        <f>HYPERLINK("http://slimages.macys.com/is/image/MCY/3652628 ")</f>
        <v xml:space="preserve">http://slimages.macys.com/is/image/MCY/3652628 </v>
      </c>
    </row>
    <row r="193" spans="1:13" ht="15.2" customHeight="1" x14ac:dyDescent="0.2">
      <c r="A193" s="26" t="s">
        <v>1537</v>
      </c>
      <c r="B193" s="27" t="s">
        <v>1538</v>
      </c>
      <c r="C193" s="28">
        <v>1</v>
      </c>
      <c r="D193" s="29">
        <v>5.65</v>
      </c>
      <c r="E193" s="29">
        <v>5.65</v>
      </c>
      <c r="F193" s="30">
        <v>12.99</v>
      </c>
      <c r="G193" s="29">
        <v>12.99</v>
      </c>
      <c r="H193" s="28" t="s">
        <v>923</v>
      </c>
      <c r="I193" s="27" t="s">
        <v>59</v>
      </c>
      <c r="J193" s="31" t="s">
        <v>52</v>
      </c>
      <c r="K193" s="27" t="s">
        <v>282</v>
      </c>
      <c r="L193" s="27" t="s">
        <v>393</v>
      </c>
      <c r="M193" s="32" t="str">
        <f>HYPERLINK("http://slimages.macys.com/is/image/MCY/3799588 ")</f>
        <v xml:space="preserve">http://slimages.macys.com/is/image/MCY/3799588 </v>
      </c>
    </row>
    <row r="194" spans="1:13" ht="15.2" customHeight="1" x14ac:dyDescent="0.2">
      <c r="A194" s="26" t="s">
        <v>4236</v>
      </c>
      <c r="B194" s="27" t="s">
        <v>4237</v>
      </c>
      <c r="C194" s="28">
        <v>1</v>
      </c>
      <c r="D194" s="29">
        <v>5.65</v>
      </c>
      <c r="E194" s="29">
        <v>5.65</v>
      </c>
      <c r="F194" s="30">
        <v>12.99</v>
      </c>
      <c r="G194" s="29">
        <v>12.99</v>
      </c>
      <c r="H194" s="28" t="s">
        <v>4238</v>
      </c>
      <c r="I194" s="27" t="s">
        <v>82</v>
      </c>
      <c r="J194" s="31" t="s">
        <v>21</v>
      </c>
      <c r="K194" s="27" t="s">
        <v>282</v>
      </c>
      <c r="L194" s="27" t="s">
        <v>393</v>
      </c>
      <c r="M194" s="32" t="str">
        <f>HYPERLINK("http://slimages.macys.com/is/image/MCY/3754959 ")</f>
        <v xml:space="preserve">http://slimages.macys.com/is/image/MCY/3754959 </v>
      </c>
    </row>
    <row r="195" spans="1:13" ht="15.2" customHeight="1" x14ac:dyDescent="0.2">
      <c r="A195" s="26" t="s">
        <v>434</v>
      </c>
      <c r="B195" s="27" t="s">
        <v>435</v>
      </c>
      <c r="C195" s="28">
        <v>4</v>
      </c>
      <c r="D195" s="29">
        <v>5.5</v>
      </c>
      <c r="E195" s="29">
        <v>22</v>
      </c>
      <c r="F195" s="30">
        <v>16.989999999999998</v>
      </c>
      <c r="G195" s="29">
        <v>67.959999999999994</v>
      </c>
      <c r="H195" s="28" t="s">
        <v>431</v>
      </c>
      <c r="I195" s="27" t="s">
        <v>383</v>
      </c>
      <c r="J195" s="31" t="s">
        <v>40</v>
      </c>
      <c r="K195" s="27" t="s">
        <v>282</v>
      </c>
      <c r="L195" s="27" t="s">
        <v>388</v>
      </c>
      <c r="M195" s="32" t="str">
        <f>HYPERLINK("http://slimages.macys.com/is/image/MCY/3953470 ")</f>
        <v xml:space="preserve">http://slimages.macys.com/is/image/MCY/3953470 </v>
      </c>
    </row>
    <row r="196" spans="1:13" ht="15.2" customHeight="1" x14ac:dyDescent="0.2">
      <c r="A196" s="26" t="s">
        <v>924</v>
      </c>
      <c r="B196" s="27" t="s">
        <v>925</v>
      </c>
      <c r="C196" s="28">
        <v>1</v>
      </c>
      <c r="D196" s="29">
        <v>5.5</v>
      </c>
      <c r="E196" s="29">
        <v>5.5</v>
      </c>
      <c r="F196" s="30">
        <v>16.989999999999998</v>
      </c>
      <c r="G196" s="29">
        <v>16.989999999999998</v>
      </c>
      <c r="H196" s="28" t="s">
        <v>431</v>
      </c>
      <c r="I196" s="27" t="s">
        <v>33</v>
      </c>
      <c r="J196" s="31" t="s">
        <v>21</v>
      </c>
      <c r="K196" s="27" t="s">
        <v>282</v>
      </c>
      <c r="L196" s="27" t="s">
        <v>388</v>
      </c>
      <c r="M196" s="32" t="str">
        <f>HYPERLINK("http://slimages.macys.com/is/image/MCY/3890955 ")</f>
        <v xml:space="preserve">http://slimages.macys.com/is/image/MCY/3890955 </v>
      </c>
    </row>
    <row r="197" spans="1:13" ht="15.2" customHeight="1" x14ac:dyDescent="0.2">
      <c r="A197" s="26" t="s">
        <v>6384</v>
      </c>
      <c r="B197" s="27" t="s">
        <v>6385</v>
      </c>
      <c r="C197" s="28">
        <v>1</v>
      </c>
      <c r="D197" s="29">
        <v>5.5</v>
      </c>
      <c r="E197" s="29">
        <v>5.5</v>
      </c>
      <c r="F197" s="30">
        <v>16.989999999999998</v>
      </c>
      <c r="G197" s="29">
        <v>16.989999999999998</v>
      </c>
      <c r="H197" s="28" t="s">
        <v>431</v>
      </c>
      <c r="I197" s="27" t="s">
        <v>33</v>
      </c>
      <c r="J197" s="31" t="s">
        <v>40</v>
      </c>
      <c r="K197" s="27" t="s">
        <v>282</v>
      </c>
      <c r="L197" s="27" t="s">
        <v>388</v>
      </c>
      <c r="M197" s="32" t="str">
        <f>HYPERLINK("http://slimages.macys.com/is/image/MCY/3890944 ")</f>
        <v xml:space="preserve">http://slimages.macys.com/is/image/MCY/3890944 </v>
      </c>
    </row>
    <row r="198" spans="1:13" ht="15.2" customHeight="1" x14ac:dyDescent="0.2">
      <c r="A198" s="26" t="s">
        <v>928</v>
      </c>
      <c r="B198" s="27" t="s">
        <v>929</v>
      </c>
      <c r="C198" s="28">
        <v>1</v>
      </c>
      <c r="D198" s="29">
        <v>5.5</v>
      </c>
      <c r="E198" s="29">
        <v>5.5</v>
      </c>
      <c r="F198" s="30">
        <v>16.989999999999998</v>
      </c>
      <c r="G198" s="29">
        <v>16.989999999999998</v>
      </c>
      <c r="H198" s="28" t="s">
        <v>431</v>
      </c>
      <c r="I198" s="27" t="s">
        <v>383</v>
      </c>
      <c r="J198" s="31" t="s">
        <v>52</v>
      </c>
      <c r="K198" s="27" t="s">
        <v>282</v>
      </c>
      <c r="L198" s="27" t="s">
        <v>388</v>
      </c>
      <c r="M198" s="32" t="str">
        <f>HYPERLINK("http://slimages.macys.com/is/image/MCY/3953470 ")</f>
        <v xml:space="preserve">http://slimages.macys.com/is/image/MCY/3953470 </v>
      </c>
    </row>
    <row r="199" spans="1:13" ht="15.2" customHeight="1" x14ac:dyDescent="0.2">
      <c r="A199" s="26" t="s">
        <v>3946</v>
      </c>
      <c r="B199" s="27" t="s">
        <v>3947</v>
      </c>
      <c r="C199" s="28">
        <v>1</v>
      </c>
      <c r="D199" s="29">
        <v>5.5</v>
      </c>
      <c r="E199" s="29">
        <v>5.5</v>
      </c>
      <c r="F199" s="30">
        <v>16.989999999999998</v>
      </c>
      <c r="G199" s="29">
        <v>16.989999999999998</v>
      </c>
      <c r="H199" s="28" t="s">
        <v>431</v>
      </c>
      <c r="I199" s="27" t="s">
        <v>82</v>
      </c>
      <c r="J199" s="31" t="s">
        <v>21</v>
      </c>
      <c r="K199" s="27" t="s">
        <v>282</v>
      </c>
      <c r="L199" s="27" t="s">
        <v>388</v>
      </c>
      <c r="M199" s="32" t="str">
        <f>HYPERLINK("http://slimages.macys.com/is/image/MCY/3953466 ")</f>
        <v xml:space="preserve">http://slimages.macys.com/is/image/MCY/3953466 </v>
      </c>
    </row>
    <row r="200" spans="1:13" ht="15.2" customHeight="1" x14ac:dyDescent="0.2">
      <c r="A200" s="26" t="s">
        <v>1940</v>
      </c>
      <c r="B200" s="27" t="s">
        <v>1941</v>
      </c>
      <c r="C200" s="28">
        <v>1</v>
      </c>
      <c r="D200" s="29">
        <v>5.5</v>
      </c>
      <c r="E200" s="29">
        <v>5.5</v>
      </c>
      <c r="F200" s="30">
        <v>16.989999999999998</v>
      </c>
      <c r="G200" s="29">
        <v>16.989999999999998</v>
      </c>
      <c r="H200" s="28" t="s">
        <v>431</v>
      </c>
      <c r="I200" s="27" t="s">
        <v>33</v>
      </c>
      <c r="J200" s="31" t="s">
        <v>52</v>
      </c>
      <c r="K200" s="27" t="s">
        <v>282</v>
      </c>
      <c r="L200" s="27" t="s">
        <v>388</v>
      </c>
      <c r="M200" s="32" t="str">
        <f>HYPERLINK("http://slimages.macys.com/is/image/MCY/3953468 ")</f>
        <v xml:space="preserve">http://slimages.macys.com/is/image/MCY/3953468 </v>
      </c>
    </row>
    <row r="201" spans="1:13" ht="15.2" customHeight="1" x14ac:dyDescent="0.2">
      <c r="A201" s="26" t="s">
        <v>6602</v>
      </c>
      <c r="B201" s="27" t="s">
        <v>6603</v>
      </c>
      <c r="C201" s="28">
        <v>1</v>
      </c>
      <c r="D201" s="29">
        <v>5.5</v>
      </c>
      <c r="E201" s="29">
        <v>5.5</v>
      </c>
      <c r="F201" s="30">
        <v>12.99</v>
      </c>
      <c r="G201" s="29">
        <v>12.99</v>
      </c>
      <c r="H201" s="28" t="s">
        <v>6604</v>
      </c>
      <c r="I201" s="27" t="s">
        <v>189</v>
      </c>
      <c r="J201" s="31" t="s">
        <v>40</v>
      </c>
      <c r="K201" s="27" t="s">
        <v>282</v>
      </c>
      <c r="L201" s="27" t="s">
        <v>349</v>
      </c>
      <c r="M201" s="32" t="str">
        <f>HYPERLINK("http://slimages.macys.com/is/image/MCY/3832983 ")</f>
        <v xml:space="preserve">http://slimages.macys.com/is/image/MCY/3832983 </v>
      </c>
    </row>
    <row r="202" spans="1:13" ht="15.2" customHeight="1" x14ac:dyDescent="0.2">
      <c r="A202" s="26" t="s">
        <v>4497</v>
      </c>
      <c r="B202" s="27" t="s">
        <v>4498</v>
      </c>
      <c r="C202" s="28">
        <v>1</v>
      </c>
      <c r="D202" s="29">
        <v>5.5</v>
      </c>
      <c r="E202" s="29">
        <v>5.5</v>
      </c>
      <c r="F202" s="30">
        <v>12.99</v>
      </c>
      <c r="G202" s="29">
        <v>12.99</v>
      </c>
      <c r="H202" s="28" t="s">
        <v>4499</v>
      </c>
      <c r="I202" s="27" t="s">
        <v>82</v>
      </c>
      <c r="J202" s="31" t="s">
        <v>5</v>
      </c>
      <c r="K202" s="27" t="s">
        <v>282</v>
      </c>
      <c r="L202" s="27" t="s">
        <v>283</v>
      </c>
      <c r="M202" s="32" t="str">
        <f>HYPERLINK("http://slimages.macys.com/is/image/MCY/3755647 ")</f>
        <v xml:space="preserve">http://slimages.macys.com/is/image/MCY/3755647 </v>
      </c>
    </row>
    <row r="203" spans="1:13" ht="15.2" customHeight="1" x14ac:dyDescent="0.2">
      <c r="A203" s="26" t="s">
        <v>6605</v>
      </c>
      <c r="B203" s="27" t="s">
        <v>6606</v>
      </c>
      <c r="C203" s="28">
        <v>1</v>
      </c>
      <c r="D203" s="29">
        <v>5.5</v>
      </c>
      <c r="E203" s="29">
        <v>5.5</v>
      </c>
      <c r="F203" s="30">
        <v>12.99</v>
      </c>
      <c r="G203" s="29">
        <v>12.99</v>
      </c>
      <c r="H203" s="28" t="s">
        <v>5486</v>
      </c>
      <c r="I203" s="27" t="s">
        <v>144</v>
      </c>
      <c r="J203" s="31" t="s">
        <v>5</v>
      </c>
      <c r="K203" s="27" t="s">
        <v>282</v>
      </c>
      <c r="L203" s="27" t="s">
        <v>312</v>
      </c>
      <c r="M203" s="32" t="str">
        <f>HYPERLINK("http://slimages.macys.com/is/image/MCY/3777674 ")</f>
        <v xml:space="preserve">http://slimages.macys.com/is/image/MCY/3777674 </v>
      </c>
    </row>
    <row r="204" spans="1:13" ht="15.2" customHeight="1" x14ac:dyDescent="0.2">
      <c r="A204" s="26" t="s">
        <v>6607</v>
      </c>
      <c r="B204" s="27" t="s">
        <v>6608</v>
      </c>
      <c r="C204" s="28">
        <v>1</v>
      </c>
      <c r="D204" s="29">
        <v>5.5</v>
      </c>
      <c r="E204" s="29">
        <v>5.5</v>
      </c>
      <c r="F204" s="30">
        <v>12.99</v>
      </c>
      <c r="G204" s="29">
        <v>12.99</v>
      </c>
      <c r="H204" s="28" t="s">
        <v>4852</v>
      </c>
      <c r="I204" s="27" t="s">
        <v>4</v>
      </c>
      <c r="J204" s="31" t="s">
        <v>40</v>
      </c>
      <c r="K204" s="27" t="s">
        <v>282</v>
      </c>
      <c r="L204" s="27" t="s">
        <v>283</v>
      </c>
      <c r="M204" s="32" t="str">
        <f>HYPERLINK("http://slimages.macys.com/is/image/MCY/3755655 ")</f>
        <v xml:space="preserve">http://slimages.macys.com/is/image/MCY/3755655 </v>
      </c>
    </row>
    <row r="205" spans="1:13" ht="15.2" customHeight="1" x14ac:dyDescent="0.2">
      <c r="A205" s="26" t="s">
        <v>6386</v>
      </c>
      <c r="B205" s="27" t="s">
        <v>6387</v>
      </c>
      <c r="C205" s="28">
        <v>1</v>
      </c>
      <c r="D205" s="29">
        <v>5.5</v>
      </c>
      <c r="E205" s="29">
        <v>5.5</v>
      </c>
      <c r="F205" s="30">
        <v>12.99</v>
      </c>
      <c r="G205" s="29">
        <v>12.99</v>
      </c>
      <c r="H205" s="28" t="s">
        <v>4852</v>
      </c>
      <c r="I205" s="27" t="s">
        <v>4</v>
      </c>
      <c r="J205" s="31" t="s">
        <v>71</v>
      </c>
      <c r="K205" s="27" t="s">
        <v>282</v>
      </c>
      <c r="L205" s="27" t="s">
        <v>283</v>
      </c>
      <c r="M205" s="32" t="str">
        <f>HYPERLINK("http://slimages.macys.com/is/image/MCY/3755655 ")</f>
        <v xml:space="preserve">http://slimages.macys.com/is/image/MCY/3755655 </v>
      </c>
    </row>
    <row r="206" spans="1:13" ht="15.2" customHeight="1" x14ac:dyDescent="0.2">
      <c r="A206" s="26" t="s">
        <v>432</v>
      </c>
      <c r="B206" s="27" t="s">
        <v>433</v>
      </c>
      <c r="C206" s="28">
        <v>5</v>
      </c>
      <c r="D206" s="29">
        <v>5.5</v>
      </c>
      <c r="E206" s="29">
        <v>27.5</v>
      </c>
      <c r="F206" s="30">
        <v>16.989999999999998</v>
      </c>
      <c r="G206" s="29">
        <v>84.95</v>
      </c>
      <c r="H206" s="28" t="s">
        <v>431</v>
      </c>
      <c r="I206" s="27" t="s">
        <v>383</v>
      </c>
      <c r="J206" s="31" t="s">
        <v>21</v>
      </c>
      <c r="K206" s="27" t="s">
        <v>282</v>
      </c>
      <c r="L206" s="27" t="s">
        <v>388</v>
      </c>
      <c r="M206" s="32" t="str">
        <f>HYPERLINK("http://slimages.macys.com/is/image/MCY/3953470 ")</f>
        <v xml:space="preserve">http://slimages.macys.com/is/image/MCY/3953470 </v>
      </c>
    </row>
    <row r="207" spans="1:13" ht="15.2" customHeight="1" x14ac:dyDescent="0.2">
      <c r="A207" s="26" t="s">
        <v>6609</v>
      </c>
      <c r="B207" s="27" t="s">
        <v>6610</v>
      </c>
      <c r="C207" s="28">
        <v>1</v>
      </c>
      <c r="D207" s="29">
        <v>5.5</v>
      </c>
      <c r="E207" s="29">
        <v>5.5</v>
      </c>
      <c r="F207" s="30">
        <v>12.99</v>
      </c>
      <c r="G207" s="29">
        <v>12.99</v>
      </c>
      <c r="H207" s="28" t="s">
        <v>438</v>
      </c>
      <c r="I207" s="27" t="s">
        <v>33</v>
      </c>
      <c r="J207" s="31" t="s">
        <v>71</v>
      </c>
      <c r="K207" s="27" t="s">
        <v>282</v>
      </c>
      <c r="L207" s="27" t="s">
        <v>312</v>
      </c>
      <c r="M207" s="32" t="str">
        <f>HYPERLINK("http://slimages.macys.com/is/image/MCY/3875995 ")</f>
        <v xml:space="preserve">http://slimages.macys.com/is/image/MCY/3875995 </v>
      </c>
    </row>
    <row r="208" spans="1:13" ht="15.2" customHeight="1" x14ac:dyDescent="0.2">
      <c r="A208" s="26" t="s">
        <v>5484</v>
      </c>
      <c r="B208" s="27" t="s">
        <v>5485</v>
      </c>
      <c r="C208" s="28">
        <v>2</v>
      </c>
      <c r="D208" s="29">
        <v>5.5</v>
      </c>
      <c r="E208" s="29">
        <v>11</v>
      </c>
      <c r="F208" s="30">
        <v>12.99</v>
      </c>
      <c r="G208" s="29">
        <v>25.98</v>
      </c>
      <c r="H208" s="28" t="s">
        <v>5486</v>
      </c>
      <c r="I208" s="27" t="s">
        <v>144</v>
      </c>
      <c r="J208" s="31" t="s">
        <v>40</v>
      </c>
      <c r="K208" s="27" t="s">
        <v>282</v>
      </c>
      <c r="L208" s="27" t="s">
        <v>312</v>
      </c>
      <c r="M208" s="32" t="str">
        <f>HYPERLINK("http://slimages.macys.com/is/image/MCY/3777674 ")</f>
        <v xml:space="preserve">http://slimages.macys.com/is/image/MCY/3777674 </v>
      </c>
    </row>
    <row r="209" spans="1:13" ht="15.2" customHeight="1" x14ac:dyDescent="0.2">
      <c r="A209" s="26" t="s">
        <v>6611</v>
      </c>
      <c r="B209" s="27" t="s">
        <v>6612</v>
      </c>
      <c r="C209" s="28">
        <v>1</v>
      </c>
      <c r="D209" s="29">
        <v>5.5</v>
      </c>
      <c r="E209" s="29">
        <v>5.5</v>
      </c>
      <c r="F209" s="30">
        <v>12.99</v>
      </c>
      <c r="G209" s="29">
        <v>12.99</v>
      </c>
      <c r="H209" s="28" t="s">
        <v>5486</v>
      </c>
      <c r="I209" s="27" t="s">
        <v>144</v>
      </c>
      <c r="J209" s="31" t="s">
        <v>52</v>
      </c>
      <c r="K209" s="27" t="s">
        <v>282</v>
      </c>
      <c r="L209" s="27" t="s">
        <v>312</v>
      </c>
      <c r="M209" s="32" t="str">
        <f>HYPERLINK("http://slimages.macys.com/is/image/MCY/3777674 ")</f>
        <v xml:space="preserve">http://slimages.macys.com/is/image/MCY/3777674 </v>
      </c>
    </row>
    <row r="210" spans="1:13" ht="15.2" customHeight="1" x14ac:dyDescent="0.2">
      <c r="A210" s="26" t="s">
        <v>6613</v>
      </c>
      <c r="B210" s="27" t="s">
        <v>6614</v>
      </c>
      <c r="C210" s="28">
        <v>2</v>
      </c>
      <c r="D210" s="29">
        <v>5.5</v>
      </c>
      <c r="E210" s="29">
        <v>11</v>
      </c>
      <c r="F210" s="30">
        <v>12.99</v>
      </c>
      <c r="G210" s="29">
        <v>25.98</v>
      </c>
      <c r="H210" s="28" t="s">
        <v>4852</v>
      </c>
      <c r="I210" s="27" t="s">
        <v>4</v>
      </c>
      <c r="J210" s="31" t="s">
        <v>5</v>
      </c>
      <c r="K210" s="27" t="s">
        <v>282</v>
      </c>
      <c r="L210" s="27" t="s">
        <v>283</v>
      </c>
      <c r="M210" s="32" t="str">
        <f>HYPERLINK("http://slimages.macys.com/is/image/MCY/3755655 ")</f>
        <v xml:space="preserve">http://slimages.macys.com/is/image/MCY/3755655 </v>
      </c>
    </row>
    <row r="211" spans="1:13" ht="15.2" customHeight="1" x14ac:dyDescent="0.2">
      <c r="A211" s="26" t="s">
        <v>429</v>
      </c>
      <c r="B211" s="27" t="s">
        <v>430</v>
      </c>
      <c r="C211" s="28">
        <v>1</v>
      </c>
      <c r="D211" s="29">
        <v>5.5</v>
      </c>
      <c r="E211" s="29">
        <v>5.5</v>
      </c>
      <c r="F211" s="30">
        <v>16.989999999999998</v>
      </c>
      <c r="G211" s="29">
        <v>16.989999999999998</v>
      </c>
      <c r="H211" s="28" t="s">
        <v>431</v>
      </c>
      <c r="I211" s="27" t="s">
        <v>64</v>
      </c>
      <c r="J211" s="31" t="s">
        <v>21</v>
      </c>
      <c r="K211" s="27" t="s">
        <v>282</v>
      </c>
      <c r="L211" s="27" t="s">
        <v>388</v>
      </c>
      <c r="M211" s="32" t="str">
        <f>HYPERLINK("http://slimages.macys.com/is/image/MCY/3953467 ")</f>
        <v xml:space="preserve">http://slimages.macys.com/is/image/MCY/3953467 </v>
      </c>
    </row>
    <row r="212" spans="1:13" ht="15.2" customHeight="1" x14ac:dyDescent="0.2">
      <c r="A212" s="26" t="s">
        <v>6615</v>
      </c>
      <c r="B212" s="27" t="s">
        <v>6616</v>
      </c>
      <c r="C212" s="28">
        <v>1</v>
      </c>
      <c r="D212" s="29">
        <v>5.5</v>
      </c>
      <c r="E212" s="29">
        <v>5.5</v>
      </c>
      <c r="F212" s="30">
        <v>12.99</v>
      </c>
      <c r="G212" s="29">
        <v>12.99</v>
      </c>
      <c r="H212" s="28" t="s">
        <v>4499</v>
      </c>
      <c r="I212" s="27" t="s">
        <v>82</v>
      </c>
      <c r="J212" s="31" t="s">
        <v>40</v>
      </c>
      <c r="K212" s="27" t="s">
        <v>282</v>
      </c>
      <c r="L212" s="27" t="s">
        <v>283</v>
      </c>
      <c r="M212" s="32" t="str">
        <f>HYPERLINK("http://slimages.macys.com/is/image/MCY/3755647 ")</f>
        <v xml:space="preserve">http://slimages.macys.com/is/image/MCY/3755647 </v>
      </c>
    </row>
    <row r="213" spans="1:13" ht="15.2" customHeight="1" x14ac:dyDescent="0.2">
      <c r="A213" s="26" t="s">
        <v>6617</v>
      </c>
      <c r="B213" s="27" t="s">
        <v>6618</v>
      </c>
      <c r="C213" s="28">
        <v>2</v>
      </c>
      <c r="D213" s="29">
        <v>5.5</v>
      </c>
      <c r="E213" s="29">
        <v>11</v>
      </c>
      <c r="F213" s="30">
        <v>12.99</v>
      </c>
      <c r="G213" s="29">
        <v>25.98</v>
      </c>
      <c r="H213" s="28" t="s">
        <v>5486</v>
      </c>
      <c r="I213" s="27" t="s">
        <v>144</v>
      </c>
      <c r="J213" s="31" t="s">
        <v>71</v>
      </c>
      <c r="K213" s="27" t="s">
        <v>282</v>
      </c>
      <c r="L213" s="27" t="s">
        <v>312</v>
      </c>
      <c r="M213" s="32" t="str">
        <f>HYPERLINK("http://slimages.macys.com/is/image/MCY/3777674 ")</f>
        <v xml:space="preserve">http://slimages.macys.com/is/image/MCY/3777674 </v>
      </c>
    </row>
    <row r="214" spans="1:13" ht="15.2" customHeight="1" x14ac:dyDescent="0.2">
      <c r="A214" s="26" t="s">
        <v>4850</v>
      </c>
      <c r="B214" s="27" t="s">
        <v>4851</v>
      </c>
      <c r="C214" s="28">
        <v>1</v>
      </c>
      <c r="D214" s="29">
        <v>5.5</v>
      </c>
      <c r="E214" s="29">
        <v>5.5</v>
      </c>
      <c r="F214" s="30">
        <v>12.99</v>
      </c>
      <c r="G214" s="29">
        <v>12.99</v>
      </c>
      <c r="H214" s="28" t="s">
        <v>4852</v>
      </c>
      <c r="I214" s="27" t="s">
        <v>4</v>
      </c>
      <c r="J214" s="31" t="s">
        <v>21</v>
      </c>
      <c r="K214" s="27" t="s">
        <v>282</v>
      </c>
      <c r="L214" s="27" t="s">
        <v>283</v>
      </c>
      <c r="M214" s="32" t="str">
        <f>HYPERLINK("http://slimages.macys.com/is/image/MCY/3755655 ")</f>
        <v xml:space="preserve">http://slimages.macys.com/is/image/MCY/3755655 </v>
      </c>
    </row>
    <row r="215" spans="1:13" ht="15.2" customHeight="1" x14ac:dyDescent="0.2">
      <c r="A215" s="26" t="s">
        <v>6619</v>
      </c>
      <c r="B215" s="27" t="s">
        <v>6620</v>
      </c>
      <c r="C215" s="28">
        <v>2</v>
      </c>
      <c r="D215" s="29">
        <v>5.5</v>
      </c>
      <c r="E215" s="29">
        <v>11</v>
      </c>
      <c r="F215" s="30">
        <v>12.99</v>
      </c>
      <c r="G215" s="29">
        <v>25.98</v>
      </c>
      <c r="H215" s="28" t="s">
        <v>5486</v>
      </c>
      <c r="I215" s="27" t="s">
        <v>144</v>
      </c>
      <c r="J215" s="31" t="s">
        <v>21</v>
      </c>
      <c r="K215" s="27" t="s">
        <v>282</v>
      </c>
      <c r="L215" s="27" t="s">
        <v>312</v>
      </c>
      <c r="M215" s="32" t="str">
        <f>HYPERLINK("http://slimages.macys.com/is/image/MCY/3777674 ")</f>
        <v xml:space="preserve">http://slimages.macys.com/is/image/MCY/3777674 </v>
      </c>
    </row>
    <row r="216" spans="1:13" ht="15.2" customHeight="1" x14ac:dyDescent="0.2">
      <c r="A216" s="26" t="s">
        <v>4369</v>
      </c>
      <c r="B216" s="27" t="s">
        <v>4370</v>
      </c>
      <c r="C216" s="28">
        <v>2</v>
      </c>
      <c r="D216" s="29">
        <v>4.67</v>
      </c>
      <c r="E216" s="29">
        <v>9.34</v>
      </c>
      <c r="F216" s="30">
        <v>12.99</v>
      </c>
      <c r="G216" s="29">
        <v>25.98</v>
      </c>
      <c r="H216" s="28" t="s">
        <v>1585</v>
      </c>
      <c r="I216" s="27" t="s">
        <v>4</v>
      </c>
      <c r="J216" s="31" t="s">
        <v>71</v>
      </c>
      <c r="K216" s="27" t="s">
        <v>282</v>
      </c>
      <c r="L216" s="27" t="s">
        <v>349</v>
      </c>
      <c r="M216" s="32" t="str">
        <f>HYPERLINK("http://slimages.macys.com/is/image/MCY/3875947 ")</f>
        <v xml:space="preserve">http://slimages.macys.com/is/image/MCY/3875947 </v>
      </c>
    </row>
    <row r="217" spans="1:13" ht="15.2" customHeight="1" x14ac:dyDescent="0.2">
      <c r="A217" s="26" t="s">
        <v>3468</v>
      </c>
      <c r="B217" s="27" t="s">
        <v>3469</v>
      </c>
      <c r="C217" s="28">
        <v>2</v>
      </c>
      <c r="D217" s="29">
        <v>4.67</v>
      </c>
      <c r="E217" s="29">
        <v>9.34</v>
      </c>
      <c r="F217" s="30">
        <v>12.99</v>
      </c>
      <c r="G217" s="29">
        <v>25.98</v>
      </c>
      <c r="H217" s="28" t="s">
        <v>3020</v>
      </c>
      <c r="I217" s="27" t="s">
        <v>82</v>
      </c>
      <c r="J217" s="31" t="s">
        <v>40</v>
      </c>
      <c r="K217" s="27" t="s">
        <v>282</v>
      </c>
      <c r="L217" s="27" t="s">
        <v>349</v>
      </c>
      <c r="M217" s="32" t="str">
        <f>HYPERLINK("http://slimages.macys.com/is/image/MCY/3890879 ")</f>
        <v xml:space="preserve">http://slimages.macys.com/is/image/MCY/3890879 </v>
      </c>
    </row>
    <row r="218" spans="1:13" ht="15.2" customHeight="1" x14ac:dyDescent="0.2">
      <c r="A218" s="26" t="s">
        <v>6621</v>
      </c>
      <c r="B218" s="27" t="s">
        <v>6622</v>
      </c>
      <c r="C218" s="28">
        <v>1</v>
      </c>
      <c r="D218" s="29">
        <v>4.67</v>
      </c>
      <c r="E218" s="29">
        <v>4.67</v>
      </c>
      <c r="F218" s="30">
        <v>12.99</v>
      </c>
      <c r="G218" s="29">
        <v>12.99</v>
      </c>
      <c r="H218" s="28" t="s">
        <v>1961</v>
      </c>
      <c r="I218" s="27" t="s">
        <v>39</v>
      </c>
      <c r="J218" s="31" t="s">
        <v>40</v>
      </c>
      <c r="K218" s="27" t="s">
        <v>282</v>
      </c>
      <c r="L218" s="27" t="s">
        <v>349</v>
      </c>
      <c r="M218" s="32" t="str">
        <f>HYPERLINK("http://slimages.macys.com/is/image/MCY/3890877 ")</f>
        <v xml:space="preserve">http://slimages.macys.com/is/image/MCY/3890877 </v>
      </c>
    </row>
    <row r="219" spans="1:13" ht="15.2" customHeight="1" x14ac:dyDescent="0.2">
      <c r="A219" s="26" t="s">
        <v>3958</v>
      </c>
      <c r="B219" s="27" t="s">
        <v>3959</v>
      </c>
      <c r="C219" s="28">
        <v>1</v>
      </c>
      <c r="D219" s="29">
        <v>4.67</v>
      </c>
      <c r="E219" s="29">
        <v>4.67</v>
      </c>
      <c r="F219" s="30">
        <v>12.99</v>
      </c>
      <c r="G219" s="29">
        <v>12.99</v>
      </c>
      <c r="H219" s="28" t="s">
        <v>1585</v>
      </c>
      <c r="I219" s="27" t="s">
        <v>4</v>
      </c>
      <c r="J219" s="31" t="s">
        <v>52</v>
      </c>
      <c r="K219" s="27" t="s">
        <v>282</v>
      </c>
      <c r="L219" s="27" t="s">
        <v>349</v>
      </c>
      <c r="M219" s="32" t="str">
        <f>HYPERLINK("http://slimages.macys.com/is/image/MCY/3875947 ")</f>
        <v xml:space="preserve">http://slimages.macys.com/is/image/MCY/3875947 </v>
      </c>
    </row>
    <row r="220" spans="1:13" ht="15.2" customHeight="1" x14ac:dyDescent="0.2">
      <c r="A220" s="26" t="s">
        <v>1959</v>
      </c>
      <c r="B220" s="27" t="s">
        <v>1960</v>
      </c>
      <c r="C220" s="28">
        <v>1</v>
      </c>
      <c r="D220" s="29">
        <v>4.67</v>
      </c>
      <c r="E220" s="29">
        <v>4.67</v>
      </c>
      <c r="F220" s="30">
        <v>12.99</v>
      </c>
      <c r="G220" s="29">
        <v>12.99</v>
      </c>
      <c r="H220" s="28" t="s">
        <v>1961</v>
      </c>
      <c r="I220" s="27" t="s">
        <v>39</v>
      </c>
      <c r="J220" s="31" t="s">
        <v>21</v>
      </c>
      <c r="K220" s="27" t="s">
        <v>282</v>
      </c>
      <c r="L220" s="27" t="s">
        <v>349</v>
      </c>
      <c r="M220" s="32" t="str">
        <f>HYPERLINK("http://slimages.macys.com/is/image/MCY/3890877 ")</f>
        <v xml:space="preserve">http://slimages.macys.com/is/image/MCY/3890877 </v>
      </c>
    </row>
    <row r="221" spans="1:13" ht="15.2" customHeight="1" x14ac:dyDescent="0.2">
      <c r="A221" s="26" t="s">
        <v>6623</v>
      </c>
      <c r="B221" s="27" t="s">
        <v>6624</v>
      </c>
      <c r="C221" s="28">
        <v>1</v>
      </c>
      <c r="D221" s="29">
        <v>4.67</v>
      </c>
      <c r="E221" s="29">
        <v>4.67</v>
      </c>
      <c r="F221" s="30">
        <v>12.99</v>
      </c>
      <c r="G221" s="29">
        <v>12.99</v>
      </c>
      <c r="H221" s="28" t="s">
        <v>3025</v>
      </c>
      <c r="I221" s="27" t="s">
        <v>82</v>
      </c>
      <c r="J221" s="31" t="s">
        <v>71</v>
      </c>
      <c r="K221" s="27" t="s">
        <v>282</v>
      </c>
      <c r="L221" s="27" t="s">
        <v>349</v>
      </c>
      <c r="M221" s="32" t="str">
        <f>HYPERLINK("http://slimages.macys.com/is/image/MCY/3890878 ")</f>
        <v xml:space="preserve">http://slimages.macys.com/is/image/MCY/3890878 </v>
      </c>
    </row>
    <row r="222" spans="1:13" ht="15.2" customHeight="1" x14ac:dyDescent="0.2">
      <c r="A222" s="26" t="s">
        <v>1956</v>
      </c>
      <c r="B222" s="27" t="s">
        <v>1957</v>
      </c>
      <c r="C222" s="28">
        <v>1</v>
      </c>
      <c r="D222" s="29">
        <v>4.67</v>
      </c>
      <c r="E222" s="29">
        <v>4.67</v>
      </c>
      <c r="F222" s="30">
        <v>12.99</v>
      </c>
      <c r="G222" s="29">
        <v>12.99</v>
      </c>
      <c r="H222" s="28" t="s">
        <v>1958</v>
      </c>
      <c r="I222" s="27" t="s">
        <v>39</v>
      </c>
      <c r="J222" s="31" t="s">
        <v>5</v>
      </c>
      <c r="K222" s="27" t="s">
        <v>282</v>
      </c>
      <c r="L222" s="27" t="s">
        <v>349</v>
      </c>
      <c r="M222" s="32" t="str">
        <f>HYPERLINK("http://slimages.macys.com/is/image/MCY/3875948 ")</f>
        <v xml:space="preserve">http://slimages.macys.com/is/image/MCY/3875948 </v>
      </c>
    </row>
    <row r="223" spans="1:13" ht="15.2" customHeight="1" x14ac:dyDescent="0.2">
      <c r="A223" s="26" t="s">
        <v>3956</v>
      </c>
      <c r="B223" s="27" t="s">
        <v>3957</v>
      </c>
      <c r="C223" s="28">
        <v>3</v>
      </c>
      <c r="D223" s="29">
        <v>4.67</v>
      </c>
      <c r="E223" s="29">
        <v>14.01</v>
      </c>
      <c r="F223" s="30">
        <v>12.99</v>
      </c>
      <c r="G223" s="29">
        <v>38.97</v>
      </c>
      <c r="H223" s="28" t="s">
        <v>3025</v>
      </c>
      <c r="I223" s="27" t="s">
        <v>82</v>
      </c>
      <c r="J223" s="31" t="s">
        <v>40</v>
      </c>
      <c r="K223" s="27" t="s">
        <v>282</v>
      </c>
      <c r="L223" s="27" t="s">
        <v>349</v>
      </c>
      <c r="M223" s="32" t="str">
        <f>HYPERLINK("http://slimages.macys.com/is/image/MCY/3890878 ")</f>
        <v xml:space="preserve">http://slimages.macys.com/is/image/MCY/3890878 </v>
      </c>
    </row>
    <row r="224" spans="1:13" ht="15.2" customHeight="1" x14ac:dyDescent="0.2">
      <c r="A224" s="26" t="s">
        <v>6625</v>
      </c>
      <c r="B224" s="27" t="s">
        <v>6626</v>
      </c>
      <c r="C224" s="28">
        <v>1</v>
      </c>
      <c r="D224" s="29">
        <v>4.67</v>
      </c>
      <c r="E224" s="29">
        <v>4.67</v>
      </c>
      <c r="F224" s="30">
        <v>12.99</v>
      </c>
      <c r="G224" s="29">
        <v>12.99</v>
      </c>
      <c r="H224" s="28" t="s">
        <v>1958</v>
      </c>
      <c r="I224" s="27" t="s">
        <v>39</v>
      </c>
      <c r="J224" s="31" t="s">
        <v>40</v>
      </c>
      <c r="K224" s="27" t="s">
        <v>282</v>
      </c>
      <c r="L224" s="27" t="s">
        <v>349</v>
      </c>
      <c r="M224" s="32" t="str">
        <f>HYPERLINK("http://slimages.macys.com/is/image/MCY/3875948 ")</f>
        <v xml:space="preserve">http://slimages.macys.com/is/image/MCY/3875948 </v>
      </c>
    </row>
    <row r="225" spans="1:13" ht="15.2" customHeight="1" x14ac:dyDescent="0.2">
      <c r="A225" s="26" t="s">
        <v>3962</v>
      </c>
      <c r="B225" s="27" t="s">
        <v>3963</v>
      </c>
      <c r="C225" s="28">
        <v>1</v>
      </c>
      <c r="D225" s="29">
        <v>4.6500000000000004</v>
      </c>
      <c r="E225" s="29">
        <v>4.6500000000000004</v>
      </c>
      <c r="F225" s="30">
        <v>10.99</v>
      </c>
      <c r="G225" s="29">
        <v>10.99</v>
      </c>
      <c r="H225" s="28">
        <v>60359814</v>
      </c>
      <c r="I225" s="27" t="s">
        <v>82</v>
      </c>
      <c r="J225" s="31" t="s">
        <v>52</v>
      </c>
      <c r="K225" s="27" t="s">
        <v>282</v>
      </c>
      <c r="L225" s="27" t="s">
        <v>255</v>
      </c>
      <c r="M225" s="32" t="str">
        <f>HYPERLINK("http://slimages.macys.com/is/image/MCY/2308508 ")</f>
        <v xml:space="preserve">http://slimages.macys.com/is/image/MCY/2308508 </v>
      </c>
    </row>
    <row r="226" spans="1:13" ht="15.2" customHeight="1" x14ac:dyDescent="0.2">
      <c r="A226" s="26" t="s">
        <v>944</v>
      </c>
      <c r="B226" s="27" t="s">
        <v>945</v>
      </c>
      <c r="C226" s="28">
        <v>1</v>
      </c>
      <c r="D226" s="29">
        <v>4.6500000000000004</v>
      </c>
      <c r="E226" s="29">
        <v>4.6500000000000004</v>
      </c>
      <c r="F226" s="30">
        <v>10.99</v>
      </c>
      <c r="G226" s="29">
        <v>10.99</v>
      </c>
      <c r="H226" s="28">
        <v>60359814</v>
      </c>
      <c r="I226" s="27" t="s">
        <v>33</v>
      </c>
      <c r="J226" s="31" t="s">
        <v>40</v>
      </c>
      <c r="K226" s="27" t="s">
        <v>282</v>
      </c>
      <c r="L226" s="27" t="s">
        <v>255</v>
      </c>
      <c r="M226" s="32" t="str">
        <f>HYPERLINK("http://slimages.macys.com/is/image/MCY/3841046 ")</f>
        <v xml:space="preserve">http://slimages.macys.com/is/image/MCY/3841046 </v>
      </c>
    </row>
    <row r="227" spans="1:13" ht="15.2" customHeight="1" x14ac:dyDescent="0.2">
      <c r="A227" s="26" t="s">
        <v>453</v>
      </c>
      <c r="B227" s="27" t="s">
        <v>454</v>
      </c>
      <c r="C227" s="28">
        <v>2</v>
      </c>
      <c r="D227" s="29">
        <v>4.6500000000000004</v>
      </c>
      <c r="E227" s="29">
        <v>9.3000000000000007</v>
      </c>
      <c r="F227" s="30">
        <v>10.99</v>
      </c>
      <c r="G227" s="29">
        <v>21.98</v>
      </c>
      <c r="H227" s="28">
        <v>60359814</v>
      </c>
      <c r="I227" s="27" t="s">
        <v>82</v>
      </c>
      <c r="J227" s="31" t="s">
        <v>40</v>
      </c>
      <c r="K227" s="27" t="s">
        <v>282</v>
      </c>
      <c r="L227" s="27" t="s">
        <v>255</v>
      </c>
      <c r="M227" s="32" t="str">
        <f>HYPERLINK("http://slimages.macys.com/is/image/MCY/2308508 ")</f>
        <v xml:space="preserve">http://slimages.macys.com/is/image/MCY/2308508 </v>
      </c>
    </row>
    <row r="228" spans="1:13" ht="15.2" customHeight="1" x14ac:dyDescent="0.2">
      <c r="A228" s="26" t="s">
        <v>6065</v>
      </c>
      <c r="B228" s="27" t="s">
        <v>6066</v>
      </c>
      <c r="C228" s="28">
        <v>3</v>
      </c>
      <c r="D228" s="29">
        <v>4.6500000000000004</v>
      </c>
      <c r="E228" s="29">
        <v>13.95</v>
      </c>
      <c r="F228" s="30">
        <v>10.99</v>
      </c>
      <c r="G228" s="29">
        <v>32.97</v>
      </c>
      <c r="H228" s="28">
        <v>60359814</v>
      </c>
      <c r="I228" s="27" t="s">
        <v>33</v>
      </c>
      <c r="J228" s="31" t="s">
        <v>21</v>
      </c>
      <c r="K228" s="27" t="s">
        <v>282</v>
      </c>
      <c r="L228" s="27" t="s">
        <v>255</v>
      </c>
      <c r="M228" s="32" t="str">
        <f>HYPERLINK("http://slimages.macys.com/is/image/MCY/2308510 ")</f>
        <v xml:space="preserve">http://slimages.macys.com/is/image/MCY/2308510 </v>
      </c>
    </row>
    <row r="229" spans="1:13" ht="15.2" customHeight="1" x14ac:dyDescent="0.2">
      <c r="A229" s="26" t="s">
        <v>3474</v>
      </c>
      <c r="B229" s="27" t="s">
        <v>3475</v>
      </c>
      <c r="C229" s="28">
        <v>1</v>
      </c>
      <c r="D229" s="29">
        <v>4.6500000000000004</v>
      </c>
      <c r="E229" s="29">
        <v>4.6500000000000004</v>
      </c>
      <c r="F229" s="30">
        <v>10.99</v>
      </c>
      <c r="G229" s="29">
        <v>10.99</v>
      </c>
      <c r="H229" s="28">
        <v>60359814</v>
      </c>
      <c r="I229" s="27" t="s">
        <v>4</v>
      </c>
      <c r="J229" s="31" t="s">
        <v>65</v>
      </c>
      <c r="K229" s="27" t="s">
        <v>282</v>
      </c>
      <c r="L229" s="27" t="s">
        <v>255</v>
      </c>
      <c r="M229" s="32" t="str">
        <f>HYPERLINK("http://slimages.macys.com/is/image/MCY/3841046 ")</f>
        <v xml:space="preserve">http://slimages.macys.com/is/image/MCY/3841046 </v>
      </c>
    </row>
    <row r="230" spans="1:13" ht="15.2" customHeight="1" x14ac:dyDescent="0.2">
      <c r="A230" s="26" t="s">
        <v>2414</v>
      </c>
      <c r="B230" s="27" t="s">
        <v>2415</v>
      </c>
      <c r="C230" s="28">
        <v>1</v>
      </c>
      <c r="D230" s="29">
        <v>4.6500000000000004</v>
      </c>
      <c r="E230" s="29">
        <v>4.6500000000000004</v>
      </c>
      <c r="F230" s="30">
        <v>10.99</v>
      </c>
      <c r="G230" s="29">
        <v>10.99</v>
      </c>
      <c r="H230" s="28">
        <v>60359814</v>
      </c>
      <c r="I230" s="27" t="s">
        <v>33</v>
      </c>
      <c r="J230" s="31" t="s">
        <v>52</v>
      </c>
      <c r="K230" s="27" t="s">
        <v>282</v>
      </c>
      <c r="L230" s="27" t="s">
        <v>255</v>
      </c>
      <c r="M230" s="32" t="str">
        <f>HYPERLINK("http://slimages.macys.com/is/image/MCY/2308510 ")</f>
        <v xml:space="preserve">http://slimages.macys.com/is/image/MCY/2308510 </v>
      </c>
    </row>
    <row r="231" spans="1:13" ht="15.2" customHeight="1" x14ac:dyDescent="0.2">
      <c r="A231" s="26" t="s">
        <v>938</v>
      </c>
      <c r="B231" s="27" t="s">
        <v>939</v>
      </c>
      <c r="C231" s="28">
        <v>1</v>
      </c>
      <c r="D231" s="29">
        <v>4.6500000000000004</v>
      </c>
      <c r="E231" s="29">
        <v>4.6500000000000004</v>
      </c>
      <c r="F231" s="30">
        <v>10.99</v>
      </c>
      <c r="G231" s="29">
        <v>10.99</v>
      </c>
      <c r="H231" s="28">
        <v>60359814</v>
      </c>
      <c r="I231" s="27" t="s">
        <v>82</v>
      </c>
      <c r="J231" s="31" t="s">
        <v>65</v>
      </c>
      <c r="K231" s="27" t="s">
        <v>282</v>
      </c>
      <c r="L231" s="27" t="s">
        <v>255</v>
      </c>
      <c r="M231" s="32" t="str">
        <f>HYPERLINK("http://slimages.macys.com/is/image/MCY/2308510 ")</f>
        <v xml:space="preserve">http://slimages.macys.com/is/image/MCY/2308510 </v>
      </c>
    </row>
    <row r="232" spans="1:13" ht="15.2" customHeight="1" x14ac:dyDescent="0.2">
      <c r="A232" s="26" t="s">
        <v>3472</v>
      </c>
      <c r="B232" s="27" t="s">
        <v>3473</v>
      </c>
      <c r="C232" s="28">
        <v>1</v>
      </c>
      <c r="D232" s="29">
        <v>4.6500000000000004</v>
      </c>
      <c r="E232" s="29">
        <v>4.6500000000000004</v>
      </c>
      <c r="F232" s="30">
        <v>10.99</v>
      </c>
      <c r="G232" s="29">
        <v>10.99</v>
      </c>
      <c r="H232" s="28">
        <v>60359814</v>
      </c>
      <c r="I232" s="27" t="s">
        <v>4</v>
      </c>
      <c r="J232" s="31" t="s">
        <v>40</v>
      </c>
      <c r="K232" s="27" t="s">
        <v>282</v>
      </c>
      <c r="L232" s="27" t="s">
        <v>255</v>
      </c>
      <c r="M232" s="32" t="str">
        <f>HYPERLINK("http://slimages.macys.com/is/image/MCY/2308508 ")</f>
        <v xml:space="preserve">http://slimages.macys.com/is/image/MCY/2308508 </v>
      </c>
    </row>
    <row r="233" spans="1:13" ht="15.2" customHeight="1" x14ac:dyDescent="0.2">
      <c r="A233" s="26" t="s">
        <v>6627</v>
      </c>
      <c r="B233" s="27" t="s">
        <v>6628</v>
      </c>
      <c r="C233" s="28">
        <v>1</v>
      </c>
      <c r="D233" s="29">
        <v>4.3499999999999996</v>
      </c>
      <c r="E233" s="29">
        <v>4.3499999999999996</v>
      </c>
      <c r="F233" s="30">
        <v>13.99</v>
      </c>
      <c r="G233" s="29">
        <v>13.99</v>
      </c>
      <c r="H233" s="28" t="s">
        <v>948</v>
      </c>
      <c r="I233" s="27" t="s">
        <v>59</v>
      </c>
      <c r="J233" s="31" t="s">
        <v>5</v>
      </c>
      <c r="K233" s="27" t="s">
        <v>282</v>
      </c>
      <c r="L233" s="27" t="s">
        <v>325</v>
      </c>
      <c r="M233" s="32" t="str">
        <f>HYPERLINK("http://slimages.macys.com/is/image/MCY/3931147 ")</f>
        <v xml:space="preserve">http://slimages.macys.com/is/image/MCY/3931147 </v>
      </c>
    </row>
    <row r="234" spans="1:13" ht="15.2" customHeight="1" x14ac:dyDescent="0.2">
      <c r="A234" s="26" t="s">
        <v>6629</v>
      </c>
      <c r="B234" s="27" t="s">
        <v>6630</v>
      </c>
      <c r="C234" s="28">
        <v>1</v>
      </c>
      <c r="D234" s="29">
        <v>41</v>
      </c>
      <c r="E234" s="29">
        <v>41</v>
      </c>
      <c r="F234" s="30">
        <v>119</v>
      </c>
      <c r="G234" s="29">
        <v>119</v>
      </c>
      <c r="H234" s="28" t="s">
        <v>6631</v>
      </c>
      <c r="I234" s="27" t="s">
        <v>207</v>
      </c>
      <c r="J234" s="31" t="s">
        <v>23</v>
      </c>
      <c r="K234" s="27" t="s">
        <v>24</v>
      </c>
      <c r="L234" s="27" t="s">
        <v>650</v>
      </c>
      <c r="M234" s="32"/>
    </row>
    <row r="235" spans="1:13" ht="15.2" customHeight="1" x14ac:dyDescent="0.2">
      <c r="A235" s="26" t="s">
        <v>6632</v>
      </c>
      <c r="B235" s="27" t="s">
        <v>6633</v>
      </c>
      <c r="C235" s="28">
        <v>1</v>
      </c>
      <c r="D235" s="29">
        <v>37</v>
      </c>
      <c r="E235" s="29">
        <v>37</v>
      </c>
      <c r="F235" s="30">
        <v>98</v>
      </c>
      <c r="G235" s="29">
        <v>98</v>
      </c>
      <c r="H235" s="28" t="s">
        <v>6634</v>
      </c>
      <c r="I235" s="27" t="s">
        <v>10</v>
      </c>
      <c r="J235" s="31"/>
      <c r="K235" s="27" t="s">
        <v>17</v>
      </c>
      <c r="L235" s="27" t="s">
        <v>18</v>
      </c>
      <c r="M235" s="32"/>
    </row>
    <row r="236" spans="1:13" ht="15.2" customHeight="1" x14ac:dyDescent="0.2">
      <c r="A236" s="26" t="s">
        <v>6095</v>
      </c>
      <c r="B236" s="27" t="s">
        <v>6096</v>
      </c>
      <c r="C236" s="28">
        <v>1</v>
      </c>
      <c r="D236" s="29">
        <v>34</v>
      </c>
      <c r="E236" s="29">
        <v>34</v>
      </c>
      <c r="F236" s="30">
        <v>89.5</v>
      </c>
      <c r="G236" s="29">
        <v>89.5</v>
      </c>
      <c r="H236" s="28" t="s">
        <v>3039</v>
      </c>
      <c r="I236" s="27"/>
      <c r="J236" s="31" t="s">
        <v>21</v>
      </c>
      <c r="K236" s="27" t="s">
        <v>17</v>
      </c>
      <c r="L236" s="27" t="s">
        <v>18</v>
      </c>
      <c r="M236" s="32"/>
    </row>
    <row r="237" spans="1:13" ht="15.2" customHeight="1" x14ac:dyDescent="0.2">
      <c r="A237" s="26" t="s">
        <v>6635</v>
      </c>
      <c r="B237" s="27" t="s">
        <v>6636</v>
      </c>
      <c r="C237" s="28">
        <v>1</v>
      </c>
      <c r="D237" s="29">
        <v>31.15</v>
      </c>
      <c r="E237" s="29">
        <v>31.15</v>
      </c>
      <c r="F237" s="30">
        <v>89</v>
      </c>
      <c r="G237" s="29">
        <v>89</v>
      </c>
      <c r="H237" s="28" t="s">
        <v>6637</v>
      </c>
      <c r="I237" s="27" t="s">
        <v>4</v>
      </c>
      <c r="J237" s="31" t="s">
        <v>5</v>
      </c>
      <c r="K237" s="27" t="s">
        <v>654</v>
      </c>
      <c r="L237" s="27" t="s">
        <v>655</v>
      </c>
      <c r="M237" s="32"/>
    </row>
    <row r="238" spans="1:13" ht="15.2" customHeight="1" x14ac:dyDescent="0.2">
      <c r="A238" s="26" t="s">
        <v>3042</v>
      </c>
      <c r="B238" s="27" t="s">
        <v>3043</v>
      </c>
      <c r="C238" s="28">
        <v>2</v>
      </c>
      <c r="D238" s="29">
        <v>27</v>
      </c>
      <c r="E238" s="29">
        <v>54</v>
      </c>
      <c r="F238" s="30">
        <v>69.5</v>
      </c>
      <c r="G238" s="29">
        <v>139</v>
      </c>
      <c r="H238" s="28" t="s">
        <v>3041</v>
      </c>
      <c r="I238" s="27" t="s">
        <v>59</v>
      </c>
      <c r="J238" s="31" t="s">
        <v>21</v>
      </c>
      <c r="K238" s="27" t="s">
        <v>17</v>
      </c>
      <c r="L238" s="27" t="s">
        <v>18</v>
      </c>
      <c r="M238" s="32"/>
    </row>
    <row r="239" spans="1:13" ht="15.2" customHeight="1" x14ac:dyDescent="0.2">
      <c r="A239" s="26" t="s">
        <v>6638</v>
      </c>
      <c r="B239" s="27" t="s">
        <v>6639</v>
      </c>
      <c r="C239" s="28">
        <v>1</v>
      </c>
      <c r="D239" s="29">
        <v>27</v>
      </c>
      <c r="E239" s="29">
        <v>27</v>
      </c>
      <c r="F239" s="30">
        <v>69.5</v>
      </c>
      <c r="G239" s="29">
        <v>69.5</v>
      </c>
      <c r="H239" s="28" t="s">
        <v>6640</v>
      </c>
      <c r="I239" s="27" t="s">
        <v>248</v>
      </c>
      <c r="J239" s="31" t="s">
        <v>21</v>
      </c>
      <c r="K239" s="27" t="s">
        <v>17</v>
      </c>
      <c r="L239" s="27" t="s">
        <v>18</v>
      </c>
      <c r="M239" s="32"/>
    </row>
    <row r="240" spans="1:13" ht="15.2" customHeight="1" x14ac:dyDescent="0.2">
      <c r="A240" s="26" t="s">
        <v>6641</v>
      </c>
      <c r="B240" s="27" t="s">
        <v>6642</v>
      </c>
      <c r="C240" s="28">
        <v>1</v>
      </c>
      <c r="D240" s="29">
        <v>27</v>
      </c>
      <c r="E240" s="29">
        <v>27</v>
      </c>
      <c r="F240" s="30">
        <v>69.5</v>
      </c>
      <c r="G240" s="29">
        <v>69.5</v>
      </c>
      <c r="H240" s="28" t="s">
        <v>3041</v>
      </c>
      <c r="I240" s="27" t="s">
        <v>59</v>
      </c>
      <c r="J240" s="31" t="s">
        <v>52</v>
      </c>
      <c r="K240" s="27" t="s">
        <v>17</v>
      </c>
      <c r="L240" s="27" t="s">
        <v>18</v>
      </c>
      <c r="M240" s="32"/>
    </row>
    <row r="241" spans="1:13" ht="15.2" customHeight="1" x14ac:dyDescent="0.2">
      <c r="A241" s="26" t="s">
        <v>960</v>
      </c>
      <c r="B241" s="27" t="s">
        <v>961</v>
      </c>
      <c r="C241" s="28">
        <v>3</v>
      </c>
      <c r="D241" s="29">
        <v>26.76</v>
      </c>
      <c r="E241" s="29">
        <v>80.28</v>
      </c>
      <c r="F241" s="30">
        <v>69.5</v>
      </c>
      <c r="G241" s="29">
        <v>208.5</v>
      </c>
      <c r="H241" s="28" t="s">
        <v>959</v>
      </c>
      <c r="I241" s="27" t="s">
        <v>82</v>
      </c>
      <c r="J241" s="31" t="s">
        <v>21</v>
      </c>
      <c r="K241" s="27" t="s">
        <v>17</v>
      </c>
      <c r="L241" s="27" t="s">
        <v>18</v>
      </c>
      <c r="M241" s="32"/>
    </row>
    <row r="242" spans="1:13" ht="15.2" customHeight="1" x14ac:dyDescent="0.2">
      <c r="A242" s="26" t="s">
        <v>5498</v>
      </c>
      <c r="B242" s="27" t="s">
        <v>5499</v>
      </c>
      <c r="C242" s="28">
        <v>1</v>
      </c>
      <c r="D242" s="29">
        <v>24.51</v>
      </c>
      <c r="E242" s="29">
        <v>24.51</v>
      </c>
      <c r="F242" s="30">
        <v>69.5</v>
      </c>
      <c r="G242" s="29">
        <v>69.5</v>
      </c>
      <c r="H242" s="28" t="s">
        <v>962</v>
      </c>
      <c r="I242" s="27" t="s">
        <v>4</v>
      </c>
      <c r="J242" s="31" t="s">
        <v>50</v>
      </c>
      <c r="K242" s="27" t="s">
        <v>12</v>
      </c>
      <c r="L242" s="27" t="s">
        <v>13</v>
      </c>
      <c r="M242" s="32"/>
    </row>
    <row r="243" spans="1:13" ht="15.2" customHeight="1" x14ac:dyDescent="0.2">
      <c r="A243" s="26" t="s">
        <v>4857</v>
      </c>
      <c r="B243" s="27" t="s">
        <v>4858</v>
      </c>
      <c r="C243" s="28">
        <v>1</v>
      </c>
      <c r="D243" s="29">
        <v>24.51</v>
      </c>
      <c r="E243" s="29">
        <v>24.51</v>
      </c>
      <c r="F243" s="30">
        <v>69.5</v>
      </c>
      <c r="G243" s="29">
        <v>69.5</v>
      </c>
      <c r="H243" s="28" t="s">
        <v>962</v>
      </c>
      <c r="I243" s="27" t="s">
        <v>26</v>
      </c>
      <c r="J243" s="31" t="s">
        <v>32</v>
      </c>
      <c r="K243" s="27" t="s">
        <v>12</v>
      </c>
      <c r="L243" s="27" t="s">
        <v>13</v>
      </c>
      <c r="M243" s="32"/>
    </row>
    <row r="244" spans="1:13" ht="15.2" customHeight="1" x14ac:dyDescent="0.2">
      <c r="A244" s="26" t="s">
        <v>1985</v>
      </c>
      <c r="B244" s="27" t="s">
        <v>475</v>
      </c>
      <c r="C244" s="28">
        <v>1</v>
      </c>
      <c r="D244" s="29">
        <v>24</v>
      </c>
      <c r="E244" s="29">
        <v>24</v>
      </c>
      <c r="F244" s="30">
        <v>69</v>
      </c>
      <c r="G244" s="29">
        <v>69</v>
      </c>
      <c r="H244" s="28" t="s">
        <v>476</v>
      </c>
      <c r="I244" s="27" t="s">
        <v>36</v>
      </c>
      <c r="J244" s="31" t="s">
        <v>21</v>
      </c>
      <c r="K244" s="27" t="s">
        <v>37</v>
      </c>
      <c r="L244" s="27" t="s">
        <v>38</v>
      </c>
      <c r="M244" s="32"/>
    </row>
    <row r="245" spans="1:13" ht="15.2" customHeight="1" x14ac:dyDescent="0.2">
      <c r="A245" s="26" t="s">
        <v>6643</v>
      </c>
      <c r="B245" s="27" t="s">
        <v>6644</v>
      </c>
      <c r="C245" s="28">
        <v>1</v>
      </c>
      <c r="D245" s="29">
        <v>23.8</v>
      </c>
      <c r="E245" s="29">
        <v>23.8</v>
      </c>
      <c r="F245" s="30">
        <v>59.5</v>
      </c>
      <c r="G245" s="29">
        <v>59.5</v>
      </c>
      <c r="H245" s="28" t="s">
        <v>6645</v>
      </c>
      <c r="I245" s="27" t="s">
        <v>29</v>
      </c>
      <c r="J245" s="31" t="s">
        <v>5</v>
      </c>
      <c r="K245" s="27" t="s">
        <v>27</v>
      </c>
      <c r="L245" s="27" t="s">
        <v>28</v>
      </c>
      <c r="M245" s="32"/>
    </row>
    <row r="246" spans="1:13" ht="15.2" customHeight="1" x14ac:dyDescent="0.2">
      <c r="A246" s="26" t="s">
        <v>4509</v>
      </c>
      <c r="B246" s="27" t="s">
        <v>4510</v>
      </c>
      <c r="C246" s="28">
        <v>1</v>
      </c>
      <c r="D246" s="29">
        <v>23.09</v>
      </c>
      <c r="E246" s="29">
        <v>23.09</v>
      </c>
      <c r="F246" s="30">
        <v>59.5</v>
      </c>
      <c r="G246" s="29">
        <v>59.5</v>
      </c>
      <c r="H246" s="28" t="s">
        <v>2718</v>
      </c>
      <c r="I246" s="27" t="s">
        <v>4</v>
      </c>
      <c r="J246" s="31" t="s">
        <v>71</v>
      </c>
      <c r="K246" s="27" t="s">
        <v>53</v>
      </c>
      <c r="L246" s="27" t="s">
        <v>54</v>
      </c>
      <c r="M246" s="32"/>
    </row>
    <row r="247" spans="1:13" ht="15.2" customHeight="1" x14ac:dyDescent="0.2">
      <c r="A247" s="26" t="s">
        <v>6646</v>
      </c>
      <c r="B247" s="27" t="s">
        <v>6647</v>
      </c>
      <c r="C247" s="28">
        <v>1</v>
      </c>
      <c r="D247" s="29">
        <v>22.5</v>
      </c>
      <c r="E247" s="29">
        <v>22.5</v>
      </c>
      <c r="F247" s="30">
        <v>69</v>
      </c>
      <c r="G247" s="29">
        <v>69</v>
      </c>
      <c r="H247" s="28" t="s">
        <v>6648</v>
      </c>
      <c r="I247" s="27" t="s">
        <v>4</v>
      </c>
      <c r="J247" s="31" t="s">
        <v>2420</v>
      </c>
      <c r="K247" s="27" t="s">
        <v>24</v>
      </c>
      <c r="L247" s="27" t="s">
        <v>35</v>
      </c>
      <c r="M247" s="32"/>
    </row>
    <row r="248" spans="1:13" ht="15.2" customHeight="1" x14ac:dyDescent="0.2">
      <c r="A248" s="26" t="s">
        <v>6649</v>
      </c>
      <c r="B248" s="27" t="s">
        <v>6650</v>
      </c>
      <c r="C248" s="28">
        <v>1</v>
      </c>
      <c r="D248" s="29">
        <v>22</v>
      </c>
      <c r="E248" s="29">
        <v>22</v>
      </c>
      <c r="F248" s="30">
        <v>69</v>
      </c>
      <c r="G248" s="29">
        <v>69</v>
      </c>
      <c r="H248" s="28" t="s">
        <v>6651</v>
      </c>
      <c r="I248" s="27" t="s">
        <v>75</v>
      </c>
      <c r="J248" s="31" t="s">
        <v>216</v>
      </c>
      <c r="K248" s="27" t="s">
        <v>24</v>
      </c>
      <c r="L248" s="27" t="s">
        <v>999</v>
      </c>
      <c r="M248" s="32"/>
    </row>
    <row r="249" spans="1:13" ht="15.2" customHeight="1" x14ac:dyDescent="0.2">
      <c r="A249" s="26" t="s">
        <v>4657</v>
      </c>
      <c r="B249" s="27" t="s">
        <v>4658</v>
      </c>
      <c r="C249" s="28">
        <v>1</v>
      </c>
      <c r="D249" s="29">
        <v>21.86</v>
      </c>
      <c r="E249" s="29">
        <v>21.86</v>
      </c>
      <c r="F249" s="30">
        <v>59.99</v>
      </c>
      <c r="G249" s="29">
        <v>59.99</v>
      </c>
      <c r="H249" s="28" t="s">
        <v>3494</v>
      </c>
      <c r="I249" s="27" t="s">
        <v>22</v>
      </c>
      <c r="J249" s="31" t="s">
        <v>21</v>
      </c>
      <c r="K249" s="27" t="s">
        <v>41</v>
      </c>
      <c r="L249" s="27" t="s">
        <v>45</v>
      </c>
      <c r="M249" s="32"/>
    </row>
    <row r="250" spans="1:13" ht="15.2" customHeight="1" x14ac:dyDescent="0.2">
      <c r="A250" s="26" t="s">
        <v>6652</v>
      </c>
      <c r="B250" s="27" t="s">
        <v>6653</v>
      </c>
      <c r="C250" s="28">
        <v>1</v>
      </c>
      <c r="D250" s="29">
        <v>21.86</v>
      </c>
      <c r="E250" s="29">
        <v>21.86</v>
      </c>
      <c r="F250" s="30">
        <v>59.99</v>
      </c>
      <c r="G250" s="29">
        <v>59.99</v>
      </c>
      <c r="H250" s="28" t="s">
        <v>3494</v>
      </c>
      <c r="I250" s="27" t="s">
        <v>22</v>
      </c>
      <c r="J250" s="31" t="s">
        <v>40</v>
      </c>
      <c r="K250" s="27" t="s">
        <v>41</v>
      </c>
      <c r="L250" s="27" t="s">
        <v>45</v>
      </c>
      <c r="M250" s="32"/>
    </row>
    <row r="251" spans="1:13" ht="15.2" customHeight="1" x14ac:dyDescent="0.2">
      <c r="A251" s="26" t="s">
        <v>4511</v>
      </c>
      <c r="B251" s="27" t="s">
        <v>4512</v>
      </c>
      <c r="C251" s="28">
        <v>1</v>
      </c>
      <c r="D251" s="29">
        <v>21.86</v>
      </c>
      <c r="E251" s="29">
        <v>21.86</v>
      </c>
      <c r="F251" s="30">
        <v>59.99</v>
      </c>
      <c r="G251" s="29">
        <v>59.99</v>
      </c>
      <c r="H251" s="28" t="s">
        <v>3494</v>
      </c>
      <c r="I251" s="27" t="s">
        <v>22</v>
      </c>
      <c r="J251" s="31" t="s">
        <v>71</v>
      </c>
      <c r="K251" s="27" t="s">
        <v>41</v>
      </c>
      <c r="L251" s="27" t="s">
        <v>45</v>
      </c>
      <c r="M251" s="32"/>
    </row>
    <row r="252" spans="1:13" ht="15.2" customHeight="1" x14ac:dyDescent="0.2">
      <c r="A252" s="26" t="s">
        <v>5502</v>
      </c>
      <c r="B252" s="27" t="s">
        <v>5503</v>
      </c>
      <c r="C252" s="28">
        <v>1</v>
      </c>
      <c r="D252" s="29">
        <v>21.72</v>
      </c>
      <c r="E252" s="29">
        <v>21.72</v>
      </c>
      <c r="F252" s="30">
        <v>59.5</v>
      </c>
      <c r="G252" s="29">
        <v>59.5</v>
      </c>
      <c r="H252" s="28" t="s">
        <v>479</v>
      </c>
      <c r="I252" s="27" t="s">
        <v>82</v>
      </c>
      <c r="J252" s="31" t="s">
        <v>65</v>
      </c>
      <c r="K252" s="27" t="s">
        <v>41</v>
      </c>
      <c r="L252" s="27" t="s">
        <v>45</v>
      </c>
      <c r="M252" s="32"/>
    </row>
    <row r="253" spans="1:13" ht="15.2" customHeight="1" x14ac:dyDescent="0.2">
      <c r="A253" s="26" t="s">
        <v>6654</v>
      </c>
      <c r="B253" s="27" t="s">
        <v>6655</v>
      </c>
      <c r="C253" s="28">
        <v>1</v>
      </c>
      <c r="D253" s="29">
        <v>21.6</v>
      </c>
      <c r="E253" s="29">
        <v>21.6</v>
      </c>
      <c r="F253" s="30">
        <v>54</v>
      </c>
      <c r="G253" s="29">
        <v>54</v>
      </c>
      <c r="H253" s="28">
        <v>758572</v>
      </c>
      <c r="I253" s="27" t="s">
        <v>274</v>
      </c>
      <c r="J253" s="31"/>
      <c r="K253" s="27" t="s">
        <v>132</v>
      </c>
      <c r="L253" s="27" t="s">
        <v>648</v>
      </c>
      <c r="M253" s="32"/>
    </row>
    <row r="254" spans="1:13" ht="15.2" customHeight="1" x14ac:dyDescent="0.2">
      <c r="A254" s="26" t="s">
        <v>6656</v>
      </c>
      <c r="B254" s="27" t="s">
        <v>6657</v>
      </c>
      <c r="C254" s="28">
        <v>1</v>
      </c>
      <c r="D254" s="29">
        <v>21.12</v>
      </c>
      <c r="E254" s="29">
        <v>21.12</v>
      </c>
      <c r="F254" s="30">
        <v>59.5</v>
      </c>
      <c r="G254" s="29">
        <v>59.5</v>
      </c>
      <c r="H254" s="28" t="s">
        <v>4241</v>
      </c>
      <c r="I254" s="27" t="s">
        <v>357</v>
      </c>
      <c r="J254" s="31"/>
      <c r="K254" s="27" t="s">
        <v>12</v>
      </c>
      <c r="L254" s="27" t="s">
        <v>90</v>
      </c>
      <c r="M254" s="32"/>
    </row>
    <row r="255" spans="1:13" ht="15.2" customHeight="1" x14ac:dyDescent="0.2">
      <c r="A255" s="26" t="s">
        <v>4770</v>
      </c>
      <c r="B255" s="27" t="s">
        <v>4771</v>
      </c>
      <c r="C255" s="28">
        <v>1</v>
      </c>
      <c r="D255" s="29">
        <v>21.12</v>
      </c>
      <c r="E255" s="29">
        <v>21.12</v>
      </c>
      <c r="F255" s="30">
        <v>59.5</v>
      </c>
      <c r="G255" s="29">
        <v>59.5</v>
      </c>
      <c r="H255" s="28" t="s">
        <v>4241</v>
      </c>
      <c r="I255" s="27" t="s">
        <v>59</v>
      </c>
      <c r="J255" s="31"/>
      <c r="K255" s="27" t="s">
        <v>12</v>
      </c>
      <c r="L255" s="27" t="s">
        <v>90</v>
      </c>
      <c r="M255" s="32"/>
    </row>
    <row r="256" spans="1:13" ht="15.2" customHeight="1" x14ac:dyDescent="0.2">
      <c r="A256" s="26" t="s">
        <v>6658</v>
      </c>
      <c r="B256" s="27" t="s">
        <v>6659</v>
      </c>
      <c r="C256" s="28">
        <v>1</v>
      </c>
      <c r="D256" s="29">
        <v>20.85</v>
      </c>
      <c r="E256" s="29">
        <v>20.85</v>
      </c>
      <c r="F256" s="30">
        <v>69.5</v>
      </c>
      <c r="G256" s="29">
        <v>69.5</v>
      </c>
      <c r="H256" s="28">
        <v>60438720</v>
      </c>
      <c r="I256" s="27" t="s">
        <v>4</v>
      </c>
      <c r="J256" s="31" t="s">
        <v>65</v>
      </c>
      <c r="K256" s="27" t="s">
        <v>6</v>
      </c>
      <c r="L256" s="27" t="s">
        <v>7</v>
      </c>
      <c r="M256" s="32"/>
    </row>
    <row r="257" spans="1:13" ht="15.2" customHeight="1" x14ac:dyDescent="0.2">
      <c r="A257" s="26" t="s">
        <v>1608</v>
      </c>
      <c r="B257" s="27" t="s">
        <v>483</v>
      </c>
      <c r="C257" s="28">
        <v>1</v>
      </c>
      <c r="D257" s="29">
        <v>20.65</v>
      </c>
      <c r="E257" s="29">
        <v>20.65</v>
      </c>
      <c r="F257" s="30">
        <v>59</v>
      </c>
      <c r="G257" s="29">
        <v>59</v>
      </c>
      <c r="H257" s="28" t="s">
        <v>484</v>
      </c>
      <c r="I257" s="27" t="s">
        <v>66</v>
      </c>
      <c r="J257" s="31" t="s">
        <v>21</v>
      </c>
      <c r="K257" s="27" t="s">
        <v>37</v>
      </c>
      <c r="L257" s="27" t="s">
        <v>38</v>
      </c>
      <c r="M257" s="32"/>
    </row>
    <row r="258" spans="1:13" ht="15.2" customHeight="1" x14ac:dyDescent="0.2">
      <c r="A258" s="26" t="s">
        <v>1996</v>
      </c>
      <c r="B258" s="27" t="s">
        <v>1997</v>
      </c>
      <c r="C258" s="28">
        <v>1</v>
      </c>
      <c r="D258" s="29">
        <v>19.5</v>
      </c>
      <c r="E258" s="29">
        <v>19.5</v>
      </c>
      <c r="F258" s="30">
        <v>49.99</v>
      </c>
      <c r="G258" s="29">
        <v>49.99</v>
      </c>
      <c r="H258" s="28" t="s">
        <v>975</v>
      </c>
      <c r="I258" s="27" t="s">
        <v>36</v>
      </c>
      <c r="J258" s="31" t="s">
        <v>21</v>
      </c>
      <c r="K258" s="27" t="s">
        <v>70</v>
      </c>
      <c r="L258" s="27" t="s">
        <v>485</v>
      </c>
      <c r="M258" s="32"/>
    </row>
    <row r="259" spans="1:13" ht="15.2" customHeight="1" x14ac:dyDescent="0.2">
      <c r="A259" s="26" t="s">
        <v>3499</v>
      </c>
      <c r="B259" s="27" t="s">
        <v>3500</v>
      </c>
      <c r="C259" s="28">
        <v>2</v>
      </c>
      <c r="D259" s="29">
        <v>19.5</v>
      </c>
      <c r="E259" s="29">
        <v>39</v>
      </c>
      <c r="F259" s="30">
        <v>59</v>
      </c>
      <c r="G259" s="29">
        <v>118</v>
      </c>
      <c r="H259" s="28" t="s">
        <v>3065</v>
      </c>
      <c r="I259" s="27" t="s">
        <v>1</v>
      </c>
      <c r="J259" s="31" t="s">
        <v>40</v>
      </c>
      <c r="K259" s="27" t="s">
        <v>24</v>
      </c>
      <c r="L259" s="27" t="s">
        <v>128</v>
      </c>
      <c r="M259" s="32"/>
    </row>
    <row r="260" spans="1:13" ht="15.2" customHeight="1" x14ac:dyDescent="0.2">
      <c r="A260" s="26" t="s">
        <v>6660</v>
      </c>
      <c r="B260" s="27" t="s">
        <v>6661</v>
      </c>
      <c r="C260" s="28">
        <v>1</v>
      </c>
      <c r="D260" s="29">
        <v>19.5</v>
      </c>
      <c r="E260" s="29">
        <v>19.5</v>
      </c>
      <c r="F260" s="30">
        <v>49.99</v>
      </c>
      <c r="G260" s="29">
        <v>49.99</v>
      </c>
      <c r="H260" s="28" t="s">
        <v>975</v>
      </c>
      <c r="I260" s="27" t="s">
        <v>36</v>
      </c>
      <c r="J260" s="31" t="s">
        <v>5</v>
      </c>
      <c r="K260" s="27" t="s">
        <v>70</v>
      </c>
      <c r="L260" s="27" t="s">
        <v>485</v>
      </c>
      <c r="M260" s="32"/>
    </row>
    <row r="261" spans="1:13" ht="15.2" customHeight="1" x14ac:dyDescent="0.2">
      <c r="A261" s="26" t="s">
        <v>6297</v>
      </c>
      <c r="B261" s="27" t="s">
        <v>6298</v>
      </c>
      <c r="C261" s="28">
        <v>1</v>
      </c>
      <c r="D261" s="29">
        <v>19.04</v>
      </c>
      <c r="E261" s="29">
        <v>19.04</v>
      </c>
      <c r="F261" s="30">
        <v>59.5</v>
      </c>
      <c r="G261" s="29">
        <v>59.5</v>
      </c>
      <c r="H261" s="28">
        <v>49022843</v>
      </c>
      <c r="I261" s="27" t="s">
        <v>59</v>
      </c>
      <c r="J261" s="31"/>
      <c r="K261" s="27" t="s">
        <v>6</v>
      </c>
      <c r="L261" s="27" t="s">
        <v>7</v>
      </c>
      <c r="M261" s="32"/>
    </row>
    <row r="262" spans="1:13" ht="15.2" customHeight="1" x14ac:dyDescent="0.2">
      <c r="A262" s="26" t="s">
        <v>6662</v>
      </c>
      <c r="B262" s="27" t="s">
        <v>6663</v>
      </c>
      <c r="C262" s="28">
        <v>1</v>
      </c>
      <c r="D262" s="29">
        <v>19</v>
      </c>
      <c r="E262" s="29">
        <v>19</v>
      </c>
      <c r="F262" s="30">
        <v>59</v>
      </c>
      <c r="G262" s="29">
        <v>59</v>
      </c>
      <c r="H262" s="28" t="s">
        <v>4778</v>
      </c>
      <c r="I262" s="27" t="s">
        <v>4</v>
      </c>
      <c r="J262" s="31" t="s">
        <v>230</v>
      </c>
      <c r="K262" s="27" t="s">
        <v>24</v>
      </c>
      <c r="L262" s="27" t="s">
        <v>1079</v>
      </c>
      <c r="M262" s="32"/>
    </row>
    <row r="263" spans="1:13" ht="15.2" customHeight="1" x14ac:dyDescent="0.2">
      <c r="A263" s="26" t="s">
        <v>976</v>
      </c>
      <c r="B263" s="27" t="s">
        <v>977</v>
      </c>
      <c r="C263" s="28">
        <v>1</v>
      </c>
      <c r="D263" s="29">
        <v>19</v>
      </c>
      <c r="E263" s="29">
        <v>19</v>
      </c>
      <c r="F263" s="30">
        <v>49.5</v>
      </c>
      <c r="G263" s="29">
        <v>49.5</v>
      </c>
      <c r="H263" s="28" t="s">
        <v>978</v>
      </c>
      <c r="I263" s="27" t="s">
        <v>94</v>
      </c>
      <c r="J263" s="31" t="s">
        <v>21</v>
      </c>
      <c r="K263" s="27" t="s">
        <v>17</v>
      </c>
      <c r="L263" s="27" t="s">
        <v>18</v>
      </c>
      <c r="M263" s="32"/>
    </row>
    <row r="264" spans="1:13" ht="15.2" customHeight="1" x14ac:dyDescent="0.2">
      <c r="A264" s="26" t="s">
        <v>6664</v>
      </c>
      <c r="B264" s="27" t="s">
        <v>6665</v>
      </c>
      <c r="C264" s="28">
        <v>1</v>
      </c>
      <c r="D264" s="29">
        <v>19</v>
      </c>
      <c r="E264" s="29">
        <v>19</v>
      </c>
      <c r="F264" s="30">
        <v>59</v>
      </c>
      <c r="G264" s="29">
        <v>59</v>
      </c>
      <c r="H264" s="28" t="s">
        <v>3505</v>
      </c>
      <c r="I264" s="27" t="s">
        <v>36</v>
      </c>
      <c r="J264" s="31" t="s">
        <v>21</v>
      </c>
      <c r="K264" s="27" t="s">
        <v>24</v>
      </c>
      <c r="L264" s="27" t="s">
        <v>128</v>
      </c>
      <c r="M264" s="32"/>
    </row>
    <row r="265" spans="1:13" ht="15.2" customHeight="1" x14ac:dyDescent="0.2">
      <c r="A265" s="26" t="s">
        <v>6666</v>
      </c>
      <c r="B265" s="27" t="s">
        <v>6667</v>
      </c>
      <c r="C265" s="28">
        <v>1</v>
      </c>
      <c r="D265" s="29">
        <v>19</v>
      </c>
      <c r="E265" s="29">
        <v>19</v>
      </c>
      <c r="F265" s="30">
        <v>59</v>
      </c>
      <c r="G265" s="29">
        <v>59</v>
      </c>
      <c r="H265" s="28" t="s">
        <v>3505</v>
      </c>
      <c r="I265" s="27" t="s">
        <v>36</v>
      </c>
      <c r="J265" s="31" t="s">
        <v>40</v>
      </c>
      <c r="K265" s="27" t="s">
        <v>24</v>
      </c>
      <c r="L265" s="27" t="s">
        <v>128</v>
      </c>
      <c r="M265" s="32"/>
    </row>
    <row r="266" spans="1:13" ht="15.2" customHeight="1" x14ac:dyDescent="0.2">
      <c r="A266" s="26" t="s">
        <v>6668</v>
      </c>
      <c r="B266" s="27" t="s">
        <v>6669</v>
      </c>
      <c r="C266" s="28">
        <v>1</v>
      </c>
      <c r="D266" s="29">
        <v>19</v>
      </c>
      <c r="E266" s="29">
        <v>19</v>
      </c>
      <c r="F266" s="30">
        <v>49.5</v>
      </c>
      <c r="G266" s="29">
        <v>49.5</v>
      </c>
      <c r="H266" s="28" t="s">
        <v>978</v>
      </c>
      <c r="I266" s="27" t="s">
        <v>94</v>
      </c>
      <c r="J266" s="31" t="s">
        <v>71</v>
      </c>
      <c r="K266" s="27" t="s">
        <v>17</v>
      </c>
      <c r="L266" s="27" t="s">
        <v>18</v>
      </c>
      <c r="M266" s="32"/>
    </row>
    <row r="267" spans="1:13" ht="15.2" customHeight="1" x14ac:dyDescent="0.2">
      <c r="A267" s="26" t="s">
        <v>6670</v>
      </c>
      <c r="B267" s="27" t="s">
        <v>6671</v>
      </c>
      <c r="C267" s="28">
        <v>1</v>
      </c>
      <c r="D267" s="29">
        <v>19</v>
      </c>
      <c r="E267" s="29">
        <v>19</v>
      </c>
      <c r="F267" s="30">
        <v>49.5</v>
      </c>
      <c r="G267" s="29">
        <v>49.5</v>
      </c>
      <c r="H267" s="28" t="s">
        <v>978</v>
      </c>
      <c r="I267" s="27" t="s">
        <v>94</v>
      </c>
      <c r="J267" s="31" t="s">
        <v>71</v>
      </c>
      <c r="K267" s="27" t="s">
        <v>17</v>
      </c>
      <c r="L267" s="27" t="s">
        <v>18</v>
      </c>
      <c r="M267" s="32"/>
    </row>
    <row r="268" spans="1:13" ht="15.2" customHeight="1" x14ac:dyDescent="0.2">
      <c r="A268" s="26" t="s">
        <v>2437</v>
      </c>
      <c r="B268" s="27" t="s">
        <v>982</v>
      </c>
      <c r="C268" s="28">
        <v>1</v>
      </c>
      <c r="D268" s="29">
        <v>18.420000000000002</v>
      </c>
      <c r="E268" s="29">
        <v>18.420000000000002</v>
      </c>
      <c r="F268" s="30">
        <v>49.5</v>
      </c>
      <c r="G268" s="29">
        <v>49.5</v>
      </c>
      <c r="H268" s="28" t="s">
        <v>983</v>
      </c>
      <c r="I268" s="27" t="s">
        <v>4</v>
      </c>
      <c r="J268" s="31" t="s">
        <v>21</v>
      </c>
      <c r="K268" s="27" t="s">
        <v>53</v>
      </c>
      <c r="L268" s="27" t="s">
        <v>54</v>
      </c>
      <c r="M268" s="32"/>
    </row>
    <row r="269" spans="1:13" ht="15.2" customHeight="1" x14ac:dyDescent="0.2">
      <c r="A269" s="26" t="s">
        <v>2438</v>
      </c>
      <c r="B269" s="27" t="s">
        <v>1618</v>
      </c>
      <c r="C269" s="28">
        <v>1</v>
      </c>
      <c r="D269" s="29">
        <v>18.07</v>
      </c>
      <c r="E269" s="29">
        <v>18.07</v>
      </c>
      <c r="F269" s="30">
        <v>49.5</v>
      </c>
      <c r="G269" s="29">
        <v>49.5</v>
      </c>
      <c r="H269" s="28" t="s">
        <v>1619</v>
      </c>
      <c r="I269" s="27" t="s">
        <v>82</v>
      </c>
      <c r="J269" s="31" t="s">
        <v>40</v>
      </c>
      <c r="K269" s="27" t="s">
        <v>41</v>
      </c>
      <c r="L269" s="27" t="s">
        <v>83</v>
      </c>
      <c r="M269" s="32"/>
    </row>
    <row r="270" spans="1:13" ht="15.2" customHeight="1" x14ac:dyDescent="0.2">
      <c r="A270" s="26" t="s">
        <v>6672</v>
      </c>
      <c r="B270" s="27" t="s">
        <v>6673</v>
      </c>
      <c r="C270" s="28">
        <v>1</v>
      </c>
      <c r="D270" s="29">
        <v>18.07</v>
      </c>
      <c r="E270" s="29">
        <v>18.07</v>
      </c>
      <c r="F270" s="30">
        <v>49.5</v>
      </c>
      <c r="G270" s="29">
        <v>49.5</v>
      </c>
      <c r="H270" s="28" t="s">
        <v>6674</v>
      </c>
      <c r="I270" s="27" t="s">
        <v>103</v>
      </c>
      <c r="J270" s="31" t="s">
        <v>172</v>
      </c>
      <c r="K270" s="27" t="s">
        <v>41</v>
      </c>
      <c r="L270" s="27" t="s">
        <v>90</v>
      </c>
      <c r="M270" s="32"/>
    </row>
    <row r="271" spans="1:13" ht="15.2" customHeight="1" x14ac:dyDescent="0.2">
      <c r="A271" s="26" t="s">
        <v>6675</v>
      </c>
      <c r="B271" s="27" t="s">
        <v>1618</v>
      </c>
      <c r="C271" s="28">
        <v>1</v>
      </c>
      <c r="D271" s="29">
        <v>18.07</v>
      </c>
      <c r="E271" s="29">
        <v>18.07</v>
      </c>
      <c r="F271" s="30">
        <v>49.5</v>
      </c>
      <c r="G271" s="29">
        <v>49.5</v>
      </c>
      <c r="H271" s="28" t="s">
        <v>1619</v>
      </c>
      <c r="I271" s="27" t="s">
        <v>82</v>
      </c>
      <c r="J271" s="31" t="s">
        <v>5</v>
      </c>
      <c r="K271" s="27" t="s">
        <v>41</v>
      </c>
      <c r="L271" s="27" t="s">
        <v>83</v>
      </c>
      <c r="M271" s="32"/>
    </row>
    <row r="272" spans="1:13" ht="15.2" customHeight="1" x14ac:dyDescent="0.2">
      <c r="A272" s="26" t="s">
        <v>2000</v>
      </c>
      <c r="B272" s="27" t="s">
        <v>985</v>
      </c>
      <c r="C272" s="28">
        <v>1</v>
      </c>
      <c r="D272" s="29">
        <v>18.04</v>
      </c>
      <c r="E272" s="29">
        <v>18.04</v>
      </c>
      <c r="F272" s="30">
        <v>49.5</v>
      </c>
      <c r="G272" s="29">
        <v>49.5</v>
      </c>
      <c r="H272" s="28" t="s">
        <v>986</v>
      </c>
      <c r="I272" s="27" t="s">
        <v>82</v>
      </c>
      <c r="J272" s="31" t="s">
        <v>21</v>
      </c>
      <c r="K272" s="27" t="s">
        <v>41</v>
      </c>
      <c r="L272" s="27" t="s">
        <v>45</v>
      </c>
      <c r="M272" s="32"/>
    </row>
    <row r="273" spans="1:13" ht="15.2" customHeight="1" x14ac:dyDescent="0.2">
      <c r="A273" s="26" t="s">
        <v>3069</v>
      </c>
      <c r="B273" s="27" t="s">
        <v>3070</v>
      </c>
      <c r="C273" s="28">
        <v>1</v>
      </c>
      <c r="D273" s="29">
        <v>17.5</v>
      </c>
      <c r="E273" s="29">
        <v>17.5</v>
      </c>
      <c r="F273" s="30">
        <v>41.99</v>
      </c>
      <c r="G273" s="29">
        <v>41.99</v>
      </c>
      <c r="H273" s="28" t="s">
        <v>3071</v>
      </c>
      <c r="I273" s="27" t="s">
        <v>4</v>
      </c>
      <c r="J273" s="31" t="s">
        <v>71</v>
      </c>
      <c r="K273" s="27" t="s">
        <v>70</v>
      </c>
      <c r="L273" s="27" t="s">
        <v>650</v>
      </c>
      <c r="M273" s="32"/>
    </row>
    <row r="274" spans="1:13" ht="15.2" customHeight="1" x14ac:dyDescent="0.2">
      <c r="A274" s="26" t="s">
        <v>6676</v>
      </c>
      <c r="B274" s="27" t="s">
        <v>6677</v>
      </c>
      <c r="C274" s="28">
        <v>1</v>
      </c>
      <c r="D274" s="29">
        <v>17.5</v>
      </c>
      <c r="E274" s="29">
        <v>17.5</v>
      </c>
      <c r="F274" s="30">
        <v>42.99</v>
      </c>
      <c r="G274" s="29">
        <v>42.99</v>
      </c>
      <c r="H274" s="28" t="s">
        <v>6103</v>
      </c>
      <c r="I274" s="27" t="s">
        <v>10</v>
      </c>
      <c r="J274" s="31" t="s">
        <v>216</v>
      </c>
      <c r="K274" s="27" t="s">
        <v>70</v>
      </c>
      <c r="L274" s="27" t="s">
        <v>650</v>
      </c>
      <c r="M274" s="32"/>
    </row>
    <row r="275" spans="1:13" ht="15.2" customHeight="1" x14ac:dyDescent="0.2">
      <c r="A275" s="26" t="s">
        <v>6678</v>
      </c>
      <c r="B275" s="27" t="s">
        <v>6679</v>
      </c>
      <c r="C275" s="28">
        <v>1</v>
      </c>
      <c r="D275" s="29">
        <v>17.13</v>
      </c>
      <c r="E275" s="29">
        <v>17.13</v>
      </c>
      <c r="F275" s="30">
        <v>44.5</v>
      </c>
      <c r="G275" s="29">
        <v>44.5</v>
      </c>
      <c r="H275" s="28" t="s">
        <v>6680</v>
      </c>
      <c r="I275" s="27" t="s">
        <v>271</v>
      </c>
      <c r="J275" s="31" t="s">
        <v>40</v>
      </c>
      <c r="K275" s="27" t="s">
        <v>17</v>
      </c>
      <c r="L275" s="27" t="s">
        <v>18</v>
      </c>
      <c r="M275" s="32"/>
    </row>
    <row r="276" spans="1:13" ht="15.2" customHeight="1" x14ac:dyDescent="0.2">
      <c r="A276" s="26" t="s">
        <v>496</v>
      </c>
      <c r="B276" s="27" t="s">
        <v>497</v>
      </c>
      <c r="C276" s="28">
        <v>1</v>
      </c>
      <c r="D276" s="29">
        <v>17</v>
      </c>
      <c r="E276" s="29">
        <v>17</v>
      </c>
      <c r="F276" s="30">
        <v>41.99</v>
      </c>
      <c r="G276" s="29">
        <v>41.99</v>
      </c>
      <c r="H276" s="28" t="s">
        <v>498</v>
      </c>
      <c r="I276" s="27" t="s">
        <v>144</v>
      </c>
      <c r="J276" s="31" t="s">
        <v>52</v>
      </c>
      <c r="K276" s="27" t="s">
        <v>70</v>
      </c>
      <c r="L276" s="27" t="s">
        <v>155</v>
      </c>
      <c r="M276" s="32"/>
    </row>
    <row r="277" spans="1:13" ht="15.2" customHeight="1" x14ac:dyDescent="0.2">
      <c r="A277" s="26" t="s">
        <v>4663</v>
      </c>
      <c r="B277" s="27" t="s">
        <v>4664</v>
      </c>
      <c r="C277" s="28">
        <v>1</v>
      </c>
      <c r="D277" s="29">
        <v>17</v>
      </c>
      <c r="E277" s="29">
        <v>17</v>
      </c>
      <c r="F277" s="30">
        <v>42.99</v>
      </c>
      <c r="G277" s="29">
        <v>42.99</v>
      </c>
      <c r="H277" s="28" t="s">
        <v>4665</v>
      </c>
      <c r="I277" s="27" t="s">
        <v>4</v>
      </c>
      <c r="J277" s="31" t="s">
        <v>21</v>
      </c>
      <c r="K277" s="27" t="s">
        <v>70</v>
      </c>
      <c r="L277" s="27" t="s">
        <v>155</v>
      </c>
      <c r="M277" s="32"/>
    </row>
    <row r="278" spans="1:13" ht="15.2" customHeight="1" x14ac:dyDescent="0.2">
      <c r="A278" s="26" t="s">
        <v>4384</v>
      </c>
      <c r="B278" s="27" t="s">
        <v>4029</v>
      </c>
      <c r="C278" s="28">
        <v>1</v>
      </c>
      <c r="D278" s="29">
        <v>17</v>
      </c>
      <c r="E278" s="29">
        <v>17</v>
      </c>
      <c r="F278" s="30">
        <v>41.99</v>
      </c>
      <c r="G278" s="29">
        <v>41.99</v>
      </c>
      <c r="H278" s="28" t="s">
        <v>992</v>
      </c>
      <c r="I278" s="27" t="s">
        <v>22</v>
      </c>
      <c r="J278" s="31" t="s">
        <v>5</v>
      </c>
      <c r="K278" s="27" t="s">
        <v>70</v>
      </c>
      <c r="L278" s="27" t="s">
        <v>155</v>
      </c>
      <c r="M278" s="32"/>
    </row>
    <row r="279" spans="1:13" ht="15.2" customHeight="1" x14ac:dyDescent="0.2">
      <c r="A279" s="26" t="s">
        <v>6681</v>
      </c>
      <c r="B279" s="27" t="s">
        <v>6682</v>
      </c>
      <c r="C279" s="28">
        <v>1</v>
      </c>
      <c r="D279" s="29">
        <v>17</v>
      </c>
      <c r="E279" s="29">
        <v>17</v>
      </c>
      <c r="F279" s="30">
        <v>59</v>
      </c>
      <c r="G279" s="29">
        <v>59</v>
      </c>
      <c r="H279" s="28" t="s">
        <v>502</v>
      </c>
      <c r="I279" s="27"/>
      <c r="J279" s="31" t="s">
        <v>65</v>
      </c>
      <c r="K279" s="27" t="s">
        <v>154</v>
      </c>
      <c r="L279" s="27" t="s">
        <v>155</v>
      </c>
      <c r="M279" s="32"/>
    </row>
    <row r="280" spans="1:13" ht="15.2" customHeight="1" x14ac:dyDescent="0.2">
      <c r="A280" s="26" t="s">
        <v>993</v>
      </c>
      <c r="B280" s="27" t="s">
        <v>994</v>
      </c>
      <c r="C280" s="28">
        <v>1</v>
      </c>
      <c r="D280" s="29">
        <v>17</v>
      </c>
      <c r="E280" s="29">
        <v>17</v>
      </c>
      <c r="F280" s="30">
        <v>59</v>
      </c>
      <c r="G280" s="29">
        <v>59</v>
      </c>
      <c r="H280" s="28" t="s">
        <v>995</v>
      </c>
      <c r="I280" s="27" t="s">
        <v>82</v>
      </c>
      <c r="J280" s="31" t="s">
        <v>52</v>
      </c>
      <c r="K280" s="27" t="s">
        <v>154</v>
      </c>
      <c r="L280" s="27" t="s">
        <v>155</v>
      </c>
      <c r="M280" s="32"/>
    </row>
    <row r="281" spans="1:13" ht="15.2" customHeight="1" x14ac:dyDescent="0.2">
      <c r="A281" s="26" t="s">
        <v>4861</v>
      </c>
      <c r="B281" s="27" t="s">
        <v>4862</v>
      </c>
      <c r="C281" s="28">
        <v>1</v>
      </c>
      <c r="D281" s="29">
        <v>17</v>
      </c>
      <c r="E281" s="29">
        <v>17</v>
      </c>
      <c r="F281" s="30">
        <v>59</v>
      </c>
      <c r="G281" s="29">
        <v>59</v>
      </c>
      <c r="H281" s="28" t="s">
        <v>2447</v>
      </c>
      <c r="I281" s="27" t="s">
        <v>4</v>
      </c>
      <c r="J281" s="31" t="s">
        <v>5</v>
      </c>
      <c r="K281" s="27" t="s">
        <v>154</v>
      </c>
      <c r="L281" s="27" t="s">
        <v>155</v>
      </c>
      <c r="M281" s="32"/>
    </row>
    <row r="282" spans="1:13" ht="15.2" customHeight="1" x14ac:dyDescent="0.2">
      <c r="A282" s="26" t="s">
        <v>6683</v>
      </c>
      <c r="B282" s="27" t="s">
        <v>4029</v>
      </c>
      <c r="C282" s="28">
        <v>1</v>
      </c>
      <c r="D282" s="29">
        <v>17</v>
      </c>
      <c r="E282" s="29">
        <v>17</v>
      </c>
      <c r="F282" s="30">
        <v>41.99</v>
      </c>
      <c r="G282" s="29">
        <v>41.99</v>
      </c>
      <c r="H282" s="28" t="s">
        <v>992</v>
      </c>
      <c r="I282" s="27" t="s">
        <v>22</v>
      </c>
      <c r="J282" s="31" t="s">
        <v>71</v>
      </c>
      <c r="K282" s="27" t="s">
        <v>70</v>
      </c>
      <c r="L282" s="27" t="s">
        <v>155</v>
      </c>
      <c r="M282" s="32"/>
    </row>
    <row r="283" spans="1:13" ht="15.2" customHeight="1" x14ac:dyDescent="0.2">
      <c r="A283" s="26" t="s">
        <v>6684</v>
      </c>
      <c r="B283" s="27" t="s">
        <v>505</v>
      </c>
      <c r="C283" s="28">
        <v>1</v>
      </c>
      <c r="D283" s="29">
        <v>16.88</v>
      </c>
      <c r="E283" s="29">
        <v>16.88</v>
      </c>
      <c r="F283" s="30">
        <v>49.5</v>
      </c>
      <c r="G283" s="29">
        <v>49.5</v>
      </c>
      <c r="H283" s="28" t="s">
        <v>506</v>
      </c>
      <c r="I283" s="27" t="s">
        <v>2956</v>
      </c>
      <c r="J283" s="31" t="s">
        <v>21</v>
      </c>
      <c r="K283" s="27" t="s">
        <v>53</v>
      </c>
      <c r="L283" s="27" t="s">
        <v>167</v>
      </c>
      <c r="M283" s="32"/>
    </row>
    <row r="284" spans="1:13" ht="15.2" customHeight="1" x14ac:dyDescent="0.2">
      <c r="A284" s="26" t="s">
        <v>1000</v>
      </c>
      <c r="B284" s="27" t="s">
        <v>1001</v>
      </c>
      <c r="C284" s="28">
        <v>1</v>
      </c>
      <c r="D284" s="29">
        <v>16.739999999999998</v>
      </c>
      <c r="E284" s="29">
        <v>16.739999999999998</v>
      </c>
      <c r="F284" s="30">
        <v>49</v>
      </c>
      <c r="G284" s="29">
        <v>49</v>
      </c>
      <c r="H284" s="28" t="s">
        <v>1002</v>
      </c>
      <c r="I284" s="27" t="s">
        <v>291</v>
      </c>
      <c r="J284" s="31" t="s">
        <v>21</v>
      </c>
      <c r="K284" s="27" t="s">
        <v>510</v>
      </c>
      <c r="L284" s="27" t="s">
        <v>511</v>
      </c>
      <c r="M284" s="32"/>
    </row>
    <row r="285" spans="1:13" ht="15.2" customHeight="1" x14ac:dyDescent="0.2">
      <c r="A285" s="26" t="s">
        <v>4038</v>
      </c>
      <c r="B285" s="27" t="s">
        <v>4039</v>
      </c>
      <c r="C285" s="28">
        <v>1</v>
      </c>
      <c r="D285" s="29">
        <v>16.739999999999998</v>
      </c>
      <c r="E285" s="29">
        <v>16.739999999999998</v>
      </c>
      <c r="F285" s="30">
        <v>49</v>
      </c>
      <c r="G285" s="29">
        <v>49</v>
      </c>
      <c r="H285" s="28" t="s">
        <v>1002</v>
      </c>
      <c r="I285" s="27" t="s">
        <v>291</v>
      </c>
      <c r="J285" s="31" t="s">
        <v>52</v>
      </c>
      <c r="K285" s="27" t="s">
        <v>510</v>
      </c>
      <c r="L285" s="27" t="s">
        <v>511</v>
      </c>
      <c r="M285" s="32"/>
    </row>
    <row r="286" spans="1:13" ht="15.2" customHeight="1" x14ac:dyDescent="0.2">
      <c r="A286" s="26" t="s">
        <v>2732</v>
      </c>
      <c r="B286" s="27" t="s">
        <v>2733</v>
      </c>
      <c r="C286" s="28">
        <v>1</v>
      </c>
      <c r="D286" s="29">
        <v>16.739999999999998</v>
      </c>
      <c r="E286" s="29">
        <v>16.739999999999998</v>
      </c>
      <c r="F286" s="30">
        <v>49</v>
      </c>
      <c r="G286" s="29">
        <v>49</v>
      </c>
      <c r="H286" s="28" t="s">
        <v>2734</v>
      </c>
      <c r="I286" s="27" t="s">
        <v>4</v>
      </c>
      <c r="J286" s="31" t="s">
        <v>5</v>
      </c>
      <c r="K286" s="27" t="s">
        <v>510</v>
      </c>
      <c r="L286" s="27" t="s">
        <v>511</v>
      </c>
      <c r="M286" s="32"/>
    </row>
    <row r="287" spans="1:13" ht="15.2" customHeight="1" x14ac:dyDescent="0.2">
      <c r="A287" s="26" t="s">
        <v>2449</v>
      </c>
      <c r="B287" s="27" t="s">
        <v>2450</v>
      </c>
      <c r="C287" s="28">
        <v>1</v>
      </c>
      <c r="D287" s="29">
        <v>16.329999999999998</v>
      </c>
      <c r="E287" s="29">
        <v>16.329999999999998</v>
      </c>
      <c r="F287" s="30">
        <v>44.5</v>
      </c>
      <c r="G287" s="29">
        <v>44.5</v>
      </c>
      <c r="H287" s="28" t="s">
        <v>1005</v>
      </c>
      <c r="I287" s="27" t="s">
        <v>4</v>
      </c>
      <c r="J287" s="31" t="s">
        <v>21</v>
      </c>
      <c r="K287" s="27" t="s">
        <v>53</v>
      </c>
      <c r="L287" s="27" t="s">
        <v>54</v>
      </c>
      <c r="M287" s="32"/>
    </row>
    <row r="288" spans="1:13" ht="15.2" customHeight="1" x14ac:dyDescent="0.2">
      <c r="A288" s="26" t="s">
        <v>3543</v>
      </c>
      <c r="B288" s="27" t="s">
        <v>512</v>
      </c>
      <c r="C288" s="28">
        <v>1</v>
      </c>
      <c r="D288" s="29">
        <v>16.239999999999998</v>
      </c>
      <c r="E288" s="29">
        <v>16.239999999999998</v>
      </c>
      <c r="F288" s="30">
        <v>44.5</v>
      </c>
      <c r="G288" s="29">
        <v>44.5</v>
      </c>
      <c r="H288" s="28" t="s">
        <v>513</v>
      </c>
      <c r="I288" s="27" t="s">
        <v>10</v>
      </c>
      <c r="J288" s="31" t="s">
        <v>205</v>
      </c>
      <c r="K288" s="27" t="s">
        <v>41</v>
      </c>
      <c r="L288" s="27" t="s">
        <v>45</v>
      </c>
      <c r="M288" s="32"/>
    </row>
    <row r="289" spans="1:13" ht="15.2" customHeight="1" x14ac:dyDescent="0.2">
      <c r="A289" s="26" t="s">
        <v>6685</v>
      </c>
      <c r="B289" s="27" t="s">
        <v>6686</v>
      </c>
      <c r="C289" s="28">
        <v>1</v>
      </c>
      <c r="D289" s="29">
        <v>15.75</v>
      </c>
      <c r="E289" s="29">
        <v>15.75</v>
      </c>
      <c r="F289" s="30">
        <v>38.99</v>
      </c>
      <c r="G289" s="29">
        <v>38.99</v>
      </c>
      <c r="H289" s="28" t="s">
        <v>6687</v>
      </c>
      <c r="I289" s="27" t="s">
        <v>152</v>
      </c>
      <c r="J289" s="31"/>
      <c r="K289" s="27" t="s">
        <v>70</v>
      </c>
      <c r="L289" s="27" t="s">
        <v>67</v>
      </c>
      <c r="M289" s="32"/>
    </row>
    <row r="290" spans="1:13" ht="15.2" customHeight="1" x14ac:dyDescent="0.2">
      <c r="A290" s="26" t="s">
        <v>6688</v>
      </c>
      <c r="B290" s="27" t="s">
        <v>1627</v>
      </c>
      <c r="C290" s="28">
        <v>1</v>
      </c>
      <c r="D290" s="29">
        <v>15.61</v>
      </c>
      <c r="E290" s="29">
        <v>15.61</v>
      </c>
      <c r="F290" s="30">
        <v>44.5</v>
      </c>
      <c r="G290" s="29">
        <v>44.5</v>
      </c>
      <c r="H290" s="28" t="s">
        <v>1628</v>
      </c>
      <c r="I290" s="27" t="s">
        <v>22</v>
      </c>
      <c r="J290" s="31" t="s">
        <v>5</v>
      </c>
      <c r="K290" s="27" t="s">
        <v>41</v>
      </c>
      <c r="L290" s="27" t="s">
        <v>45</v>
      </c>
      <c r="M290" s="32"/>
    </row>
    <row r="291" spans="1:13" ht="15.2" customHeight="1" x14ac:dyDescent="0.2">
      <c r="A291" s="26" t="s">
        <v>4062</v>
      </c>
      <c r="B291" s="27" t="s">
        <v>4063</v>
      </c>
      <c r="C291" s="28">
        <v>2</v>
      </c>
      <c r="D291" s="29">
        <v>15.25</v>
      </c>
      <c r="E291" s="29">
        <v>30.5</v>
      </c>
      <c r="F291" s="30">
        <v>44</v>
      </c>
      <c r="G291" s="29">
        <v>88</v>
      </c>
      <c r="H291" s="28" t="s">
        <v>2743</v>
      </c>
      <c r="I291" s="27" t="s">
        <v>36</v>
      </c>
      <c r="J291" s="31" t="s">
        <v>40</v>
      </c>
      <c r="K291" s="27" t="s">
        <v>37</v>
      </c>
      <c r="L291" s="27" t="s">
        <v>38</v>
      </c>
      <c r="M291" s="32"/>
    </row>
    <row r="292" spans="1:13" ht="15.2" customHeight="1" x14ac:dyDescent="0.2">
      <c r="A292" s="26" t="s">
        <v>1006</v>
      </c>
      <c r="B292" s="27" t="s">
        <v>1007</v>
      </c>
      <c r="C292" s="28">
        <v>1</v>
      </c>
      <c r="D292" s="29">
        <v>15.21</v>
      </c>
      <c r="E292" s="29">
        <v>15.21</v>
      </c>
      <c r="F292" s="30">
        <v>39.5</v>
      </c>
      <c r="G292" s="29">
        <v>39.5</v>
      </c>
      <c r="H292" s="28" t="s">
        <v>1008</v>
      </c>
      <c r="I292" s="27" t="s">
        <v>82</v>
      </c>
      <c r="J292" s="31" t="s">
        <v>21</v>
      </c>
      <c r="K292" s="27" t="s">
        <v>17</v>
      </c>
      <c r="L292" s="27" t="s">
        <v>18</v>
      </c>
      <c r="M292" s="32"/>
    </row>
    <row r="293" spans="1:13" ht="15.2" customHeight="1" x14ac:dyDescent="0.2">
      <c r="A293" s="26" t="s">
        <v>6689</v>
      </c>
      <c r="B293" s="27" t="s">
        <v>1632</v>
      </c>
      <c r="C293" s="28">
        <v>1</v>
      </c>
      <c r="D293" s="29">
        <v>15.05</v>
      </c>
      <c r="E293" s="29">
        <v>15.05</v>
      </c>
      <c r="F293" s="30">
        <v>39.5</v>
      </c>
      <c r="G293" s="29">
        <v>39.5</v>
      </c>
      <c r="H293" s="28" t="s">
        <v>1633</v>
      </c>
      <c r="I293" s="27" t="s">
        <v>10</v>
      </c>
      <c r="J293" s="31" t="s">
        <v>71</v>
      </c>
      <c r="K293" s="27" t="s">
        <v>41</v>
      </c>
      <c r="L293" s="27" t="s">
        <v>45</v>
      </c>
      <c r="M293" s="32"/>
    </row>
    <row r="294" spans="1:13" ht="15.2" customHeight="1" x14ac:dyDescent="0.2">
      <c r="A294" s="26" t="s">
        <v>1631</v>
      </c>
      <c r="B294" s="27" t="s">
        <v>1632</v>
      </c>
      <c r="C294" s="28">
        <v>1</v>
      </c>
      <c r="D294" s="29">
        <v>15.05</v>
      </c>
      <c r="E294" s="29">
        <v>15.05</v>
      </c>
      <c r="F294" s="30">
        <v>39.5</v>
      </c>
      <c r="G294" s="29">
        <v>39.5</v>
      </c>
      <c r="H294" s="28" t="s">
        <v>1633</v>
      </c>
      <c r="I294" s="27" t="s">
        <v>10</v>
      </c>
      <c r="J294" s="31" t="s">
        <v>5</v>
      </c>
      <c r="K294" s="27" t="s">
        <v>41</v>
      </c>
      <c r="L294" s="27" t="s">
        <v>45</v>
      </c>
      <c r="M294" s="32"/>
    </row>
    <row r="295" spans="1:13" ht="15.2" customHeight="1" x14ac:dyDescent="0.2">
      <c r="A295" s="26" t="s">
        <v>3072</v>
      </c>
      <c r="B295" s="27" t="s">
        <v>3073</v>
      </c>
      <c r="C295" s="28">
        <v>1</v>
      </c>
      <c r="D295" s="29">
        <v>15</v>
      </c>
      <c r="E295" s="29">
        <v>15</v>
      </c>
      <c r="F295" s="30">
        <v>49</v>
      </c>
      <c r="G295" s="29">
        <v>49</v>
      </c>
      <c r="H295" s="28" t="s">
        <v>3074</v>
      </c>
      <c r="I295" s="27" t="s">
        <v>4</v>
      </c>
      <c r="J295" s="31" t="s">
        <v>21</v>
      </c>
      <c r="K295" s="27" t="s">
        <v>24</v>
      </c>
      <c r="L295" s="27" t="s">
        <v>101</v>
      </c>
      <c r="M295" s="32"/>
    </row>
    <row r="296" spans="1:13" ht="15.2" customHeight="1" x14ac:dyDescent="0.2">
      <c r="A296" s="26" t="s">
        <v>522</v>
      </c>
      <c r="B296" s="27" t="s">
        <v>523</v>
      </c>
      <c r="C296" s="28">
        <v>1</v>
      </c>
      <c r="D296" s="29">
        <v>14.5</v>
      </c>
      <c r="E296" s="29">
        <v>14.5</v>
      </c>
      <c r="F296" s="30">
        <v>39.5</v>
      </c>
      <c r="G296" s="29">
        <v>39.5</v>
      </c>
      <c r="H296" s="28" t="s">
        <v>524</v>
      </c>
      <c r="I296" s="27" t="s">
        <v>4</v>
      </c>
      <c r="J296" s="31" t="s">
        <v>21</v>
      </c>
      <c r="K296" s="27" t="s">
        <v>53</v>
      </c>
      <c r="L296" s="27" t="s">
        <v>54</v>
      </c>
      <c r="M296" s="32"/>
    </row>
    <row r="297" spans="1:13" ht="15.2" customHeight="1" x14ac:dyDescent="0.2">
      <c r="A297" s="26" t="s">
        <v>6690</v>
      </c>
      <c r="B297" s="27" t="s">
        <v>6691</v>
      </c>
      <c r="C297" s="28">
        <v>1</v>
      </c>
      <c r="D297" s="29">
        <v>14.5</v>
      </c>
      <c r="E297" s="29">
        <v>14.5</v>
      </c>
      <c r="F297" s="30">
        <v>29.99</v>
      </c>
      <c r="G297" s="29">
        <v>29.99</v>
      </c>
      <c r="H297" s="28" t="s">
        <v>4781</v>
      </c>
      <c r="I297" s="27" t="s">
        <v>29</v>
      </c>
      <c r="J297" s="31" t="s">
        <v>23</v>
      </c>
      <c r="K297" s="27" t="s">
        <v>200</v>
      </c>
      <c r="L297" s="27" t="s">
        <v>552</v>
      </c>
      <c r="M297" s="32"/>
    </row>
    <row r="298" spans="1:13" ht="15.2" customHeight="1" x14ac:dyDescent="0.2">
      <c r="A298" s="26" t="s">
        <v>2460</v>
      </c>
      <c r="B298" s="27" t="s">
        <v>528</v>
      </c>
      <c r="C298" s="28">
        <v>1</v>
      </c>
      <c r="D298" s="29">
        <v>14.42</v>
      </c>
      <c r="E298" s="29">
        <v>14.42</v>
      </c>
      <c r="F298" s="30">
        <v>39.5</v>
      </c>
      <c r="G298" s="29">
        <v>39.5</v>
      </c>
      <c r="H298" s="28" t="s">
        <v>529</v>
      </c>
      <c r="I298" s="27" t="s">
        <v>103</v>
      </c>
      <c r="J298" s="31" t="s">
        <v>5</v>
      </c>
      <c r="K298" s="27" t="s">
        <v>41</v>
      </c>
      <c r="L298" s="27" t="s">
        <v>45</v>
      </c>
      <c r="M298" s="32"/>
    </row>
    <row r="299" spans="1:13" ht="15.2" customHeight="1" x14ac:dyDescent="0.2">
      <c r="A299" s="26" t="s">
        <v>6692</v>
      </c>
      <c r="B299" s="27" t="s">
        <v>6693</v>
      </c>
      <c r="C299" s="28">
        <v>2</v>
      </c>
      <c r="D299" s="29">
        <v>14.42</v>
      </c>
      <c r="E299" s="29">
        <v>28.84</v>
      </c>
      <c r="F299" s="30">
        <v>39.5</v>
      </c>
      <c r="G299" s="29">
        <v>79</v>
      </c>
      <c r="H299" s="28" t="s">
        <v>6317</v>
      </c>
      <c r="I299" s="27" t="s">
        <v>26</v>
      </c>
      <c r="J299" s="31" t="s">
        <v>21</v>
      </c>
      <c r="K299" s="27" t="s">
        <v>41</v>
      </c>
      <c r="L299" s="27" t="s">
        <v>90</v>
      </c>
      <c r="M299" s="32"/>
    </row>
    <row r="300" spans="1:13" ht="15.2" customHeight="1" x14ac:dyDescent="0.2">
      <c r="A300" s="26" t="s">
        <v>2017</v>
      </c>
      <c r="B300" s="27" t="s">
        <v>528</v>
      </c>
      <c r="C300" s="28">
        <v>1</v>
      </c>
      <c r="D300" s="29">
        <v>14.42</v>
      </c>
      <c r="E300" s="29">
        <v>14.42</v>
      </c>
      <c r="F300" s="30">
        <v>39.5</v>
      </c>
      <c r="G300" s="29">
        <v>39.5</v>
      </c>
      <c r="H300" s="28" t="s">
        <v>529</v>
      </c>
      <c r="I300" s="27" t="s">
        <v>22</v>
      </c>
      <c r="J300" s="31" t="s">
        <v>5</v>
      </c>
      <c r="K300" s="27" t="s">
        <v>41</v>
      </c>
      <c r="L300" s="27" t="s">
        <v>45</v>
      </c>
      <c r="M300" s="32"/>
    </row>
    <row r="301" spans="1:13" ht="15.2" customHeight="1" x14ac:dyDescent="0.2">
      <c r="A301" s="26" t="s">
        <v>4389</v>
      </c>
      <c r="B301" s="27" t="s">
        <v>534</v>
      </c>
      <c r="C301" s="28">
        <v>1</v>
      </c>
      <c r="D301" s="29">
        <v>14.42</v>
      </c>
      <c r="E301" s="29">
        <v>14.42</v>
      </c>
      <c r="F301" s="30">
        <v>39.5</v>
      </c>
      <c r="G301" s="29">
        <v>39.5</v>
      </c>
      <c r="H301" s="28" t="s">
        <v>535</v>
      </c>
      <c r="I301" s="27" t="s">
        <v>103</v>
      </c>
      <c r="J301" s="31" t="s">
        <v>21</v>
      </c>
      <c r="K301" s="27" t="s">
        <v>41</v>
      </c>
      <c r="L301" s="27" t="s">
        <v>45</v>
      </c>
      <c r="M301" s="32"/>
    </row>
    <row r="302" spans="1:13" ht="15.2" customHeight="1" x14ac:dyDescent="0.2">
      <c r="A302" s="26" t="s">
        <v>2459</v>
      </c>
      <c r="B302" s="27" t="s">
        <v>528</v>
      </c>
      <c r="C302" s="28">
        <v>1</v>
      </c>
      <c r="D302" s="29">
        <v>14.42</v>
      </c>
      <c r="E302" s="29">
        <v>14.42</v>
      </c>
      <c r="F302" s="30">
        <v>39.5</v>
      </c>
      <c r="G302" s="29">
        <v>39.5</v>
      </c>
      <c r="H302" s="28" t="s">
        <v>529</v>
      </c>
      <c r="I302" s="27" t="s">
        <v>103</v>
      </c>
      <c r="J302" s="31" t="s">
        <v>71</v>
      </c>
      <c r="K302" s="27" t="s">
        <v>41</v>
      </c>
      <c r="L302" s="27" t="s">
        <v>45</v>
      </c>
      <c r="M302" s="32"/>
    </row>
    <row r="303" spans="1:13" ht="15.2" customHeight="1" x14ac:dyDescent="0.2">
      <c r="A303" s="26" t="s">
        <v>6694</v>
      </c>
      <c r="B303" s="27" t="s">
        <v>6025</v>
      </c>
      <c r="C303" s="28">
        <v>1</v>
      </c>
      <c r="D303" s="29">
        <v>14.42</v>
      </c>
      <c r="E303" s="29">
        <v>14.42</v>
      </c>
      <c r="F303" s="30">
        <v>39.5</v>
      </c>
      <c r="G303" s="29">
        <v>39.5</v>
      </c>
      <c r="H303" s="28" t="s">
        <v>2750</v>
      </c>
      <c r="I303" s="27" t="s">
        <v>4</v>
      </c>
      <c r="J303" s="31" t="s">
        <v>5</v>
      </c>
      <c r="K303" s="27" t="s">
        <v>41</v>
      </c>
      <c r="L303" s="27" t="s">
        <v>83</v>
      </c>
      <c r="M303" s="32"/>
    </row>
    <row r="304" spans="1:13" ht="15.2" customHeight="1" x14ac:dyDescent="0.2">
      <c r="A304" s="26" t="s">
        <v>4076</v>
      </c>
      <c r="B304" s="27" t="s">
        <v>528</v>
      </c>
      <c r="C304" s="28">
        <v>2</v>
      </c>
      <c r="D304" s="29">
        <v>14.42</v>
      </c>
      <c r="E304" s="29">
        <v>28.84</v>
      </c>
      <c r="F304" s="30">
        <v>39.5</v>
      </c>
      <c r="G304" s="29">
        <v>79</v>
      </c>
      <c r="H304" s="28" t="s">
        <v>529</v>
      </c>
      <c r="I304" s="27" t="s">
        <v>22</v>
      </c>
      <c r="J304" s="31" t="s">
        <v>71</v>
      </c>
      <c r="K304" s="27" t="s">
        <v>41</v>
      </c>
      <c r="L304" s="27" t="s">
        <v>45</v>
      </c>
      <c r="M304" s="32"/>
    </row>
    <row r="305" spans="1:13" ht="15.2" customHeight="1" x14ac:dyDescent="0.2">
      <c r="A305" s="26" t="s">
        <v>4519</v>
      </c>
      <c r="B305" s="27" t="s">
        <v>539</v>
      </c>
      <c r="C305" s="28">
        <v>1</v>
      </c>
      <c r="D305" s="29">
        <v>14.42</v>
      </c>
      <c r="E305" s="29">
        <v>14.42</v>
      </c>
      <c r="F305" s="30">
        <v>39.5</v>
      </c>
      <c r="G305" s="29">
        <v>39.5</v>
      </c>
      <c r="H305" s="28" t="s">
        <v>540</v>
      </c>
      <c r="I305" s="27" t="s">
        <v>1</v>
      </c>
      <c r="J305" s="31" t="s">
        <v>21</v>
      </c>
      <c r="K305" s="27" t="s">
        <v>41</v>
      </c>
      <c r="L305" s="27" t="s">
        <v>80</v>
      </c>
      <c r="M305" s="32"/>
    </row>
    <row r="306" spans="1:13" ht="15.2" customHeight="1" x14ac:dyDescent="0.2">
      <c r="A306" s="26" t="s">
        <v>5514</v>
      </c>
      <c r="B306" s="27" t="s">
        <v>5515</v>
      </c>
      <c r="C306" s="28">
        <v>1</v>
      </c>
      <c r="D306" s="29">
        <v>14.42</v>
      </c>
      <c r="E306" s="29">
        <v>14.42</v>
      </c>
      <c r="F306" s="30">
        <v>39.5</v>
      </c>
      <c r="G306" s="29">
        <v>39.5</v>
      </c>
      <c r="H306" s="28" t="s">
        <v>546</v>
      </c>
      <c r="I306" s="27" t="s">
        <v>238</v>
      </c>
      <c r="J306" s="31" t="s">
        <v>5</v>
      </c>
      <c r="K306" s="27" t="s">
        <v>41</v>
      </c>
      <c r="L306" s="27" t="s">
        <v>45</v>
      </c>
      <c r="M306" s="32"/>
    </row>
    <row r="307" spans="1:13" ht="15.2" customHeight="1" x14ac:dyDescent="0.2">
      <c r="A307" s="26" t="s">
        <v>544</v>
      </c>
      <c r="B307" s="27" t="s">
        <v>545</v>
      </c>
      <c r="C307" s="28">
        <v>1</v>
      </c>
      <c r="D307" s="29">
        <v>14.42</v>
      </c>
      <c r="E307" s="29">
        <v>14.42</v>
      </c>
      <c r="F307" s="30">
        <v>39.5</v>
      </c>
      <c r="G307" s="29">
        <v>39.5</v>
      </c>
      <c r="H307" s="28" t="s">
        <v>546</v>
      </c>
      <c r="I307" s="27" t="s">
        <v>82</v>
      </c>
      <c r="J307" s="31" t="s">
        <v>5</v>
      </c>
      <c r="K307" s="27" t="s">
        <v>41</v>
      </c>
      <c r="L307" s="27" t="s">
        <v>45</v>
      </c>
      <c r="M307" s="32"/>
    </row>
    <row r="308" spans="1:13" ht="15.2" customHeight="1" x14ac:dyDescent="0.2">
      <c r="A308" s="26" t="s">
        <v>3563</v>
      </c>
      <c r="B308" s="27" t="s">
        <v>534</v>
      </c>
      <c r="C308" s="28">
        <v>1</v>
      </c>
      <c r="D308" s="29">
        <v>14.42</v>
      </c>
      <c r="E308" s="29">
        <v>14.42</v>
      </c>
      <c r="F308" s="30">
        <v>39.5</v>
      </c>
      <c r="G308" s="29">
        <v>39.5</v>
      </c>
      <c r="H308" s="28" t="s">
        <v>535</v>
      </c>
      <c r="I308" s="27" t="s">
        <v>94</v>
      </c>
      <c r="J308" s="31" t="s">
        <v>40</v>
      </c>
      <c r="K308" s="27" t="s">
        <v>41</v>
      </c>
      <c r="L308" s="27" t="s">
        <v>45</v>
      </c>
      <c r="M308" s="32"/>
    </row>
    <row r="309" spans="1:13" ht="15.2" customHeight="1" x14ac:dyDescent="0.2">
      <c r="A309" s="26" t="s">
        <v>6695</v>
      </c>
      <c r="B309" s="27" t="s">
        <v>6696</v>
      </c>
      <c r="C309" s="28">
        <v>1</v>
      </c>
      <c r="D309" s="29">
        <v>14</v>
      </c>
      <c r="E309" s="29">
        <v>14</v>
      </c>
      <c r="F309" s="30">
        <v>49</v>
      </c>
      <c r="G309" s="29">
        <v>49</v>
      </c>
      <c r="H309" s="28" t="s">
        <v>4675</v>
      </c>
      <c r="I309" s="27" t="s">
        <v>4</v>
      </c>
      <c r="J309" s="31" t="s">
        <v>40</v>
      </c>
      <c r="K309" s="27" t="s">
        <v>24</v>
      </c>
      <c r="L309" s="27" t="s">
        <v>101</v>
      </c>
      <c r="M309" s="32"/>
    </row>
    <row r="310" spans="1:13" ht="15.2" customHeight="1" x14ac:dyDescent="0.2">
      <c r="A310" s="26" t="s">
        <v>4864</v>
      </c>
      <c r="B310" s="27" t="s">
        <v>4865</v>
      </c>
      <c r="C310" s="28">
        <v>1</v>
      </c>
      <c r="D310" s="29">
        <v>13</v>
      </c>
      <c r="E310" s="29">
        <v>13</v>
      </c>
      <c r="F310" s="30">
        <v>59</v>
      </c>
      <c r="G310" s="29">
        <v>59</v>
      </c>
      <c r="H310" s="28" t="s">
        <v>4866</v>
      </c>
      <c r="I310" s="27" t="s">
        <v>26</v>
      </c>
      <c r="J310" s="31" t="s">
        <v>50</v>
      </c>
      <c r="K310" s="27" t="s">
        <v>132</v>
      </c>
      <c r="L310" s="27" t="s">
        <v>150</v>
      </c>
      <c r="M310" s="32"/>
    </row>
    <row r="311" spans="1:13" ht="15.2" customHeight="1" x14ac:dyDescent="0.2">
      <c r="A311" s="26" t="s">
        <v>4679</v>
      </c>
      <c r="B311" s="27" t="s">
        <v>4680</v>
      </c>
      <c r="C311" s="28">
        <v>1</v>
      </c>
      <c r="D311" s="29">
        <v>12.75</v>
      </c>
      <c r="E311" s="29">
        <v>12.75</v>
      </c>
      <c r="F311" s="30">
        <v>49</v>
      </c>
      <c r="G311" s="29">
        <v>49</v>
      </c>
      <c r="H311" s="28" t="s">
        <v>4681</v>
      </c>
      <c r="I311" s="27" t="s">
        <v>22</v>
      </c>
      <c r="J311" s="31" t="s">
        <v>50</v>
      </c>
      <c r="K311" s="27" t="s">
        <v>132</v>
      </c>
      <c r="L311" s="27" t="s">
        <v>226</v>
      </c>
      <c r="M311" s="32"/>
    </row>
    <row r="312" spans="1:13" ht="15.2" customHeight="1" x14ac:dyDescent="0.2">
      <c r="A312" s="26" t="s">
        <v>2757</v>
      </c>
      <c r="B312" s="27" t="s">
        <v>2758</v>
      </c>
      <c r="C312" s="28">
        <v>1</v>
      </c>
      <c r="D312" s="29">
        <v>12.25</v>
      </c>
      <c r="E312" s="29">
        <v>12.25</v>
      </c>
      <c r="F312" s="30">
        <v>49</v>
      </c>
      <c r="G312" s="29">
        <v>49</v>
      </c>
      <c r="H312" s="28" t="s">
        <v>2759</v>
      </c>
      <c r="I312" s="27" t="s">
        <v>22</v>
      </c>
      <c r="J312" s="31" t="s">
        <v>30</v>
      </c>
      <c r="K312" s="27" t="s">
        <v>132</v>
      </c>
      <c r="L312" s="27" t="s">
        <v>226</v>
      </c>
      <c r="M312" s="32"/>
    </row>
    <row r="313" spans="1:13" ht="15.2" customHeight="1" x14ac:dyDescent="0.2">
      <c r="A313" s="26" t="s">
        <v>4685</v>
      </c>
      <c r="B313" s="27" t="s">
        <v>4686</v>
      </c>
      <c r="C313" s="28">
        <v>1</v>
      </c>
      <c r="D313" s="29">
        <v>12.25</v>
      </c>
      <c r="E313" s="29">
        <v>12.25</v>
      </c>
      <c r="F313" s="30">
        <v>49</v>
      </c>
      <c r="G313" s="29">
        <v>49</v>
      </c>
      <c r="H313" s="28" t="s">
        <v>2759</v>
      </c>
      <c r="I313" s="27" t="s">
        <v>22</v>
      </c>
      <c r="J313" s="31" t="s">
        <v>50</v>
      </c>
      <c r="K313" s="27" t="s">
        <v>132</v>
      </c>
      <c r="L313" s="27" t="s">
        <v>226</v>
      </c>
      <c r="M313" s="32"/>
    </row>
    <row r="314" spans="1:13" ht="15.2" customHeight="1" x14ac:dyDescent="0.2">
      <c r="A314" s="26" t="s">
        <v>2471</v>
      </c>
      <c r="B314" s="27" t="s">
        <v>2472</v>
      </c>
      <c r="C314" s="28">
        <v>1</v>
      </c>
      <c r="D314" s="29">
        <v>12.08</v>
      </c>
      <c r="E314" s="29">
        <v>12.08</v>
      </c>
      <c r="F314" s="30">
        <v>27.99</v>
      </c>
      <c r="G314" s="29">
        <v>27.99</v>
      </c>
      <c r="H314" s="28" t="s">
        <v>558</v>
      </c>
      <c r="I314" s="27" t="s">
        <v>4</v>
      </c>
      <c r="J314" s="31" t="s">
        <v>5</v>
      </c>
      <c r="K314" s="27" t="s">
        <v>224</v>
      </c>
      <c r="L314" s="27" t="s">
        <v>237</v>
      </c>
      <c r="M314" s="32"/>
    </row>
    <row r="315" spans="1:13" ht="15.2" customHeight="1" x14ac:dyDescent="0.2">
      <c r="A315" s="26" t="s">
        <v>556</v>
      </c>
      <c r="B315" s="27" t="s">
        <v>557</v>
      </c>
      <c r="C315" s="28">
        <v>1</v>
      </c>
      <c r="D315" s="29">
        <v>12.08</v>
      </c>
      <c r="E315" s="29">
        <v>12.08</v>
      </c>
      <c r="F315" s="30">
        <v>27.99</v>
      </c>
      <c r="G315" s="29">
        <v>27.99</v>
      </c>
      <c r="H315" s="28" t="s">
        <v>558</v>
      </c>
      <c r="I315" s="27" t="s">
        <v>4</v>
      </c>
      <c r="J315" s="31" t="s">
        <v>52</v>
      </c>
      <c r="K315" s="27" t="s">
        <v>224</v>
      </c>
      <c r="L315" s="27" t="s">
        <v>237</v>
      </c>
      <c r="M315" s="32"/>
    </row>
    <row r="316" spans="1:13" ht="15.2" customHeight="1" x14ac:dyDescent="0.2">
      <c r="A316" s="26" t="s">
        <v>6078</v>
      </c>
      <c r="B316" s="27" t="s">
        <v>6079</v>
      </c>
      <c r="C316" s="28">
        <v>1</v>
      </c>
      <c r="D316" s="29">
        <v>12</v>
      </c>
      <c r="E316" s="29">
        <v>12</v>
      </c>
      <c r="F316" s="30">
        <v>39</v>
      </c>
      <c r="G316" s="29">
        <v>39</v>
      </c>
      <c r="H316" s="28">
        <v>90306</v>
      </c>
      <c r="I316" s="27" t="s">
        <v>82</v>
      </c>
      <c r="J316" s="31" t="s">
        <v>52</v>
      </c>
      <c r="K316" s="27" t="s">
        <v>154</v>
      </c>
      <c r="L316" s="27" t="s">
        <v>155</v>
      </c>
      <c r="M316" s="32"/>
    </row>
    <row r="317" spans="1:13" ht="15.2" customHeight="1" x14ac:dyDescent="0.2">
      <c r="A317" s="26" t="s">
        <v>6697</v>
      </c>
      <c r="B317" s="27" t="s">
        <v>6698</v>
      </c>
      <c r="C317" s="28">
        <v>1</v>
      </c>
      <c r="D317" s="29">
        <v>12</v>
      </c>
      <c r="E317" s="29">
        <v>12</v>
      </c>
      <c r="F317" s="30">
        <v>39</v>
      </c>
      <c r="G317" s="29">
        <v>39</v>
      </c>
      <c r="H317" s="28" t="s">
        <v>6106</v>
      </c>
      <c r="I317" s="27" t="s">
        <v>4</v>
      </c>
      <c r="J317" s="31" t="s">
        <v>21</v>
      </c>
      <c r="K317" s="27" t="s">
        <v>154</v>
      </c>
      <c r="L317" s="27" t="s">
        <v>155</v>
      </c>
      <c r="M317" s="32"/>
    </row>
    <row r="318" spans="1:13" ht="15.2" customHeight="1" x14ac:dyDescent="0.2">
      <c r="A318" s="26" t="s">
        <v>2760</v>
      </c>
      <c r="B318" s="27" t="s">
        <v>2761</v>
      </c>
      <c r="C318" s="28">
        <v>1</v>
      </c>
      <c r="D318" s="29">
        <v>12</v>
      </c>
      <c r="E318" s="29">
        <v>12</v>
      </c>
      <c r="F318" s="30">
        <v>39</v>
      </c>
      <c r="G318" s="29">
        <v>39</v>
      </c>
      <c r="H318" s="28">
        <v>90306</v>
      </c>
      <c r="I318" s="27" t="s">
        <v>82</v>
      </c>
      <c r="J318" s="31" t="s">
        <v>21</v>
      </c>
      <c r="K318" s="27" t="s">
        <v>154</v>
      </c>
      <c r="L318" s="27" t="s">
        <v>155</v>
      </c>
      <c r="M318" s="32"/>
    </row>
    <row r="319" spans="1:13" ht="15.2" customHeight="1" x14ac:dyDescent="0.2">
      <c r="A319" s="26" t="s">
        <v>6699</v>
      </c>
      <c r="B319" s="27" t="s">
        <v>6700</v>
      </c>
      <c r="C319" s="28">
        <v>1</v>
      </c>
      <c r="D319" s="29">
        <v>11.95</v>
      </c>
      <c r="E319" s="29">
        <v>11.95</v>
      </c>
      <c r="F319" s="30">
        <v>24.99</v>
      </c>
      <c r="G319" s="29">
        <v>24.99</v>
      </c>
      <c r="H319" s="28">
        <v>49026</v>
      </c>
      <c r="I319" s="27" t="s">
        <v>152</v>
      </c>
      <c r="J319" s="31" t="s">
        <v>40</v>
      </c>
      <c r="K319" s="27" t="s">
        <v>196</v>
      </c>
      <c r="L319" s="27" t="s">
        <v>1808</v>
      </c>
      <c r="M319" s="32"/>
    </row>
    <row r="320" spans="1:13" ht="15.2" customHeight="1" x14ac:dyDescent="0.2">
      <c r="A320" s="26" t="s">
        <v>6701</v>
      </c>
      <c r="B320" s="27" t="s">
        <v>6702</v>
      </c>
      <c r="C320" s="28">
        <v>1</v>
      </c>
      <c r="D320" s="29">
        <v>11.5</v>
      </c>
      <c r="E320" s="29">
        <v>11.5</v>
      </c>
      <c r="F320" s="30">
        <v>39</v>
      </c>
      <c r="G320" s="29">
        <v>39</v>
      </c>
      <c r="H320" s="28" t="s">
        <v>6703</v>
      </c>
      <c r="I320" s="27"/>
      <c r="J320" s="31" t="s">
        <v>5</v>
      </c>
      <c r="K320" s="27" t="s">
        <v>154</v>
      </c>
      <c r="L320" s="27" t="s">
        <v>155</v>
      </c>
      <c r="M320" s="32"/>
    </row>
    <row r="321" spans="1:13" ht="15.2" customHeight="1" x14ac:dyDescent="0.2">
      <c r="A321" s="26" t="s">
        <v>6704</v>
      </c>
      <c r="B321" s="27" t="s">
        <v>6705</v>
      </c>
      <c r="C321" s="28">
        <v>1</v>
      </c>
      <c r="D321" s="29">
        <v>11.5</v>
      </c>
      <c r="E321" s="29">
        <v>11.5</v>
      </c>
      <c r="F321" s="30">
        <v>29.5</v>
      </c>
      <c r="G321" s="29">
        <v>29.5</v>
      </c>
      <c r="H321" s="28" t="s">
        <v>6706</v>
      </c>
      <c r="I321" s="27" t="s">
        <v>1472</v>
      </c>
      <c r="J321" s="31" t="s">
        <v>113</v>
      </c>
      <c r="K321" s="27" t="s">
        <v>200</v>
      </c>
      <c r="L321" s="27" t="s">
        <v>133</v>
      </c>
      <c r="M321" s="32"/>
    </row>
    <row r="322" spans="1:13" ht="15.2" customHeight="1" x14ac:dyDescent="0.2">
      <c r="A322" s="26" t="s">
        <v>6707</v>
      </c>
      <c r="B322" s="27" t="s">
        <v>6708</v>
      </c>
      <c r="C322" s="28">
        <v>1</v>
      </c>
      <c r="D322" s="29">
        <v>11.5</v>
      </c>
      <c r="E322" s="29">
        <v>11.5</v>
      </c>
      <c r="F322" s="30">
        <v>25.99</v>
      </c>
      <c r="G322" s="29">
        <v>25.99</v>
      </c>
      <c r="H322" s="28" t="s">
        <v>229</v>
      </c>
      <c r="I322" s="27" t="s">
        <v>343</v>
      </c>
      <c r="J322" s="31" t="s">
        <v>230</v>
      </c>
      <c r="K322" s="27" t="s">
        <v>200</v>
      </c>
      <c r="L322" s="27" t="s">
        <v>133</v>
      </c>
      <c r="M322" s="32"/>
    </row>
    <row r="323" spans="1:13" ht="15.2" customHeight="1" x14ac:dyDescent="0.2">
      <c r="A323" s="26" t="s">
        <v>6709</v>
      </c>
      <c r="B323" s="27" t="s">
        <v>6710</v>
      </c>
      <c r="C323" s="28">
        <v>1</v>
      </c>
      <c r="D323" s="29">
        <v>11.5</v>
      </c>
      <c r="E323" s="29">
        <v>11.5</v>
      </c>
      <c r="F323" s="30">
        <v>39</v>
      </c>
      <c r="G323" s="29">
        <v>39</v>
      </c>
      <c r="H323" s="28" t="s">
        <v>4099</v>
      </c>
      <c r="I323" s="27"/>
      <c r="J323" s="31" t="s">
        <v>21</v>
      </c>
      <c r="K323" s="27" t="s">
        <v>154</v>
      </c>
      <c r="L323" s="27" t="s">
        <v>155</v>
      </c>
      <c r="M323" s="32"/>
    </row>
    <row r="324" spans="1:13" ht="15.2" customHeight="1" x14ac:dyDescent="0.2">
      <c r="A324" s="26" t="s">
        <v>560</v>
      </c>
      <c r="B324" s="27" t="s">
        <v>561</v>
      </c>
      <c r="C324" s="28">
        <v>1</v>
      </c>
      <c r="D324" s="29">
        <v>11</v>
      </c>
      <c r="E324" s="29">
        <v>11</v>
      </c>
      <c r="F324" s="30">
        <v>27.99</v>
      </c>
      <c r="G324" s="29">
        <v>27.99</v>
      </c>
      <c r="H324" s="28" t="s">
        <v>562</v>
      </c>
      <c r="I324" s="27" t="s">
        <v>189</v>
      </c>
      <c r="J324" s="31" t="s">
        <v>52</v>
      </c>
      <c r="K324" s="27" t="s">
        <v>224</v>
      </c>
      <c r="L324" s="27" t="s">
        <v>563</v>
      </c>
      <c r="M324" s="32"/>
    </row>
    <row r="325" spans="1:13" ht="15.2" customHeight="1" x14ac:dyDescent="0.2">
      <c r="A325" s="26" t="s">
        <v>2764</v>
      </c>
      <c r="B325" s="27" t="s">
        <v>2765</v>
      </c>
      <c r="C325" s="28">
        <v>2</v>
      </c>
      <c r="D325" s="29">
        <v>11</v>
      </c>
      <c r="E325" s="29">
        <v>22</v>
      </c>
      <c r="F325" s="30">
        <v>27.99</v>
      </c>
      <c r="G325" s="29">
        <v>55.98</v>
      </c>
      <c r="H325" s="28" t="s">
        <v>562</v>
      </c>
      <c r="I325" s="27" t="s">
        <v>285</v>
      </c>
      <c r="J325" s="31" t="s">
        <v>52</v>
      </c>
      <c r="K325" s="27" t="s">
        <v>224</v>
      </c>
      <c r="L325" s="27" t="s">
        <v>563</v>
      </c>
      <c r="M325" s="32"/>
    </row>
    <row r="326" spans="1:13" ht="15.2" customHeight="1" x14ac:dyDescent="0.2">
      <c r="A326" s="26" t="s">
        <v>4532</v>
      </c>
      <c r="B326" s="27" t="s">
        <v>4533</v>
      </c>
      <c r="C326" s="28">
        <v>5</v>
      </c>
      <c r="D326" s="29">
        <v>11</v>
      </c>
      <c r="E326" s="29">
        <v>55</v>
      </c>
      <c r="F326" s="30">
        <v>27.99</v>
      </c>
      <c r="G326" s="29">
        <v>139.94999999999999</v>
      </c>
      <c r="H326" s="28" t="s">
        <v>562</v>
      </c>
      <c r="I326" s="27" t="s">
        <v>10</v>
      </c>
      <c r="J326" s="31" t="s">
        <v>21</v>
      </c>
      <c r="K326" s="27" t="s">
        <v>224</v>
      </c>
      <c r="L326" s="27" t="s">
        <v>563</v>
      </c>
      <c r="M326" s="32"/>
    </row>
    <row r="327" spans="1:13" ht="15.2" customHeight="1" x14ac:dyDescent="0.2">
      <c r="A327" s="26" t="s">
        <v>6711</v>
      </c>
      <c r="B327" s="27" t="s">
        <v>6712</v>
      </c>
      <c r="C327" s="28">
        <v>1</v>
      </c>
      <c r="D327" s="29">
        <v>11</v>
      </c>
      <c r="E327" s="29">
        <v>11</v>
      </c>
      <c r="F327" s="30">
        <v>27.99</v>
      </c>
      <c r="G327" s="29">
        <v>27.99</v>
      </c>
      <c r="H327" s="28" t="s">
        <v>2023</v>
      </c>
      <c r="I327" s="27" t="s">
        <v>66</v>
      </c>
      <c r="J327" s="31" t="s">
        <v>21</v>
      </c>
      <c r="K327" s="27" t="s">
        <v>224</v>
      </c>
      <c r="L327" s="27" t="s">
        <v>254</v>
      </c>
      <c r="M327" s="32"/>
    </row>
    <row r="328" spans="1:13" ht="15.2" customHeight="1" x14ac:dyDescent="0.2">
      <c r="A328" s="26" t="s">
        <v>6713</v>
      </c>
      <c r="B328" s="27" t="s">
        <v>6714</v>
      </c>
      <c r="C328" s="28">
        <v>1</v>
      </c>
      <c r="D328" s="29">
        <v>11</v>
      </c>
      <c r="E328" s="29">
        <v>11</v>
      </c>
      <c r="F328" s="30">
        <v>27.99</v>
      </c>
      <c r="G328" s="29">
        <v>27.99</v>
      </c>
      <c r="H328" s="28" t="s">
        <v>2478</v>
      </c>
      <c r="I328" s="27" t="s">
        <v>33</v>
      </c>
      <c r="J328" s="31" t="s">
        <v>52</v>
      </c>
      <c r="K328" s="27" t="s">
        <v>224</v>
      </c>
      <c r="L328" s="27" t="s">
        <v>254</v>
      </c>
      <c r="M328" s="32"/>
    </row>
    <row r="329" spans="1:13" ht="15.2" customHeight="1" x14ac:dyDescent="0.2">
      <c r="A329" s="26" t="s">
        <v>4394</v>
      </c>
      <c r="B329" s="27" t="s">
        <v>4395</v>
      </c>
      <c r="C329" s="28">
        <v>1</v>
      </c>
      <c r="D329" s="29">
        <v>11</v>
      </c>
      <c r="E329" s="29">
        <v>11</v>
      </c>
      <c r="F329" s="30">
        <v>27.99</v>
      </c>
      <c r="G329" s="29">
        <v>27.99</v>
      </c>
      <c r="H329" s="28" t="s">
        <v>562</v>
      </c>
      <c r="I329" s="27" t="s">
        <v>468</v>
      </c>
      <c r="J329" s="31" t="s">
        <v>52</v>
      </c>
      <c r="K329" s="27" t="s">
        <v>224</v>
      </c>
      <c r="L329" s="27" t="s">
        <v>563</v>
      </c>
      <c r="M329" s="32"/>
    </row>
    <row r="330" spans="1:13" ht="15.2" customHeight="1" x14ac:dyDescent="0.2">
      <c r="A330" s="26" t="s">
        <v>1649</v>
      </c>
      <c r="B330" s="27" t="s">
        <v>1650</v>
      </c>
      <c r="C330" s="28">
        <v>3</v>
      </c>
      <c r="D330" s="29">
        <v>11</v>
      </c>
      <c r="E330" s="29">
        <v>33</v>
      </c>
      <c r="F330" s="30">
        <v>27.99</v>
      </c>
      <c r="G330" s="29">
        <v>83.97</v>
      </c>
      <c r="H330" s="28" t="s">
        <v>562</v>
      </c>
      <c r="I330" s="27" t="s">
        <v>10</v>
      </c>
      <c r="J330" s="31" t="s">
        <v>52</v>
      </c>
      <c r="K330" s="27" t="s">
        <v>224</v>
      </c>
      <c r="L330" s="27" t="s">
        <v>563</v>
      </c>
      <c r="M330" s="32"/>
    </row>
    <row r="331" spans="1:13" ht="15.2" customHeight="1" x14ac:dyDescent="0.2">
      <c r="A331" s="26" t="s">
        <v>4689</v>
      </c>
      <c r="B331" s="27" t="s">
        <v>4690</v>
      </c>
      <c r="C331" s="28">
        <v>1</v>
      </c>
      <c r="D331" s="29">
        <v>11</v>
      </c>
      <c r="E331" s="29">
        <v>11</v>
      </c>
      <c r="F331" s="30">
        <v>27.99</v>
      </c>
      <c r="G331" s="29">
        <v>27.99</v>
      </c>
      <c r="H331" s="28" t="s">
        <v>562</v>
      </c>
      <c r="I331" s="27" t="s">
        <v>285</v>
      </c>
      <c r="J331" s="31" t="s">
        <v>21</v>
      </c>
      <c r="K331" s="27" t="s">
        <v>224</v>
      </c>
      <c r="L331" s="27" t="s">
        <v>563</v>
      </c>
      <c r="M331" s="32"/>
    </row>
    <row r="332" spans="1:13" ht="15.2" customHeight="1" x14ac:dyDescent="0.2">
      <c r="A332" s="26" t="s">
        <v>1036</v>
      </c>
      <c r="B332" s="27" t="s">
        <v>1037</v>
      </c>
      <c r="C332" s="28">
        <v>1</v>
      </c>
      <c r="D332" s="29">
        <v>11</v>
      </c>
      <c r="E332" s="29">
        <v>11</v>
      </c>
      <c r="F332" s="30">
        <v>27.99</v>
      </c>
      <c r="G332" s="29">
        <v>27.99</v>
      </c>
      <c r="H332" s="28" t="s">
        <v>1035</v>
      </c>
      <c r="I332" s="27" t="s">
        <v>59</v>
      </c>
      <c r="J332" s="31" t="s">
        <v>21</v>
      </c>
      <c r="K332" s="27" t="s">
        <v>224</v>
      </c>
      <c r="L332" s="27" t="s">
        <v>254</v>
      </c>
      <c r="M332" s="32"/>
    </row>
    <row r="333" spans="1:13" ht="15.2" customHeight="1" x14ac:dyDescent="0.2">
      <c r="A333" s="26" t="s">
        <v>564</v>
      </c>
      <c r="B333" s="27" t="s">
        <v>565</v>
      </c>
      <c r="C333" s="28">
        <v>2</v>
      </c>
      <c r="D333" s="29">
        <v>10.87</v>
      </c>
      <c r="E333" s="29">
        <v>21.74</v>
      </c>
      <c r="F333" s="30">
        <v>29.5</v>
      </c>
      <c r="G333" s="29">
        <v>59</v>
      </c>
      <c r="H333" s="28" t="s">
        <v>566</v>
      </c>
      <c r="I333" s="27" t="s">
        <v>82</v>
      </c>
      <c r="J333" s="31" t="s">
        <v>5</v>
      </c>
      <c r="K333" s="27" t="s">
        <v>41</v>
      </c>
      <c r="L333" s="27" t="s">
        <v>45</v>
      </c>
      <c r="M333" s="32"/>
    </row>
    <row r="334" spans="1:13" ht="15.2" customHeight="1" x14ac:dyDescent="0.2">
      <c r="A334" s="26" t="s">
        <v>5565</v>
      </c>
      <c r="B334" s="27" t="s">
        <v>4256</v>
      </c>
      <c r="C334" s="28">
        <v>1</v>
      </c>
      <c r="D334" s="29">
        <v>10.77</v>
      </c>
      <c r="E334" s="29">
        <v>10.77</v>
      </c>
      <c r="F334" s="30">
        <v>29.5</v>
      </c>
      <c r="G334" s="29">
        <v>29.5</v>
      </c>
      <c r="H334" s="28" t="s">
        <v>4257</v>
      </c>
      <c r="I334" s="27" t="s">
        <v>33</v>
      </c>
      <c r="J334" s="31" t="s">
        <v>71</v>
      </c>
      <c r="K334" s="27" t="s">
        <v>41</v>
      </c>
      <c r="L334" s="27" t="s">
        <v>80</v>
      </c>
      <c r="M334" s="32"/>
    </row>
    <row r="335" spans="1:13" ht="15.2" customHeight="1" x14ac:dyDescent="0.2">
      <c r="A335" s="26" t="s">
        <v>3610</v>
      </c>
      <c r="B335" s="27" t="s">
        <v>1652</v>
      </c>
      <c r="C335" s="28">
        <v>3</v>
      </c>
      <c r="D335" s="29">
        <v>10.77</v>
      </c>
      <c r="E335" s="29">
        <v>32.31</v>
      </c>
      <c r="F335" s="30">
        <v>29.5</v>
      </c>
      <c r="G335" s="29">
        <v>88.5</v>
      </c>
      <c r="H335" s="28" t="s">
        <v>1653</v>
      </c>
      <c r="I335" s="27" t="s">
        <v>10</v>
      </c>
      <c r="J335" s="31" t="s">
        <v>40</v>
      </c>
      <c r="K335" s="27" t="s">
        <v>41</v>
      </c>
      <c r="L335" s="27" t="s">
        <v>45</v>
      </c>
      <c r="M335" s="32"/>
    </row>
    <row r="336" spans="1:13" ht="15.2" customHeight="1" x14ac:dyDescent="0.2">
      <c r="A336" s="26" t="s">
        <v>4255</v>
      </c>
      <c r="B336" s="27" t="s">
        <v>4256</v>
      </c>
      <c r="C336" s="28">
        <v>1</v>
      </c>
      <c r="D336" s="29">
        <v>10.77</v>
      </c>
      <c r="E336" s="29">
        <v>10.77</v>
      </c>
      <c r="F336" s="30">
        <v>29.5</v>
      </c>
      <c r="G336" s="29">
        <v>29.5</v>
      </c>
      <c r="H336" s="28" t="s">
        <v>4257</v>
      </c>
      <c r="I336" s="27" t="s">
        <v>33</v>
      </c>
      <c r="J336" s="31" t="s">
        <v>40</v>
      </c>
      <c r="K336" s="27" t="s">
        <v>41</v>
      </c>
      <c r="L336" s="27" t="s">
        <v>80</v>
      </c>
      <c r="M336" s="32"/>
    </row>
    <row r="337" spans="1:13" ht="15.2" customHeight="1" x14ac:dyDescent="0.2">
      <c r="A337" s="26" t="s">
        <v>2483</v>
      </c>
      <c r="B337" s="27" t="s">
        <v>2484</v>
      </c>
      <c r="C337" s="28">
        <v>1</v>
      </c>
      <c r="D337" s="29">
        <v>10.7</v>
      </c>
      <c r="E337" s="29">
        <v>10.7</v>
      </c>
      <c r="F337" s="30">
        <v>24.99</v>
      </c>
      <c r="G337" s="29">
        <v>24.99</v>
      </c>
      <c r="H337" s="28" t="s">
        <v>2485</v>
      </c>
      <c r="I337" s="27" t="s">
        <v>1</v>
      </c>
      <c r="J337" s="31" t="s">
        <v>71</v>
      </c>
      <c r="K337" s="27" t="s">
        <v>208</v>
      </c>
      <c r="L337" s="27" t="s">
        <v>197</v>
      </c>
      <c r="M337" s="32"/>
    </row>
    <row r="338" spans="1:13" ht="15.2" customHeight="1" x14ac:dyDescent="0.2">
      <c r="A338" s="26" t="s">
        <v>5308</v>
      </c>
      <c r="B338" s="27" t="s">
        <v>5309</v>
      </c>
      <c r="C338" s="28">
        <v>1</v>
      </c>
      <c r="D338" s="29">
        <v>10.6</v>
      </c>
      <c r="E338" s="29">
        <v>10.6</v>
      </c>
      <c r="F338" s="30">
        <v>24.99</v>
      </c>
      <c r="G338" s="29">
        <v>24.99</v>
      </c>
      <c r="H338" s="28" t="s">
        <v>567</v>
      </c>
      <c r="I338" s="27" t="s">
        <v>4</v>
      </c>
      <c r="J338" s="31" t="s">
        <v>5</v>
      </c>
      <c r="K338" s="27" t="s">
        <v>208</v>
      </c>
      <c r="L338" s="27" t="s">
        <v>197</v>
      </c>
      <c r="M338" s="32"/>
    </row>
    <row r="339" spans="1:13" ht="15.2" customHeight="1" x14ac:dyDescent="0.2">
      <c r="A339" s="26" t="s">
        <v>571</v>
      </c>
      <c r="B339" s="27" t="s">
        <v>572</v>
      </c>
      <c r="C339" s="28">
        <v>2</v>
      </c>
      <c r="D339" s="29">
        <v>10.5</v>
      </c>
      <c r="E339" s="29">
        <v>21</v>
      </c>
      <c r="F339" s="30">
        <v>24.99</v>
      </c>
      <c r="G339" s="29">
        <v>49.98</v>
      </c>
      <c r="H339" s="28" t="s">
        <v>573</v>
      </c>
      <c r="I339" s="27" t="s">
        <v>36</v>
      </c>
      <c r="J339" s="31" t="s">
        <v>21</v>
      </c>
      <c r="K339" s="27" t="s">
        <v>159</v>
      </c>
      <c r="L339" s="27" t="s">
        <v>160</v>
      </c>
      <c r="M339" s="32"/>
    </row>
    <row r="340" spans="1:13" ht="15.2" customHeight="1" x14ac:dyDescent="0.2">
      <c r="A340" s="26" t="s">
        <v>1044</v>
      </c>
      <c r="B340" s="27" t="s">
        <v>1045</v>
      </c>
      <c r="C340" s="28">
        <v>3</v>
      </c>
      <c r="D340" s="29">
        <v>10.5</v>
      </c>
      <c r="E340" s="29">
        <v>31.5</v>
      </c>
      <c r="F340" s="30">
        <v>24.99</v>
      </c>
      <c r="G340" s="29">
        <v>74.97</v>
      </c>
      <c r="H340" s="28" t="s">
        <v>1043</v>
      </c>
      <c r="I340" s="27" t="s">
        <v>238</v>
      </c>
      <c r="J340" s="31" t="s">
        <v>21</v>
      </c>
      <c r="K340" s="27" t="s">
        <v>224</v>
      </c>
      <c r="L340" s="27" t="s">
        <v>239</v>
      </c>
      <c r="M340" s="32"/>
    </row>
    <row r="341" spans="1:13" ht="15.2" customHeight="1" x14ac:dyDescent="0.2">
      <c r="A341" s="26" t="s">
        <v>6715</v>
      </c>
      <c r="B341" s="27" t="s">
        <v>6716</v>
      </c>
      <c r="C341" s="28">
        <v>1</v>
      </c>
      <c r="D341" s="29">
        <v>10.5</v>
      </c>
      <c r="E341" s="29">
        <v>10.5</v>
      </c>
      <c r="F341" s="30">
        <v>24.99</v>
      </c>
      <c r="G341" s="29">
        <v>24.99</v>
      </c>
      <c r="H341" s="28" t="s">
        <v>1043</v>
      </c>
      <c r="I341" s="27" t="s">
        <v>10</v>
      </c>
      <c r="J341" s="31" t="s">
        <v>40</v>
      </c>
      <c r="K341" s="27" t="s">
        <v>224</v>
      </c>
      <c r="L341" s="27" t="s">
        <v>239</v>
      </c>
      <c r="M341" s="32"/>
    </row>
    <row r="342" spans="1:13" ht="15.2" customHeight="1" x14ac:dyDescent="0.2">
      <c r="A342" s="26" t="s">
        <v>5566</v>
      </c>
      <c r="B342" s="27" t="s">
        <v>5567</v>
      </c>
      <c r="C342" s="28">
        <v>1</v>
      </c>
      <c r="D342" s="29">
        <v>10.15</v>
      </c>
      <c r="E342" s="29">
        <v>10.15</v>
      </c>
      <c r="F342" s="30">
        <v>49</v>
      </c>
      <c r="G342" s="29">
        <v>49</v>
      </c>
      <c r="H342" s="28" t="s">
        <v>4880</v>
      </c>
      <c r="I342" s="27" t="s">
        <v>4</v>
      </c>
      <c r="J342" s="31" t="s">
        <v>50</v>
      </c>
      <c r="K342" s="27" t="s">
        <v>132</v>
      </c>
      <c r="L342" s="27" t="s">
        <v>514</v>
      </c>
      <c r="M342" s="32"/>
    </row>
    <row r="343" spans="1:13" ht="15.2" customHeight="1" x14ac:dyDescent="0.2">
      <c r="A343" s="26" t="s">
        <v>2773</v>
      </c>
      <c r="B343" s="27" t="s">
        <v>2774</v>
      </c>
      <c r="C343" s="28">
        <v>2</v>
      </c>
      <c r="D343" s="29">
        <v>10</v>
      </c>
      <c r="E343" s="29">
        <v>20</v>
      </c>
      <c r="F343" s="30">
        <v>24.99</v>
      </c>
      <c r="G343" s="29">
        <v>49.98</v>
      </c>
      <c r="H343" s="28" t="s">
        <v>2499</v>
      </c>
      <c r="I343" s="27" t="s">
        <v>271</v>
      </c>
      <c r="J343" s="31" t="s">
        <v>40</v>
      </c>
      <c r="K343" s="27" t="s">
        <v>224</v>
      </c>
      <c r="L343" s="27" t="s">
        <v>197</v>
      </c>
      <c r="M343" s="32"/>
    </row>
    <row r="344" spans="1:13" ht="15.2" customHeight="1" x14ac:dyDescent="0.2">
      <c r="A344" s="26" t="s">
        <v>3081</v>
      </c>
      <c r="B344" s="27" t="s">
        <v>3082</v>
      </c>
      <c r="C344" s="28">
        <v>1</v>
      </c>
      <c r="D344" s="29">
        <v>10</v>
      </c>
      <c r="E344" s="29">
        <v>10</v>
      </c>
      <c r="F344" s="30">
        <v>24.99</v>
      </c>
      <c r="G344" s="29">
        <v>24.99</v>
      </c>
      <c r="H344" s="28" t="s">
        <v>2499</v>
      </c>
      <c r="I344" s="27" t="s">
        <v>146</v>
      </c>
      <c r="J344" s="31" t="s">
        <v>40</v>
      </c>
      <c r="K344" s="27" t="s">
        <v>224</v>
      </c>
      <c r="L344" s="27" t="s">
        <v>197</v>
      </c>
      <c r="M344" s="32"/>
    </row>
    <row r="345" spans="1:13" ht="15.2" customHeight="1" x14ac:dyDescent="0.2">
      <c r="A345" s="26" t="s">
        <v>5880</v>
      </c>
      <c r="B345" s="27" t="s">
        <v>5881</v>
      </c>
      <c r="C345" s="28">
        <v>1</v>
      </c>
      <c r="D345" s="29">
        <v>10</v>
      </c>
      <c r="E345" s="29">
        <v>10</v>
      </c>
      <c r="F345" s="30">
        <v>24.99</v>
      </c>
      <c r="G345" s="29">
        <v>24.99</v>
      </c>
      <c r="H345" s="28" t="s">
        <v>1048</v>
      </c>
      <c r="I345" s="27" t="s">
        <v>291</v>
      </c>
      <c r="J345" s="31" t="s">
        <v>21</v>
      </c>
      <c r="K345" s="27" t="s">
        <v>196</v>
      </c>
      <c r="L345" s="27" t="s">
        <v>336</v>
      </c>
      <c r="M345" s="32"/>
    </row>
    <row r="346" spans="1:13" ht="15.2" customHeight="1" x14ac:dyDescent="0.2">
      <c r="A346" s="26" t="s">
        <v>2771</v>
      </c>
      <c r="B346" s="27" t="s">
        <v>2772</v>
      </c>
      <c r="C346" s="28">
        <v>1</v>
      </c>
      <c r="D346" s="29">
        <v>10</v>
      </c>
      <c r="E346" s="29">
        <v>10</v>
      </c>
      <c r="F346" s="30">
        <v>24.99</v>
      </c>
      <c r="G346" s="29">
        <v>24.99</v>
      </c>
      <c r="H346" s="28" t="s">
        <v>2499</v>
      </c>
      <c r="I346" s="27" t="s">
        <v>271</v>
      </c>
      <c r="J346" s="31" t="s">
        <v>21</v>
      </c>
      <c r="K346" s="27" t="s">
        <v>224</v>
      </c>
      <c r="L346" s="27" t="s">
        <v>197</v>
      </c>
      <c r="M346" s="32"/>
    </row>
    <row r="347" spans="1:13" ht="15.2" customHeight="1" x14ac:dyDescent="0.2">
      <c r="A347" s="26" t="s">
        <v>6717</v>
      </c>
      <c r="B347" s="27" t="s">
        <v>6718</v>
      </c>
      <c r="C347" s="28">
        <v>2</v>
      </c>
      <c r="D347" s="29">
        <v>10</v>
      </c>
      <c r="E347" s="29">
        <v>20</v>
      </c>
      <c r="F347" s="30">
        <v>24.99</v>
      </c>
      <c r="G347" s="29">
        <v>49.98</v>
      </c>
      <c r="H347" s="28" t="s">
        <v>2499</v>
      </c>
      <c r="I347" s="27" t="s">
        <v>280</v>
      </c>
      <c r="J347" s="31" t="s">
        <v>21</v>
      </c>
      <c r="K347" s="27" t="s">
        <v>224</v>
      </c>
      <c r="L347" s="27" t="s">
        <v>197</v>
      </c>
      <c r="M347" s="32"/>
    </row>
    <row r="348" spans="1:13" ht="15.2" customHeight="1" x14ac:dyDescent="0.2">
      <c r="A348" s="26" t="s">
        <v>6349</v>
      </c>
      <c r="B348" s="27" t="s">
        <v>6350</v>
      </c>
      <c r="C348" s="28">
        <v>1</v>
      </c>
      <c r="D348" s="29">
        <v>10</v>
      </c>
      <c r="E348" s="29">
        <v>10</v>
      </c>
      <c r="F348" s="30">
        <v>24.99</v>
      </c>
      <c r="G348" s="29">
        <v>24.99</v>
      </c>
      <c r="H348" s="28" t="s">
        <v>2499</v>
      </c>
      <c r="I348" s="27" t="s">
        <v>146</v>
      </c>
      <c r="J348" s="31" t="s">
        <v>71</v>
      </c>
      <c r="K348" s="27" t="s">
        <v>224</v>
      </c>
      <c r="L348" s="27" t="s">
        <v>197</v>
      </c>
      <c r="M348" s="32"/>
    </row>
    <row r="349" spans="1:13" ht="15.2" customHeight="1" x14ac:dyDescent="0.2">
      <c r="A349" s="26" t="s">
        <v>4258</v>
      </c>
      <c r="B349" s="27" t="s">
        <v>4259</v>
      </c>
      <c r="C349" s="28">
        <v>1</v>
      </c>
      <c r="D349" s="29">
        <v>10</v>
      </c>
      <c r="E349" s="29">
        <v>10</v>
      </c>
      <c r="F349" s="30">
        <v>24.99</v>
      </c>
      <c r="G349" s="29">
        <v>24.99</v>
      </c>
      <c r="H349" s="28" t="s">
        <v>2499</v>
      </c>
      <c r="I349" s="27" t="s">
        <v>146</v>
      </c>
      <c r="J349" s="31" t="s">
        <v>21</v>
      </c>
      <c r="K349" s="27" t="s">
        <v>224</v>
      </c>
      <c r="L349" s="27" t="s">
        <v>197</v>
      </c>
      <c r="M349" s="32"/>
    </row>
    <row r="350" spans="1:13" ht="15.2" customHeight="1" x14ac:dyDescent="0.2">
      <c r="A350" s="26" t="s">
        <v>5885</v>
      </c>
      <c r="B350" s="27" t="s">
        <v>5886</v>
      </c>
      <c r="C350" s="28">
        <v>2</v>
      </c>
      <c r="D350" s="29">
        <v>10</v>
      </c>
      <c r="E350" s="29">
        <v>20</v>
      </c>
      <c r="F350" s="30">
        <v>24.99</v>
      </c>
      <c r="G350" s="29">
        <v>49.98</v>
      </c>
      <c r="H350" s="28" t="s">
        <v>2495</v>
      </c>
      <c r="I350" s="27" t="s">
        <v>333</v>
      </c>
      <c r="J350" s="31" t="s">
        <v>40</v>
      </c>
      <c r="K350" s="27" t="s">
        <v>196</v>
      </c>
      <c r="L350" s="27" t="s">
        <v>336</v>
      </c>
      <c r="M350" s="32"/>
    </row>
    <row r="351" spans="1:13" ht="15.2" customHeight="1" x14ac:dyDescent="0.2">
      <c r="A351" s="26" t="s">
        <v>3622</v>
      </c>
      <c r="B351" s="27" t="s">
        <v>3623</v>
      </c>
      <c r="C351" s="28">
        <v>1</v>
      </c>
      <c r="D351" s="29">
        <v>9.8000000000000007</v>
      </c>
      <c r="E351" s="29">
        <v>9.8000000000000007</v>
      </c>
      <c r="F351" s="30">
        <v>19.989999999999998</v>
      </c>
      <c r="G351" s="29">
        <v>19.989999999999998</v>
      </c>
      <c r="H351" s="28" t="s">
        <v>3624</v>
      </c>
      <c r="I351" s="27" t="s">
        <v>29</v>
      </c>
      <c r="J351" s="31" t="s">
        <v>40</v>
      </c>
      <c r="K351" s="27" t="s">
        <v>196</v>
      </c>
      <c r="L351" s="27" t="s">
        <v>225</v>
      </c>
      <c r="M351" s="32"/>
    </row>
    <row r="352" spans="1:13" ht="15.2" customHeight="1" x14ac:dyDescent="0.2">
      <c r="A352" s="26" t="s">
        <v>1052</v>
      </c>
      <c r="B352" s="27" t="s">
        <v>1053</v>
      </c>
      <c r="C352" s="28">
        <v>2</v>
      </c>
      <c r="D352" s="29">
        <v>9.8000000000000007</v>
      </c>
      <c r="E352" s="29">
        <v>19.600000000000001</v>
      </c>
      <c r="F352" s="30">
        <v>19.989999999999998</v>
      </c>
      <c r="G352" s="29">
        <v>39.979999999999997</v>
      </c>
      <c r="H352" s="28" t="s">
        <v>1054</v>
      </c>
      <c r="I352" s="27" t="s">
        <v>374</v>
      </c>
      <c r="J352" s="31" t="s">
        <v>21</v>
      </c>
      <c r="K352" s="27" t="s">
        <v>196</v>
      </c>
      <c r="L352" s="27" t="s">
        <v>225</v>
      </c>
      <c r="M352" s="32"/>
    </row>
    <row r="353" spans="1:13" ht="15.2" customHeight="1" x14ac:dyDescent="0.2">
      <c r="A353" s="26" t="s">
        <v>1049</v>
      </c>
      <c r="B353" s="27" t="s">
        <v>1050</v>
      </c>
      <c r="C353" s="28">
        <v>2</v>
      </c>
      <c r="D353" s="29">
        <v>9.8000000000000007</v>
      </c>
      <c r="E353" s="29">
        <v>19.600000000000001</v>
      </c>
      <c r="F353" s="30">
        <v>19.989999999999998</v>
      </c>
      <c r="G353" s="29">
        <v>39.979999999999997</v>
      </c>
      <c r="H353" s="28" t="s">
        <v>1051</v>
      </c>
      <c r="I353" s="27" t="s">
        <v>189</v>
      </c>
      <c r="J353" s="31" t="s">
        <v>21</v>
      </c>
      <c r="K353" s="27" t="s">
        <v>196</v>
      </c>
      <c r="L353" s="27" t="s">
        <v>225</v>
      </c>
      <c r="M353" s="32"/>
    </row>
    <row r="354" spans="1:13" ht="15.2" customHeight="1" x14ac:dyDescent="0.2">
      <c r="A354" s="26" t="s">
        <v>4396</v>
      </c>
      <c r="B354" s="27" t="s">
        <v>4397</v>
      </c>
      <c r="C354" s="28">
        <v>1</v>
      </c>
      <c r="D354" s="29">
        <v>9.8000000000000007</v>
      </c>
      <c r="E354" s="29">
        <v>9.8000000000000007</v>
      </c>
      <c r="F354" s="30">
        <v>19.989999999999998</v>
      </c>
      <c r="G354" s="29">
        <v>19.989999999999998</v>
      </c>
      <c r="H354" s="28" t="s">
        <v>1051</v>
      </c>
      <c r="I354" s="27" t="s">
        <v>189</v>
      </c>
      <c r="J354" s="31" t="s">
        <v>52</v>
      </c>
      <c r="K354" s="27" t="s">
        <v>196</v>
      </c>
      <c r="L354" s="27" t="s">
        <v>225</v>
      </c>
      <c r="M354" s="32"/>
    </row>
    <row r="355" spans="1:13" ht="15.2" customHeight="1" x14ac:dyDescent="0.2">
      <c r="A355" s="26" t="s">
        <v>3625</v>
      </c>
      <c r="B355" s="27" t="s">
        <v>3626</v>
      </c>
      <c r="C355" s="28">
        <v>1</v>
      </c>
      <c r="D355" s="29">
        <v>9.8000000000000007</v>
      </c>
      <c r="E355" s="29">
        <v>9.8000000000000007</v>
      </c>
      <c r="F355" s="30">
        <v>19.989999999999998</v>
      </c>
      <c r="G355" s="29">
        <v>19.989999999999998</v>
      </c>
      <c r="H355" s="28" t="s">
        <v>1657</v>
      </c>
      <c r="I355" s="27" t="s">
        <v>59</v>
      </c>
      <c r="J355" s="31" t="s">
        <v>21</v>
      </c>
      <c r="K355" s="27" t="s">
        <v>196</v>
      </c>
      <c r="L355" s="27" t="s">
        <v>225</v>
      </c>
      <c r="M355" s="32"/>
    </row>
    <row r="356" spans="1:13" ht="15.2" customHeight="1" x14ac:dyDescent="0.2">
      <c r="A356" s="26" t="s">
        <v>6719</v>
      </c>
      <c r="B356" s="27" t="s">
        <v>6720</v>
      </c>
      <c r="C356" s="28">
        <v>1</v>
      </c>
      <c r="D356" s="29">
        <v>9.8000000000000007</v>
      </c>
      <c r="E356" s="29">
        <v>9.8000000000000007</v>
      </c>
      <c r="F356" s="30">
        <v>19.989999999999998</v>
      </c>
      <c r="G356" s="29">
        <v>19.989999999999998</v>
      </c>
      <c r="H356" s="28" t="s">
        <v>5892</v>
      </c>
      <c r="I356" s="27" t="s">
        <v>189</v>
      </c>
      <c r="J356" s="31" t="s">
        <v>40</v>
      </c>
      <c r="K356" s="27" t="s">
        <v>196</v>
      </c>
      <c r="L356" s="27" t="s">
        <v>225</v>
      </c>
      <c r="M356" s="32"/>
    </row>
    <row r="357" spans="1:13" ht="15.2" customHeight="1" x14ac:dyDescent="0.2">
      <c r="A357" s="26" t="s">
        <v>6721</v>
      </c>
      <c r="B357" s="27" t="s">
        <v>6722</v>
      </c>
      <c r="C357" s="28">
        <v>1</v>
      </c>
      <c r="D357" s="29">
        <v>9.66</v>
      </c>
      <c r="E357" s="29">
        <v>9.66</v>
      </c>
      <c r="F357" s="30">
        <v>27.99</v>
      </c>
      <c r="G357" s="29">
        <v>27.99</v>
      </c>
      <c r="H357" s="28">
        <v>60446217</v>
      </c>
      <c r="I357" s="27" t="s">
        <v>4</v>
      </c>
      <c r="J357" s="31" t="s">
        <v>52</v>
      </c>
      <c r="K357" s="27" t="s">
        <v>224</v>
      </c>
      <c r="L357" s="27" t="s">
        <v>255</v>
      </c>
      <c r="M357" s="32"/>
    </row>
    <row r="358" spans="1:13" ht="15.2" customHeight="1" x14ac:dyDescent="0.2">
      <c r="A358" s="26" t="s">
        <v>2505</v>
      </c>
      <c r="B358" s="27" t="s">
        <v>2506</v>
      </c>
      <c r="C358" s="28">
        <v>1</v>
      </c>
      <c r="D358" s="29">
        <v>9.25</v>
      </c>
      <c r="E358" s="29">
        <v>9.25</v>
      </c>
      <c r="F358" s="30">
        <v>22.99</v>
      </c>
      <c r="G358" s="29">
        <v>22.99</v>
      </c>
      <c r="H358" s="28" t="s">
        <v>2034</v>
      </c>
      <c r="I358" s="27" t="s">
        <v>189</v>
      </c>
      <c r="J358" s="31" t="s">
        <v>21</v>
      </c>
      <c r="K358" s="27" t="s">
        <v>70</v>
      </c>
      <c r="L358" s="27" t="s">
        <v>260</v>
      </c>
      <c r="M358" s="32"/>
    </row>
    <row r="359" spans="1:13" ht="15.2" customHeight="1" x14ac:dyDescent="0.2">
      <c r="A359" s="26" t="s">
        <v>6723</v>
      </c>
      <c r="B359" s="27" t="s">
        <v>6724</v>
      </c>
      <c r="C359" s="28">
        <v>1</v>
      </c>
      <c r="D359" s="29">
        <v>9.25</v>
      </c>
      <c r="E359" s="29">
        <v>9.25</v>
      </c>
      <c r="F359" s="30">
        <v>19.989999999999998</v>
      </c>
      <c r="G359" s="29">
        <v>19.989999999999998</v>
      </c>
      <c r="H359" s="28">
        <v>60437287</v>
      </c>
      <c r="I359" s="27" t="s">
        <v>33</v>
      </c>
      <c r="J359" s="31" t="s">
        <v>40</v>
      </c>
      <c r="K359" s="27" t="s">
        <v>224</v>
      </c>
      <c r="L359" s="27" t="s">
        <v>255</v>
      </c>
      <c r="M359" s="32"/>
    </row>
    <row r="360" spans="1:13" ht="15.2" customHeight="1" x14ac:dyDescent="0.2">
      <c r="A360" s="26" t="s">
        <v>2043</v>
      </c>
      <c r="B360" s="27" t="s">
        <v>2041</v>
      </c>
      <c r="C360" s="28">
        <v>1</v>
      </c>
      <c r="D360" s="29">
        <v>9.24</v>
      </c>
      <c r="E360" s="29">
        <v>9.24</v>
      </c>
      <c r="F360" s="30">
        <v>21.99</v>
      </c>
      <c r="G360" s="29">
        <v>21.99</v>
      </c>
      <c r="H360" s="28" t="s">
        <v>2042</v>
      </c>
      <c r="I360" s="27" t="s">
        <v>64</v>
      </c>
      <c r="J360" s="31" t="s">
        <v>40</v>
      </c>
      <c r="K360" s="27" t="s">
        <v>159</v>
      </c>
      <c r="L360" s="27" t="s">
        <v>160</v>
      </c>
      <c r="M360" s="32"/>
    </row>
    <row r="361" spans="1:13" ht="15.2" customHeight="1" x14ac:dyDescent="0.2">
      <c r="A361" s="26" t="s">
        <v>5572</v>
      </c>
      <c r="B361" s="27" t="s">
        <v>2041</v>
      </c>
      <c r="C361" s="28">
        <v>1</v>
      </c>
      <c r="D361" s="29">
        <v>9.24</v>
      </c>
      <c r="E361" s="29">
        <v>9.24</v>
      </c>
      <c r="F361" s="30">
        <v>21.99</v>
      </c>
      <c r="G361" s="29">
        <v>21.99</v>
      </c>
      <c r="H361" s="28" t="s">
        <v>2042</v>
      </c>
      <c r="I361" s="27" t="s">
        <v>64</v>
      </c>
      <c r="J361" s="31" t="s">
        <v>52</v>
      </c>
      <c r="K361" s="27" t="s">
        <v>159</v>
      </c>
      <c r="L361" s="27" t="s">
        <v>160</v>
      </c>
      <c r="M361" s="32"/>
    </row>
    <row r="362" spans="1:13" ht="15.2" customHeight="1" x14ac:dyDescent="0.2">
      <c r="A362" s="26" t="s">
        <v>4270</v>
      </c>
      <c r="B362" s="27" t="s">
        <v>2041</v>
      </c>
      <c r="C362" s="28">
        <v>1</v>
      </c>
      <c r="D362" s="29">
        <v>9.24</v>
      </c>
      <c r="E362" s="29">
        <v>9.24</v>
      </c>
      <c r="F362" s="30">
        <v>21.99</v>
      </c>
      <c r="G362" s="29">
        <v>21.99</v>
      </c>
      <c r="H362" s="28" t="s">
        <v>2042</v>
      </c>
      <c r="I362" s="27" t="s">
        <v>64</v>
      </c>
      <c r="J362" s="31" t="s">
        <v>21</v>
      </c>
      <c r="K362" s="27" t="s">
        <v>159</v>
      </c>
      <c r="L362" s="27" t="s">
        <v>160</v>
      </c>
      <c r="M362" s="32"/>
    </row>
    <row r="363" spans="1:13" ht="15.2" customHeight="1" x14ac:dyDescent="0.2">
      <c r="A363" s="26" t="s">
        <v>6725</v>
      </c>
      <c r="B363" s="27" t="s">
        <v>6726</v>
      </c>
      <c r="C363" s="28">
        <v>1</v>
      </c>
      <c r="D363" s="29">
        <v>9.24</v>
      </c>
      <c r="E363" s="29">
        <v>9.24</v>
      </c>
      <c r="F363" s="30">
        <v>21.99</v>
      </c>
      <c r="G363" s="29">
        <v>21.99</v>
      </c>
      <c r="H363" s="28" t="s">
        <v>6727</v>
      </c>
      <c r="I363" s="27" t="s">
        <v>4</v>
      </c>
      <c r="J363" s="31" t="s">
        <v>40</v>
      </c>
      <c r="K363" s="27" t="s">
        <v>159</v>
      </c>
      <c r="L363" s="27" t="s">
        <v>160</v>
      </c>
      <c r="M363" s="32"/>
    </row>
    <row r="364" spans="1:13" ht="15.2" customHeight="1" x14ac:dyDescent="0.2">
      <c r="A364" s="26" t="s">
        <v>6728</v>
      </c>
      <c r="B364" s="27" t="s">
        <v>2038</v>
      </c>
      <c r="C364" s="28">
        <v>2</v>
      </c>
      <c r="D364" s="29">
        <v>9.24</v>
      </c>
      <c r="E364" s="29">
        <v>18.48</v>
      </c>
      <c r="F364" s="30">
        <v>21.99</v>
      </c>
      <c r="G364" s="29">
        <v>43.98</v>
      </c>
      <c r="H364" s="28" t="s">
        <v>2039</v>
      </c>
      <c r="I364" s="27" t="s">
        <v>4</v>
      </c>
      <c r="J364" s="31" t="s">
        <v>172</v>
      </c>
      <c r="K364" s="27" t="s">
        <v>159</v>
      </c>
      <c r="L364" s="27" t="s">
        <v>160</v>
      </c>
      <c r="M364" s="32"/>
    </row>
    <row r="365" spans="1:13" ht="15.2" customHeight="1" x14ac:dyDescent="0.2">
      <c r="A365" s="26" t="s">
        <v>4704</v>
      </c>
      <c r="B365" s="27" t="s">
        <v>4705</v>
      </c>
      <c r="C365" s="28">
        <v>1</v>
      </c>
      <c r="D365" s="29">
        <v>9.2200000000000006</v>
      </c>
      <c r="E365" s="29">
        <v>9.2200000000000006</v>
      </c>
      <c r="F365" s="30">
        <v>21.99</v>
      </c>
      <c r="G365" s="29">
        <v>21.99</v>
      </c>
      <c r="H365" s="28" t="s">
        <v>4706</v>
      </c>
      <c r="I365" s="27" t="s">
        <v>4</v>
      </c>
      <c r="J365" s="31" t="s">
        <v>5</v>
      </c>
      <c r="K365" s="27" t="s">
        <v>159</v>
      </c>
      <c r="L365" s="27" t="s">
        <v>160</v>
      </c>
      <c r="M365" s="32"/>
    </row>
    <row r="366" spans="1:13" ht="15.2" customHeight="1" x14ac:dyDescent="0.2">
      <c r="A366" s="26" t="s">
        <v>4794</v>
      </c>
      <c r="B366" s="27" t="s">
        <v>4795</v>
      </c>
      <c r="C366" s="28">
        <v>1</v>
      </c>
      <c r="D366" s="29">
        <v>9.2200000000000006</v>
      </c>
      <c r="E366" s="29">
        <v>9.2200000000000006</v>
      </c>
      <c r="F366" s="30">
        <v>21.99</v>
      </c>
      <c r="G366" s="29">
        <v>21.99</v>
      </c>
      <c r="H366" s="28" t="s">
        <v>4706</v>
      </c>
      <c r="I366" s="27" t="s">
        <v>4</v>
      </c>
      <c r="J366" s="31" t="s">
        <v>40</v>
      </c>
      <c r="K366" s="27" t="s">
        <v>159</v>
      </c>
      <c r="L366" s="27" t="s">
        <v>160</v>
      </c>
      <c r="M366" s="32"/>
    </row>
    <row r="367" spans="1:13" ht="15.2" customHeight="1" x14ac:dyDescent="0.2">
      <c r="A367" s="26" t="s">
        <v>6729</v>
      </c>
      <c r="B367" s="27" t="s">
        <v>2045</v>
      </c>
      <c r="C367" s="28">
        <v>1</v>
      </c>
      <c r="D367" s="29">
        <v>9.2200000000000006</v>
      </c>
      <c r="E367" s="29">
        <v>9.2200000000000006</v>
      </c>
      <c r="F367" s="30">
        <v>21.99</v>
      </c>
      <c r="G367" s="29">
        <v>21.99</v>
      </c>
      <c r="H367" s="28" t="s">
        <v>2046</v>
      </c>
      <c r="I367" s="27" t="s">
        <v>4</v>
      </c>
      <c r="J367" s="31" t="s">
        <v>65</v>
      </c>
      <c r="K367" s="27" t="s">
        <v>159</v>
      </c>
      <c r="L367" s="27" t="s">
        <v>160</v>
      </c>
      <c r="M367" s="32"/>
    </row>
    <row r="368" spans="1:13" ht="15.2" customHeight="1" x14ac:dyDescent="0.2">
      <c r="A368" s="26" t="s">
        <v>6730</v>
      </c>
      <c r="B368" s="27" t="s">
        <v>6731</v>
      </c>
      <c r="C368" s="28">
        <v>1</v>
      </c>
      <c r="D368" s="29">
        <v>9.2200000000000006</v>
      </c>
      <c r="E368" s="29">
        <v>9.2200000000000006</v>
      </c>
      <c r="F368" s="30">
        <v>21.99</v>
      </c>
      <c r="G368" s="29">
        <v>21.99</v>
      </c>
      <c r="H368" s="28" t="s">
        <v>2780</v>
      </c>
      <c r="I368" s="27" t="s">
        <v>4</v>
      </c>
      <c r="J368" s="31" t="s">
        <v>52</v>
      </c>
      <c r="K368" s="27" t="s">
        <v>159</v>
      </c>
      <c r="L368" s="27" t="s">
        <v>160</v>
      </c>
      <c r="M368" s="32"/>
    </row>
    <row r="369" spans="1:13" ht="15.2" customHeight="1" x14ac:dyDescent="0.2">
      <c r="A369" s="26" t="s">
        <v>2783</v>
      </c>
      <c r="B369" s="27" t="s">
        <v>2784</v>
      </c>
      <c r="C369" s="28">
        <v>1</v>
      </c>
      <c r="D369" s="29">
        <v>9.2200000000000006</v>
      </c>
      <c r="E369" s="29">
        <v>9.2200000000000006</v>
      </c>
      <c r="F369" s="30">
        <v>21.99</v>
      </c>
      <c r="G369" s="29">
        <v>21.99</v>
      </c>
      <c r="H369" s="28" t="s">
        <v>2780</v>
      </c>
      <c r="I369" s="27" t="s">
        <v>4</v>
      </c>
      <c r="J369" s="31" t="s">
        <v>65</v>
      </c>
      <c r="K369" s="27" t="s">
        <v>159</v>
      </c>
      <c r="L369" s="27" t="s">
        <v>160</v>
      </c>
      <c r="M369" s="32"/>
    </row>
    <row r="370" spans="1:13" ht="15.2" customHeight="1" x14ac:dyDescent="0.2">
      <c r="A370" s="26" t="s">
        <v>6732</v>
      </c>
      <c r="B370" s="27" t="s">
        <v>6733</v>
      </c>
      <c r="C370" s="28">
        <v>1</v>
      </c>
      <c r="D370" s="29">
        <v>9.2200000000000006</v>
      </c>
      <c r="E370" s="29">
        <v>9.2200000000000006</v>
      </c>
      <c r="F370" s="30">
        <v>21.99</v>
      </c>
      <c r="G370" s="29">
        <v>21.99</v>
      </c>
      <c r="H370" s="28" t="s">
        <v>2780</v>
      </c>
      <c r="I370" s="27" t="s">
        <v>4</v>
      </c>
      <c r="J370" s="31" t="s">
        <v>5</v>
      </c>
      <c r="K370" s="27" t="s">
        <v>159</v>
      </c>
      <c r="L370" s="27" t="s">
        <v>160</v>
      </c>
      <c r="M370" s="32"/>
    </row>
    <row r="371" spans="1:13" ht="15.2" customHeight="1" x14ac:dyDescent="0.2">
      <c r="A371" s="26" t="s">
        <v>3642</v>
      </c>
      <c r="B371" s="27" t="s">
        <v>1676</v>
      </c>
      <c r="C371" s="28">
        <v>1</v>
      </c>
      <c r="D371" s="29">
        <v>9.1999999999999993</v>
      </c>
      <c r="E371" s="29">
        <v>9.1999999999999993</v>
      </c>
      <c r="F371" s="30">
        <v>21.99</v>
      </c>
      <c r="G371" s="29">
        <v>21.99</v>
      </c>
      <c r="H371" s="28" t="s">
        <v>1677</v>
      </c>
      <c r="I371" s="27" t="s">
        <v>4</v>
      </c>
      <c r="J371" s="31" t="s">
        <v>52</v>
      </c>
      <c r="K371" s="27" t="s">
        <v>159</v>
      </c>
      <c r="L371" s="27" t="s">
        <v>160</v>
      </c>
      <c r="M371" s="32"/>
    </row>
    <row r="372" spans="1:13" ht="15.2" customHeight="1" x14ac:dyDescent="0.2">
      <c r="A372" s="26" t="s">
        <v>2785</v>
      </c>
      <c r="B372" s="27" t="s">
        <v>1676</v>
      </c>
      <c r="C372" s="28">
        <v>1</v>
      </c>
      <c r="D372" s="29">
        <v>9.1999999999999993</v>
      </c>
      <c r="E372" s="29">
        <v>9.1999999999999993</v>
      </c>
      <c r="F372" s="30">
        <v>21.99</v>
      </c>
      <c r="G372" s="29">
        <v>21.99</v>
      </c>
      <c r="H372" s="28" t="s">
        <v>1677</v>
      </c>
      <c r="I372" s="27" t="s">
        <v>4</v>
      </c>
      <c r="J372" s="31" t="s">
        <v>5</v>
      </c>
      <c r="K372" s="27" t="s">
        <v>159</v>
      </c>
      <c r="L372" s="27" t="s">
        <v>160</v>
      </c>
      <c r="M372" s="32"/>
    </row>
    <row r="373" spans="1:13" ht="15.2" customHeight="1" x14ac:dyDescent="0.2">
      <c r="A373" s="26" t="s">
        <v>2512</v>
      </c>
      <c r="B373" s="27" t="s">
        <v>2513</v>
      </c>
      <c r="C373" s="28">
        <v>1</v>
      </c>
      <c r="D373" s="29">
        <v>9</v>
      </c>
      <c r="E373" s="29">
        <v>9</v>
      </c>
      <c r="F373" s="30">
        <v>19.989999999999998</v>
      </c>
      <c r="G373" s="29">
        <v>19.989999999999998</v>
      </c>
      <c r="H373" s="28" t="s">
        <v>2050</v>
      </c>
      <c r="I373" s="27" t="s">
        <v>94</v>
      </c>
      <c r="J373" s="31" t="s">
        <v>21</v>
      </c>
      <c r="K373" s="27" t="s">
        <v>196</v>
      </c>
      <c r="L373" s="27" t="s">
        <v>239</v>
      </c>
      <c r="M373" s="32"/>
    </row>
    <row r="374" spans="1:13" ht="15.2" customHeight="1" x14ac:dyDescent="0.2">
      <c r="A374" s="26" t="s">
        <v>4888</v>
      </c>
      <c r="B374" s="27" t="s">
        <v>4889</v>
      </c>
      <c r="C374" s="28">
        <v>2</v>
      </c>
      <c r="D374" s="29">
        <v>8.75</v>
      </c>
      <c r="E374" s="29">
        <v>17.5</v>
      </c>
      <c r="F374" s="30">
        <v>24.99</v>
      </c>
      <c r="G374" s="29">
        <v>49.98</v>
      </c>
      <c r="H374" s="28" t="s">
        <v>4798</v>
      </c>
      <c r="I374" s="27" t="s">
        <v>189</v>
      </c>
      <c r="J374" s="31" t="s">
        <v>5</v>
      </c>
      <c r="K374" s="27" t="s">
        <v>224</v>
      </c>
      <c r="L374" s="27" t="s">
        <v>239</v>
      </c>
      <c r="M374" s="32"/>
    </row>
    <row r="375" spans="1:13" ht="15.2" customHeight="1" x14ac:dyDescent="0.2">
      <c r="A375" s="26" t="s">
        <v>4886</v>
      </c>
      <c r="B375" s="27" t="s">
        <v>4887</v>
      </c>
      <c r="C375" s="28">
        <v>2</v>
      </c>
      <c r="D375" s="29">
        <v>8.75</v>
      </c>
      <c r="E375" s="29">
        <v>17.5</v>
      </c>
      <c r="F375" s="30">
        <v>24.99</v>
      </c>
      <c r="G375" s="29">
        <v>49.98</v>
      </c>
      <c r="H375" s="28" t="s">
        <v>4798</v>
      </c>
      <c r="I375" s="27" t="s">
        <v>189</v>
      </c>
      <c r="J375" s="31" t="s">
        <v>40</v>
      </c>
      <c r="K375" s="27" t="s">
        <v>224</v>
      </c>
      <c r="L375" s="27" t="s">
        <v>239</v>
      </c>
      <c r="M375" s="32"/>
    </row>
    <row r="376" spans="1:13" ht="15.2" customHeight="1" x14ac:dyDescent="0.2">
      <c r="A376" s="26" t="s">
        <v>6734</v>
      </c>
      <c r="B376" s="27" t="s">
        <v>6735</v>
      </c>
      <c r="C376" s="28">
        <v>1</v>
      </c>
      <c r="D376" s="29">
        <v>8</v>
      </c>
      <c r="E376" s="29">
        <v>8</v>
      </c>
      <c r="F376" s="30">
        <v>24.99</v>
      </c>
      <c r="G376" s="29">
        <v>24.99</v>
      </c>
      <c r="H376" s="28" t="s">
        <v>2789</v>
      </c>
      <c r="I376" s="27" t="s">
        <v>189</v>
      </c>
      <c r="J376" s="31" t="s">
        <v>21</v>
      </c>
      <c r="K376" s="27" t="s">
        <v>224</v>
      </c>
      <c r="L376" s="27" t="s">
        <v>239</v>
      </c>
      <c r="M376" s="32"/>
    </row>
    <row r="377" spans="1:13" ht="15.2" customHeight="1" x14ac:dyDescent="0.2">
      <c r="A377" s="26" t="s">
        <v>6736</v>
      </c>
      <c r="B377" s="27" t="s">
        <v>6737</v>
      </c>
      <c r="C377" s="28">
        <v>2</v>
      </c>
      <c r="D377" s="29">
        <v>8</v>
      </c>
      <c r="E377" s="29">
        <v>16</v>
      </c>
      <c r="F377" s="30">
        <v>24.99</v>
      </c>
      <c r="G377" s="29">
        <v>49.98</v>
      </c>
      <c r="H377" s="28" t="s">
        <v>2789</v>
      </c>
      <c r="I377" s="27" t="s">
        <v>94</v>
      </c>
      <c r="J377" s="31" t="s">
        <v>52</v>
      </c>
      <c r="K377" s="27" t="s">
        <v>224</v>
      </c>
      <c r="L377" s="27" t="s">
        <v>239</v>
      </c>
      <c r="M377" s="32"/>
    </row>
    <row r="378" spans="1:13" ht="15.2" customHeight="1" x14ac:dyDescent="0.2">
      <c r="A378" s="26" t="s">
        <v>6738</v>
      </c>
      <c r="B378" s="27" t="s">
        <v>6739</v>
      </c>
      <c r="C378" s="28">
        <v>1</v>
      </c>
      <c r="D378" s="29">
        <v>8</v>
      </c>
      <c r="E378" s="29">
        <v>8</v>
      </c>
      <c r="F378" s="30">
        <v>19.989999999999998</v>
      </c>
      <c r="G378" s="29">
        <v>19.989999999999998</v>
      </c>
      <c r="H378" s="28" t="s">
        <v>3647</v>
      </c>
      <c r="I378" s="27" t="s">
        <v>265</v>
      </c>
      <c r="J378" s="31" t="s">
        <v>71</v>
      </c>
      <c r="K378" s="27" t="s">
        <v>282</v>
      </c>
      <c r="L378" s="27" t="s">
        <v>358</v>
      </c>
      <c r="M378" s="32"/>
    </row>
    <row r="379" spans="1:13" ht="15.2" customHeight="1" x14ac:dyDescent="0.2">
      <c r="A379" s="26" t="s">
        <v>6740</v>
      </c>
      <c r="B379" s="27" t="s">
        <v>6741</v>
      </c>
      <c r="C379" s="28">
        <v>2</v>
      </c>
      <c r="D379" s="29">
        <v>8</v>
      </c>
      <c r="E379" s="29">
        <v>16</v>
      </c>
      <c r="F379" s="30">
        <v>24.99</v>
      </c>
      <c r="G379" s="29">
        <v>49.98</v>
      </c>
      <c r="H379" s="28" t="s">
        <v>2789</v>
      </c>
      <c r="I379" s="27" t="s">
        <v>75</v>
      </c>
      <c r="J379" s="31" t="s">
        <v>40</v>
      </c>
      <c r="K379" s="27" t="s">
        <v>224</v>
      </c>
      <c r="L379" s="27" t="s">
        <v>239</v>
      </c>
      <c r="M379" s="32"/>
    </row>
    <row r="380" spans="1:13" ht="15.2" customHeight="1" x14ac:dyDescent="0.2">
      <c r="A380" s="26" t="s">
        <v>5931</v>
      </c>
      <c r="B380" s="27" t="s">
        <v>5932</v>
      </c>
      <c r="C380" s="28">
        <v>1</v>
      </c>
      <c r="D380" s="29">
        <v>7.95</v>
      </c>
      <c r="E380" s="29">
        <v>7.95</v>
      </c>
      <c r="F380" s="30">
        <v>19.989999999999998</v>
      </c>
      <c r="G380" s="29">
        <v>19.989999999999998</v>
      </c>
      <c r="H380" s="28" t="s">
        <v>590</v>
      </c>
      <c r="I380" s="27" t="s">
        <v>189</v>
      </c>
      <c r="J380" s="31" t="s">
        <v>21</v>
      </c>
      <c r="K380" s="27" t="s">
        <v>196</v>
      </c>
      <c r="L380" s="27" t="s">
        <v>256</v>
      </c>
      <c r="M380" s="32"/>
    </row>
    <row r="381" spans="1:13" ht="15.2" customHeight="1" x14ac:dyDescent="0.2">
      <c r="A381" s="26" t="s">
        <v>3652</v>
      </c>
      <c r="B381" s="27" t="s">
        <v>3653</v>
      </c>
      <c r="C381" s="28">
        <v>1</v>
      </c>
      <c r="D381" s="29">
        <v>7.95</v>
      </c>
      <c r="E381" s="29">
        <v>7.95</v>
      </c>
      <c r="F381" s="30">
        <v>19.989999999999998</v>
      </c>
      <c r="G381" s="29">
        <v>19.989999999999998</v>
      </c>
      <c r="H381" s="28" t="s">
        <v>590</v>
      </c>
      <c r="I381" s="27" t="s">
        <v>189</v>
      </c>
      <c r="J381" s="31" t="s">
        <v>5</v>
      </c>
      <c r="K381" s="27" t="s">
        <v>196</v>
      </c>
      <c r="L381" s="27" t="s">
        <v>256</v>
      </c>
      <c r="M381" s="32"/>
    </row>
    <row r="382" spans="1:13" ht="15.2" customHeight="1" x14ac:dyDescent="0.2">
      <c r="A382" s="26" t="s">
        <v>4155</v>
      </c>
      <c r="B382" s="27" t="s">
        <v>4156</v>
      </c>
      <c r="C382" s="28">
        <v>2</v>
      </c>
      <c r="D382" s="29">
        <v>7.95</v>
      </c>
      <c r="E382" s="29">
        <v>15.9</v>
      </c>
      <c r="F382" s="30">
        <v>19.989999999999998</v>
      </c>
      <c r="G382" s="29">
        <v>39.979999999999997</v>
      </c>
      <c r="H382" s="28" t="s">
        <v>590</v>
      </c>
      <c r="I382" s="27" t="s">
        <v>22</v>
      </c>
      <c r="J382" s="31" t="s">
        <v>21</v>
      </c>
      <c r="K382" s="27" t="s">
        <v>196</v>
      </c>
      <c r="L382" s="27" t="s">
        <v>256</v>
      </c>
      <c r="M382" s="32"/>
    </row>
    <row r="383" spans="1:13" ht="15.2" customHeight="1" x14ac:dyDescent="0.2">
      <c r="A383" s="26" t="s">
        <v>6742</v>
      </c>
      <c r="B383" s="27" t="s">
        <v>6743</v>
      </c>
      <c r="C383" s="28">
        <v>1</v>
      </c>
      <c r="D383" s="29">
        <v>7.95</v>
      </c>
      <c r="E383" s="29">
        <v>7.95</v>
      </c>
      <c r="F383" s="30">
        <v>19.989999999999998</v>
      </c>
      <c r="G383" s="29">
        <v>19.989999999999998</v>
      </c>
      <c r="H383" s="28" t="s">
        <v>590</v>
      </c>
      <c r="I383" s="27" t="s">
        <v>189</v>
      </c>
      <c r="J383" s="31" t="s">
        <v>52</v>
      </c>
      <c r="K383" s="27" t="s">
        <v>196</v>
      </c>
      <c r="L383" s="27" t="s">
        <v>256</v>
      </c>
      <c r="M383" s="32"/>
    </row>
    <row r="384" spans="1:13" ht="15.2" customHeight="1" x14ac:dyDescent="0.2">
      <c r="A384" s="26" t="s">
        <v>602</v>
      </c>
      <c r="B384" s="27" t="s">
        <v>603</v>
      </c>
      <c r="C384" s="28">
        <v>1</v>
      </c>
      <c r="D384" s="29">
        <v>7.9</v>
      </c>
      <c r="E384" s="29">
        <v>7.9</v>
      </c>
      <c r="F384" s="30">
        <v>19.989999999999998</v>
      </c>
      <c r="G384" s="29">
        <v>19.989999999999998</v>
      </c>
      <c r="H384" s="28" t="s">
        <v>595</v>
      </c>
      <c r="I384" s="27" t="s">
        <v>22</v>
      </c>
      <c r="J384" s="31" t="s">
        <v>5</v>
      </c>
      <c r="K384" s="27" t="s">
        <v>282</v>
      </c>
      <c r="L384" s="27" t="s">
        <v>349</v>
      </c>
      <c r="M384" s="32"/>
    </row>
    <row r="385" spans="1:13" ht="15.2" customHeight="1" x14ac:dyDescent="0.2">
      <c r="A385" s="26" t="s">
        <v>593</v>
      </c>
      <c r="B385" s="27" t="s">
        <v>594</v>
      </c>
      <c r="C385" s="28">
        <v>2</v>
      </c>
      <c r="D385" s="29">
        <v>7.9</v>
      </c>
      <c r="E385" s="29">
        <v>15.8</v>
      </c>
      <c r="F385" s="30">
        <v>19.989999999999998</v>
      </c>
      <c r="G385" s="29">
        <v>39.979999999999997</v>
      </c>
      <c r="H385" s="28" t="s">
        <v>595</v>
      </c>
      <c r="I385" s="27" t="s">
        <v>22</v>
      </c>
      <c r="J385" s="31" t="s">
        <v>21</v>
      </c>
      <c r="K385" s="27" t="s">
        <v>282</v>
      </c>
      <c r="L385" s="27" t="s">
        <v>349</v>
      </c>
      <c r="M385" s="32"/>
    </row>
    <row r="386" spans="1:13" ht="15.2" customHeight="1" x14ac:dyDescent="0.2">
      <c r="A386" s="26" t="s">
        <v>596</v>
      </c>
      <c r="B386" s="27" t="s">
        <v>597</v>
      </c>
      <c r="C386" s="28">
        <v>1</v>
      </c>
      <c r="D386" s="29">
        <v>7.9</v>
      </c>
      <c r="E386" s="29">
        <v>7.9</v>
      </c>
      <c r="F386" s="30">
        <v>19.989999999999998</v>
      </c>
      <c r="G386" s="29">
        <v>19.989999999999998</v>
      </c>
      <c r="H386" s="28" t="s">
        <v>595</v>
      </c>
      <c r="I386" s="27" t="s">
        <v>22</v>
      </c>
      <c r="J386" s="31" t="s">
        <v>40</v>
      </c>
      <c r="K386" s="27" t="s">
        <v>282</v>
      </c>
      <c r="L386" s="27" t="s">
        <v>349</v>
      </c>
      <c r="M386" s="32"/>
    </row>
    <row r="387" spans="1:13" ht="15.2" customHeight="1" x14ac:dyDescent="0.2">
      <c r="A387" s="26" t="s">
        <v>4420</v>
      </c>
      <c r="B387" s="27" t="s">
        <v>4421</v>
      </c>
      <c r="C387" s="28">
        <v>1</v>
      </c>
      <c r="D387" s="29">
        <v>7.9</v>
      </c>
      <c r="E387" s="29">
        <v>7.9</v>
      </c>
      <c r="F387" s="30">
        <v>19.989999999999998</v>
      </c>
      <c r="G387" s="29">
        <v>19.989999999999998</v>
      </c>
      <c r="H387" s="28" t="s">
        <v>606</v>
      </c>
      <c r="I387" s="27" t="s">
        <v>36</v>
      </c>
      <c r="J387" s="31" t="s">
        <v>21</v>
      </c>
      <c r="K387" s="27" t="s">
        <v>282</v>
      </c>
      <c r="L387" s="27" t="s">
        <v>349</v>
      </c>
      <c r="M387" s="32"/>
    </row>
    <row r="388" spans="1:13" ht="15.2" customHeight="1" x14ac:dyDescent="0.2">
      <c r="A388" s="26" t="s">
        <v>600</v>
      </c>
      <c r="B388" s="27" t="s">
        <v>601</v>
      </c>
      <c r="C388" s="28">
        <v>2</v>
      </c>
      <c r="D388" s="29">
        <v>7.9</v>
      </c>
      <c r="E388" s="29">
        <v>15.8</v>
      </c>
      <c r="F388" s="30">
        <v>19.989999999999998</v>
      </c>
      <c r="G388" s="29">
        <v>39.979999999999997</v>
      </c>
      <c r="H388" s="28" t="s">
        <v>595</v>
      </c>
      <c r="I388" s="27" t="s">
        <v>22</v>
      </c>
      <c r="J388" s="31" t="s">
        <v>71</v>
      </c>
      <c r="K388" s="27" t="s">
        <v>282</v>
      </c>
      <c r="L388" s="27" t="s">
        <v>349</v>
      </c>
      <c r="M388" s="32"/>
    </row>
    <row r="389" spans="1:13" ht="15.2" customHeight="1" x14ac:dyDescent="0.2">
      <c r="A389" s="26" t="s">
        <v>6744</v>
      </c>
      <c r="B389" s="27" t="s">
        <v>6745</v>
      </c>
      <c r="C389" s="28">
        <v>1</v>
      </c>
      <c r="D389" s="29">
        <v>7.9</v>
      </c>
      <c r="E389" s="29">
        <v>7.9</v>
      </c>
      <c r="F389" s="30">
        <v>19.989999999999998</v>
      </c>
      <c r="G389" s="29">
        <v>19.989999999999998</v>
      </c>
      <c r="H389" s="28" t="s">
        <v>606</v>
      </c>
      <c r="I389" s="27" t="s">
        <v>36</v>
      </c>
      <c r="J389" s="31" t="s">
        <v>71</v>
      </c>
      <c r="K389" s="27" t="s">
        <v>282</v>
      </c>
      <c r="L389" s="27" t="s">
        <v>349</v>
      </c>
      <c r="M389" s="32"/>
    </row>
    <row r="390" spans="1:13" ht="15.2" customHeight="1" x14ac:dyDescent="0.2">
      <c r="A390" s="26" t="s">
        <v>6746</v>
      </c>
      <c r="B390" s="27" t="s">
        <v>6747</v>
      </c>
      <c r="C390" s="28">
        <v>1</v>
      </c>
      <c r="D390" s="29">
        <v>7.5</v>
      </c>
      <c r="E390" s="29">
        <v>7.5</v>
      </c>
      <c r="F390" s="30">
        <v>19.989999999999998</v>
      </c>
      <c r="G390" s="29">
        <v>19.989999999999998</v>
      </c>
      <c r="H390" s="28" t="s">
        <v>4422</v>
      </c>
      <c r="I390" s="27" t="s">
        <v>4</v>
      </c>
      <c r="J390" s="31" t="s">
        <v>21</v>
      </c>
      <c r="K390" s="27" t="s">
        <v>196</v>
      </c>
      <c r="L390" s="27" t="s">
        <v>804</v>
      </c>
      <c r="M390" s="32"/>
    </row>
    <row r="391" spans="1:13" ht="15.2" customHeight="1" x14ac:dyDescent="0.2">
      <c r="A391" s="26" t="s">
        <v>2062</v>
      </c>
      <c r="B391" s="27" t="s">
        <v>1067</v>
      </c>
      <c r="C391" s="28">
        <v>1</v>
      </c>
      <c r="D391" s="29">
        <v>7.12</v>
      </c>
      <c r="E391" s="29">
        <v>7.12</v>
      </c>
      <c r="F391" s="30">
        <v>19.5</v>
      </c>
      <c r="G391" s="29">
        <v>19.5</v>
      </c>
      <c r="H391" s="28" t="s">
        <v>1068</v>
      </c>
      <c r="I391" s="27" t="s">
        <v>26</v>
      </c>
      <c r="J391" s="31" t="s">
        <v>71</v>
      </c>
      <c r="K391" s="27" t="s">
        <v>41</v>
      </c>
      <c r="L391" s="27" t="s">
        <v>45</v>
      </c>
      <c r="M391" s="32"/>
    </row>
    <row r="392" spans="1:13" ht="15.2" customHeight="1" x14ac:dyDescent="0.2">
      <c r="A392" s="26" t="s">
        <v>6107</v>
      </c>
      <c r="B392" s="27" t="s">
        <v>6108</v>
      </c>
      <c r="C392" s="28">
        <v>1</v>
      </c>
      <c r="D392" s="29">
        <v>6.5</v>
      </c>
      <c r="E392" s="29">
        <v>6.5</v>
      </c>
      <c r="F392" s="30">
        <v>12.99</v>
      </c>
      <c r="G392" s="29">
        <v>12.99</v>
      </c>
      <c r="H392" s="28" t="s">
        <v>3671</v>
      </c>
      <c r="I392" s="27" t="s">
        <v>4</v>
      </c>
      <c r="J392" s="31" t="s">
        <v>21</v>
      </c>
      <c r="K392" s="27" t="s">
        <v>282</v>
      </c>
      <c r="L392" s="27" t="s">
        <v>225</v>
      </c>
      <c r="M392" s="32"/>
    </row>
    <row r="393" spans="1:13" ht="15.2" customHeight="1" x14ac:dyDescent="0.2">
      <c r="A393" s="26" t="s">
        <v>6748</v>
      </c>
      <c r="B393" s="27" t="s">
        <v>6749</v>
      </c>
      <c r="C393" s="28">
        <v>1</v>
      </c>
      <c r="D393" s="29">
        <v>6.5</v>
      </c>
      <c r="E393" s="29">
        <v>6.5</v>
      </c>
      <c r="F393" s="30">
        <v>12.99</v>
      </c>
      <c r="G393" s="29">
        <v>12.99</v>
      </c>
      <c r="H393" s="28" t="s">
        <v>3671</v>
      </c>
      <c r="I393" s="27" t="s">
        <v>4</v>
      </c>
      <c r="J393" s="31" t="s">
        <v>52</v>
      </c>
      <c r="K393" s="27" t="s">
        <v>282</v>
      </c>
      <c r="L393" s="27" t="s">
        <v>225</v>
      </c>
      <c r="M393" s="32"/>
    </row>
    <row r="394" spans="1:13" ht="15.2" customHeight="1" x14ac:dyDescent="0.2">
      <c r="A394" s="26" t="s">
        <v>5977</v>
      </c>
      <c r="B394" s="27" t="s">
        <v>4578</v>
      </c>
      <c r="C394" s="28">
        <v>1</v>
      </c>
      <c r="D394" s="29">
        <v>6.5</v>
      </c>
      <c r="E394" s="29">
        <v>6.5</v>
      </c>
      <c r="F394" s="30">
        <v>12.99</v>
      </c>
      <c r="G394" s="29">
        <v>12.99</v>
      </c>
      <c r="H394" s="28" t="s">
        <v>4579</v>
      </c>
      <c r="I394" s="27" t="s">
        <v>343</v>
      </c>
      <c r="J394" s="31" t="s">
        <v>21</v>
      </c>
      <c r="K394" s="27" t="s">
        <v>282</v>
      </c>
      <c r="L394" s="27" t="s">
        <v>312</v>
      </c>
      <c r="M394" s="32"/>
    </row>
    <row r="395" spans="1:13" ht="15.2" customHeight="1" x14ac:dyDescent="0.2">
      <c r="A395" s="26" t="s">
        <v>6750</v>
      </c>
      <c r="B395" s="27" t="s">
        <v>2063</v>
      </c>
      <c r="C395" s="28">
        <v>1</v>
      </c>
      <c r="D395" s="29">
        <v>6.32</v>
      </c>
      <c r="E395" s="29">
        <v>6.32</v>
      </c>
      <c r="F395" s="30">
        <v>14.99</v>
      </c>
      <c r="G395" s="29">
        <v>14.99</v>
      </c>
      <c r="H395" s="28" t="s">
        <v>2064</v>
      </c>
      <c r="I395" s="27" t="s">
        <v>291</v>
      </c>
      <c r="J395" s="31" t="s">
        <v>172</v>
      </c>
      <c r="K395" s="27" t="s">
        <v>159</v>
      </c>
      <c r="L395" s="27" t="s">
        <v>160</v>
      </c>
      <c r="M395" s="32"/>
    </row>
    <row r="396" spans="1:13" ht="15.2" customHeight="1" x14ac:dyDescent="0.2">
      <c r="A396" s="26" t="s">
        <v>5379</v>
      </c>
      <c r="B396" s="27" t="s">
        <v>2063</v>
      </c>
      <c r="C396" s="28">
        <v>1</v>
      </c>
      <c r="D396" s="29">
        <v>6.32</v>
      </c>
      <c r="E396" s="29">
        <v>6.32</v>
      </c>
      <c r="F396" s="30">
        <v>14.99</v>
      </c>
      <c r="G396" s="29">
        <v>14.99</v>
      </c>
      <c r="H396" s="28" t="s">
        <v>2064</v>
      </c>
      <c r="I396" s="27" t="s">
        <v>291</v>
      </c>
      <c r="J396" s="31" t="s">
        <v>40</v>
      </c>
      <c r="K396" s="27" t="s">
        <v>159</v>
      </c>
      <c r="L396" s="27" t="s">
        <v>160</v>
      </c>
      <c r="M396" s="32"/>
    </row>
    <row r="397" spans="1:13" ht="15.2" customHeight="1" x14ac:dyDescent="0.2">
      <c r="A397" s="26" t="s">
        <v>4322</v>
      </c>
      <c r="B397" s="27" t="s">
        <v>4323</v>
      </c>
      <c r="C397" s="28">
        <v>1</v>
      </c>
      <c r="D397" s="29">
        <v>6.32</v>
      </c>
      <c r="E397" s="29">
        <v>6.32</v>
      </c>
      <c r="F397" s="30">
        <v>14.99</v>
      </c>
      <c r="G397" s="29">
        <v>14.99</v>
      </c>
      <c r="H397" s="28" t="s">
        <v>4324</v>
      </c>
      <c r="I397" s="27" t="s">
        <v>103</v>
      </c>
      <c r="J397" s="31" t="s">
        <v>40</v>
      </c>
      <c r="K397" s="27" t="s">
        <v>159</v>
      </c>
      <c r="L397" s="27" t="s">
        <v>160</v>
      </c>
      <c r="M397" s="32"/>
    </row>
    <row r="398" spans="1:13" ht="15.2" customHeight="1" x14ac:dyDescent="0.2">
      <c r="A398" s="26" t="s">
        <v>4163</v>
      </c>
      <c r="B398" s="27" t="s">
        <v>2063</v>
      </c>
      <c r="C398" s="28">
        <v>1</v>
      </c>
      <c r="D398" s="29">
        <v>6.32</v>
      </c>
      <c r="E398" s="29">
        <v>6.32</v>
      </c>
      <c r="F398" s="30">
        <v>14.99</v>
      </c>
      <c r="G398" s="29">
        <v>14.99</v>
      </c>
      <c r="H398" s="28" t="s">
        <v>2064</v>
      </c>
      <c r="I398" s="27" t="s">
        <v>291</v>
      </c>
      <c r="J398" s="31" t="s">
        <v>21</v>
      </c>
      <c r="K398" s="27" t="s">
        <v>159</v>
      </c>
      <c r="L398" s="27" t="s">
        <v>160</v>
      </c>
      <c r="M398" s="32"/>
    </row>
    <row r="399" spans="1:13" ht="15.2" customHeight="1" x14ac:dyDescent="0.2">
      <c r="A399" s="26" t="s">
        <v>6751</v>
      </c>
      <c r="B399" s="27" t="s">
        <v>4323</v>
      </c>
      <c r="C399" s="28">
        <v>1</v>
      </c>
      <c r="D399" s="29">
        <v>6.32</v>
      </c>
      <c r="E399" s="29">
        <v>6.32</v>
      </c>
      <c r="F399" s="30">
        <v>14.99</v>
      </c>
      <c r="G399" s="29">
        <v>14.99</v>
      </c>
      <c r="H399" s="28" t="s">
        <v>4324</v>
      </c>
      <c r="I399" s="27" t="s">
        <v>103</v>
      </c>
      <c r="J399" s="31" t="s">
        <v>71</v>
      </c>
      <c r="K399" s="27" t="s">
        <v>159</v>
      </c>
      <c r="L399" s="27" t="s">
        <v>160</v>
      </c>
      <c r="M399" s="32"/>
    </row>
    <row r="400" spans="1:13" ht="15.2" customHeight="1" x14ac:dyDescent="0.2">
      <c r="A400" s="26" t="s">
        <v>6752</v>
      </c>
      <c r="B400" s="27" t="s">
        <v>6753</v>
      </c>
      <c r="C400" s="28">
        <v>1</v>
      </c>
      <c r="D400" s="29">
        <v>6.3</v>
      </c>
      <c r="E400" s="29">
        <v>6.3</v>
      </c>
      <c r="F400" s="30">
        <v>14.99</v>
      </c>
      <c r="G400" s="29">
        <v>14.99</v>
      </c>
      <c r="H400" s="28" t="s">
        <v>6754</v>
      </c>
      <c r="I400" s="27" t="s">
        <v>36</v>
      </c>
      <c r="J400" s="31" t="s">
        <v>71</v>
      </c>
      <c r="K400" s="27" t="s">
        <v>159</v>
      </c>
      <c r="L400" s="27" t="s">
        <v>160</v>
      </c>
      <c r="M400" s="32"/>
    </row>
    <row r="401" spans="1:13" ht="15.2" customHeight="1" x14ac:dyDescent="0.2">
      <c r="A401" s="26" t="s">
        <v>6755</v>
      </c>
      <c r="B401" s="27" t="s">
        <v>6753</v>
      </c>
      <c r="C401" s="28">
        <v>1</v>
      </c>
      <c r="D401" s="29">
        <v>6.3</v>
      </c>
      <c r="E401" s="29">
        <v>6.3</v>
      </c>
      <c r="F401" s="30">
        <v>14.99</v>
      </c>
      <c r="G401" s="29">
        <v>14.99</v>
      </c>
      <c r="H401" s="28" t="s">
        <v>6754</v>
      </c>
      <c r="I401" s="27" t="s">
        <v>36</v>
      </c>
      <c r="J401" s="31" t="s">
        <v>52</v>
      </c>
      <c r="K401" s="27" t="s">
        <v>159</v>
      </c>
      <c r="L401" s="27" t="s">
        <v>160</v>
      </c>
      <c r="M401" s="32"/>
    </row>
    <row r="402" spans="1:13" ht="15.2" customHeight="1" x14ac:dyDescent="0.2">
      <c r="A402" s="26" t="s">
        <v>6756</v>
      </c>
      <c r="B402" s="27" t="s">
        <v>5522</v>
      </c>
      <c r="C402" s="28">
        <v>1</v>
      </c>
      <c r="D402" s="29">
        <v>6.15</v>
      </c>
      <c r="E402" s="29">
        <v>6.15</v>
      </c>
      <c r="F402" s="30">
        <v>14.99</v>
      </c>
      <c r="G402" s="29">
        <v>14.99</v>
      </c>
      <c r="H402" s="28" t="s">
        <v>5523</v>
      </c>
      <c r="I402" s="27" t="s">
        <v>661</v>
      </c>
      <c r="J402" s="31" t="s">
        <v>40</v>
      </c>
      <c r="K402" s="27" t="s">
        <v>159</v>
      </c>
      <c r="L402" s="27" t="s">
        <v>160</v>
      </c>
      <c r="M402" s="32"/>
    </row>
    <row r="403" spans="1:13" ht="15.2" customHeight="1" x14ac:dyDescent="0.2">
      <c r="A403" s="26" t="s">
        <v>6757</v>
      </c>
      <c r="B403" s="27" t="s">
        <v>6758</v>
      </c>
      <c r="C403" s="28">
        <v>1</v>
      </c>
      <c r="D403" s="29">
        <v>5.95</v>
      </c>
      <c r="E403" s="29">
        <v>5.95</v>
      </c>
      <c r="F403" s="30">
        <v>19.989999999999998</v>
      </c>
      <c r="G403" s="29">
        <v>19.989999999999998</v>
      </c>
      <c r="H403" s="28" t="s">
        <v>2533</v>
      </c>
      <c r="I403" s="27" t="s">
        <v>26</v>
      </c>
      <c r="J403" s="31" t="s">
        <v>5</v>
      </c>
      <c r="K403" s="27" t="s">
        <v>196</v>
      </c>
      <c r="L403" s="27" t="s">
        <v>256</v>
      </c>
      <c r="M403" s="32"/>
    </row>
    <row r="404" spans="1:13" ht="15.2" customHeight="1" x14ac:dyDescent="0.2">
      <c r="A404" s="26" t="s">
        <v>611</v>
      </c>
      <c r="B404" s="27" t="s">
        <v>612</v>
      </c>
      <c r="C404" s="28">
        <v>1</v>
      </c>
      <c r="D404" s="29">
        <v>5.75</v>
      </c>
      <c r="E404" s="29">
        <v>5.75</v>
      </c>
      <c r="F404" s="30">
        <v>12.99</v>
      </c>
      <c r="G404" s="29">
        <v>12.99</v>
      </c>
      <c r="H404" s="28" t="s">
        <v>613</v>
      </c>
      <c r="I404" s="27" t="s">
        <v>4</v>
      </c>
      <c r="J404" s="31" t="s">
        <v>21</v>
      </c>
      <c r="K404" s="27" t="s">
        <v>282</v>
      </c>
      <c r="L404" s="27" t="s">
        <v>386</v>
      </c>
      <c r="M404" s="32"/>
    </row>
    <row r="405" spans="1:13" ht="15.2" customHeight="1" x14ac:dyDescent="0.2">
      <c r="A405" s="26" t="s">
        <v>1069</v>
      </c>
      <c r="B405" s="27" t="s">
        <v>615</v>
      </c>
      <c r="C405" s="28">
        <v>3</v>
      </c>
      <c r="D405" s="29">
        <v>5.65</v>
      </c>
      <c r="E405" s="29">
        <v>16.95</v>
      </c>
      <c r="F405" s="30">
        <v>12.99</v>
      </c>
      <c r="G405" s="29">
        <v>38.97</v>
      </c>
      <c r="H405" s="28" t="s">
        <v>616</v>
      </c>
      <c r="I405" s="27" t="s">
        <v>36</v>
      </c>
      <c r="J405" s="31" t="s">
        <v>21</v>
      </c>
      <c r="K405" s="27" t="s">
        <v>282</v>
      </c>
      <c r="L405" s="27" t="s">
        <v>393</v>
      </c>
      <c r="M405" s="32"/>
    </row>
    <row r="406" spans="1:13" ht="15.2" customHeight="1" x14ac:dyDescent="0.2">
      <c r="A406" s="26" t="s">
        <v>2546</v>
      </c>
      <c r="B406" s="27" t="s">
        <v>2547</v>
      </c>
      <c r="C406" s="28">
        <v>1</v>
      </c>
      <c r="D406" s="29">
        <v>5.5</v>
      </c>
      <c r="E406" s="29">
        <v>5.5</v>
      </c>
      <c r="F406" s="30">
        <v>13.99</v>
      </c>
      <c r="G406" s="29">
        <v>13.99</v>
      </c>
      <c r="H406" s="28" t="s">
        <v>619</v>
      </c>
      <c r="I406" s="27" t="s">
        <v>94</v>
      </c>
      <c r="J406" s="31" t="s">
        <v>21</v>
      </c>
      <c r="K406" s="27" t="s">
        <v>70</v>
      </c>
      <c r="L406" s="27" t="s">
        <v>353</v>
      </c>
      <c r="M406" s="32"/>
    </row>
    <row r="407" spans="1:13" ht="15.2" customHeight="1" x14ac:dyDescent="0.2">
      <c r="A407" s="26" t="s">
        <v>2544</v>
      </c>
      <c r="B407" s="27" t="s">
        <v>2545</v>
      </c>
      <c r="C407" s="28">
        <v>1</v>
      </c>
      <c r="D407" s="29">
        <v>5.5</v>
      </c>
      <c r="E407" s="29">
        <v>5.5</v>
      </c>
      <c r="F407" s="30">
        <v>13.99</v>
      </c>
      <c r="G407" s="29">
        <v>13.99</v>
      </c>
      <c r="H407" s="28" t="s">
        <v>619</v>
      </c>
      <c r="I407" s="27" t="s">
        <v>4</v>
      </c>
      <c r="J407" s="31" t="s">
        <v>21</v>
      </c>
      <c r="K407" s="27" t="s">
        <v>70</v>
      </c>
      <c r="L407" s="27" t="s">
        <v>353</v>
      </c>
      <c r="M407" s="32"/>
    </row>
    <row r="408" spans="1:13" ht="15.2" customHeight="1" x14ac:dyDescent="0.2">
      <c r="A408" s="26" t="s">
        <v>617</v>
      </c>
      <c r="B408" s="27" t="s">
        <v>618</v>
      </c>
      <c r="C408" s="28">
        <v>2</v>
      </c>
      <c r="D408" s="29">
        <v>5.5</v>
      </c>
      <c r="E408" s="29">
        <v>11</v>
      </c>
      <c r="F408" s="30">
        <v>13.99</v>
      </c>
      <c r="G408" s="29">
        <v>27.98</v>
      </c>
      <c r="H408" s="28" t="s">
        <v>619</v>
      </c>
      <c r="I408" s="27" t="s">
        <v>4</v>
      </c>
      <c r="J408" s="31" t="s">
        <v>5</v>
      </c>
      <c r="K408" s="27" t="s">
        <v>70</v>
      </c>
      <c r="L408" s="27" t="s">
        <v>353</v>
      </c>
      <c r="M408" s="32"/>
    </row>
    <row r="409" spans="1:13" ht="15.2" customHeight="1" x14ac:dyDescent="0.2">
      <c r="A409" s="26" t="s">
        <v>6759</v>
      </c>
      <c r="B409" s="27" t="s">
        <v>6760</v>
      </c>
      <c r="C409" s="28">
        <v>1</v>
      </c>
      <c r="D409" s="29">
        <v>5.5</v>
      </c>
      <c r="E409" s="29">
        <v>5.5</v>
      </c>
      <c r="F409" s="30">
        <v>12.99</v>
      </c>
      <c r="G409" s="29">
        <v>12.99</v>
      </c>
      <c r="H409" s="28" t="s">
        <v>4331</v>
      </c>
      <c r="I409" s="27" t="s">
        <v>82</v>
      </c>
      <c r="J409" s="31" t="s">
        <v>5</v>
      </c>
      <c r="K409" s="27" t="s">
        <v>70</v>
      </c>
      <c r="L409" s="27" t="s">
        <v>353</v>
      </c>
      <c r="M409" s="32"/>
    </row>
    <row r="410" spans="1:13" ht="15.2" customHeight="1" x14ac:dyDescent="0.2">
      <c r="A410" s="26" t="s">
        <v>642</v>
      </c>
      <c r="B410" s="27" t="s">
        <v>643</v>
      </c>
      <c r="C410" s="28">
        <v>1</v>
      </c>
      <c r="D410" s="29">
        <v>5.5</v>
      </c>
      <c r="E410" s="29">
        <v>5.5</v>
      </c>
      <c r="F410" s="30">
        <v>13.99</v>
      </c>
      <c r="G410" s="29">
        <v>13.99</v>
      </c>
      <c r="H410" s="28" t="s">
        <v>619</v>
      </c>
      <c r="I410" s="27" t="s">
        <v>22</v>
      </c>
      <c r="J410" s="31" t="s">
        <v>5</v>
      </c>
      <c r="K410" s="27" t="s">
        <v>70</v>
      </c>
      <c r="L410" s="27" t="s">
        <v>353</v>
      </c>
      <c r="M410" s="32"/>
    </row>
  </sheetData>
  <pageMargins left="0.5" right="0.5" top="0.25" bottom="0.25" header="0.3" footer="0.3"/>
  <pageSetup scale="65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448"/>
  <sheetViews>
    <sheetView workbookViewId="0">
      <selection activeCell="B24" sqref="B24"/>
    </sheetView>
  </sheetViews>
  <sheetFormatPr defaultRowHeight="15.2" customHeight="1" x14ac:dyDescent="0.2"/>
  <cols>
    <col min="1" max="1" width="14.85546875" style="1" bestFit="1" customWidth="1"/>
    <col min="2" max="2" width="82" style="1" bestFit="1" customWidth="1"/>
    <col min="3" max="3" width="6.42578125" style="1" bestFit="1" customWidth="1"/>
    <col min="4" max="4" width="7.5703125" style="1" bestFit="1" customWidth="1"/>
    <col min="5" max="5" width="9.5703125" style="1" bestFit="1" customWidth="1"/>
    <col min="6" max="6" width="7.5703125" style="1" bestFit="1" customWidth="1"/>
    <col min="7" max="7" width="11.140625" style="1" bestFit="1" customWidth="1"/>
    <col min="8" max="8" width="22.28515625" style="1" bestFit="1" customWidth="1"/>
    <col min="9" max="9" width="14.7109375" style="1" bestFit="1" customWidth="1"/>
    <col min="10" max="10" width="12.85546875" style="1" bestFit="1" customWidth="1"/>
    <col min="11" max="11" width="19" style="1" bestFit="1" customWidth="1"/>
    <col min="12" max="12" width="43.7109375" style="1" bestFit="1" customWidth="1"/>
    <col min="13" max="13" width="49.42578125" style="1" bestFit="1" customWidth="1"/>
    <col min="14" max="16384" width="9.140625" style="1"/>
  </cols>
  <sheetData>
    <row r="1" spans="1:13" ht="15.2" customHeight="1" x14ac:dyDescent="0.2">
      <c r="A1" s="25" t="s">
        <v>0</v>
      </c>
      <c r="B1" s="25" t="s">
        <v>11929</v>
      </c>
      <c r="C1" s="25" t="s">
        <v>11915</v>
      </c>
      <c r="D1" s="25" t="s">
        <v>11927</v>
      </c>
      <c r="E1" s="25" t="s">
        <v>11928</v>
      </c>
      <c r="F1" s="25" t="s">
        <v>11919</v>
      </c>
      <c r="G1" s="25" t="s">
        <v>11920</v>
      </c>
      <c r="H1" s="25" t="s">
        <v>11921</v>
      </c>
      <c r="I1" s="25" t="s">
        <v>11922</v>
      </c>
      <c r="J1" s="25" t="s">
        <v>11923</v>
      </c>
      <c r="K1" s="25" t="s">
        <v>11924</v>
      </c>
      <c r="L1" s="25" t="s">
        <v>11925</v>
      </c>
      <c r="M1" s="25" t="s">
        <v>11926</v>
      </c>
    </row>
    <row r="2" spans="1:13" ht="15.2" customHeight="1" x14ac:dyDescent="0.2">
      <c r="A2" s="26" t="s">
        <v>6761</v>
      </c>
      <c r="B2" s="27" t="s">
        <v>6762</v>
      </c>
      <c r="C2" s="28">
        <v>1</v>
      </c>
      <c r="D2" s="29">
        <v>37</v>
      </c>
      <c r="E2" s="29">
        <v>37</v>
      </c>
      <c r="F2" s="30">
        <v>98</v>
      </c>
      <c r="G2" s="29">
        <v>98</v>
      </c>
      <c r="H2" s="28" t="s">
        <v>2801</v>
      </c>
      <c r="I2" s="27" t="s">
        <v>29</v>
      </c>
      <c r="J2" s="31"/>
      <c r="K2" s="27" t="s">
        <v>17</v>
      </c>
      <c r="L2" s="27" t="s">
        <v>18</v>
      </c>
      <c r="M2" s="32" t="str">
        <f>HYPERLINK("http://slimages.macys.com/is/image/MCY/3902115 ")</f>
        <v xml:space="preserve">http://slimages.macys.com/is/image/MCY/3902115 </v>
      </c>
    </row>
    <row r="3" spans="1:13" ht="15.2" customHeight="1" x14ac:dyDescent="0.2">
      <c r="A3" s="26" t="s">
        <v>6763</v>
      </c>
      <c r="B3" s="27" t="s">
        <v>6764</v>
      </c>
      <c r="C3" s="28">
        <v>1</v>
      </c>
      <c r="D3" s="29">
        <v>37</v>
      </c>
      <c r="E3" s="29">
        <v>37</v>
      </c>
      <c r="F3" s="30">
        <v>98</v>
      </c>
      <c r="G3" s="29">
        <v>98</v>
      </c>
      <c r="H3" s="28" t="s">
        <v>2802</v>
      </c>
      <c r="I3" s="27"/>
      <c r="J3" s="31" t="s">
        <v>2549</v>
      </c>
      <c r="K3" s="27" t="s">
        <v>17</v>
      </c>
      <c r="L3" s="27" t="s">
        <v>18</v>
      </c>
      <c r="M3" s="32" t="str">
        <f>HYPERLINK("http://slimages.macys.com/is/image/MCY/3902115 ")</f>
        <v xml:space="preserve">http://slimages.macys.com/is/image/MCY/3902115 </v>
      </c>
    </row>
    <row r="4" spans="1:13" ht="15.2" customHeight="1" x14ac:dyDescent="0.2">
      <c r="A4" s="26" t="s">
        <v>6765</v>
      </c>
      <c r="B4" s="27" t="s">
        <v>6766</v>
      </c>
      <c r="C4" s="28">
        <v>1</v>
      </c>
      <c r="D4" s="29">
        <v>37</v>
      </c>
      <c r="E4" s="29">
        <v>37</v>
      </c>
      <c r="F4" s="30">
        <v>89</v>
      </c>
      <c r="G4" s="29">
        <v>89</v>
      </c>
      <c r="H4" s="28">
        <v>2025</v>
      </c>
      <c r="I4" s="27" t="s">
        <v>1</v>
      </c>
      <c r="J4" s="31"/>
      <c r="K4" s="27" t="s">
        <v>1089</v>
      </c>
      <c r="L4" s="27" t="s">
        <v>4432</v>
      </c>
      <c r="M4" s="32" t="str">
        <f>HYPERLINK("http://slimages.macys.com/is/image/MCY/3848487 ")</f>
        <v xml:space="preserve">http://slimages.macys.com/is/image/MCY/3848487 </v>
      </c>
    </row>
    <row r="5" spans="1:13" ht="15.2" customHeight="1" x14ac:dyDescent="0.2">
      <c r="A5" s="26" t="s">
        <v>6767</v>
      </c>
      <c r="B5" s="27" t="s">
        <v>6768</v>
      </c>
      <c r="C5" s="28">
        <v>1</v>
      </c>
      <c r="D5" s="29">
        <v>30.42</v>
      </c>
      <c r="E5" s="29">
        <v>30.42</v>
      </c>
      <c r="F5" s="30">
        <v>69.989999999999995</v>
      </c>
      <c r="G5" s="29">
        <v>69.989999999999995</v>
      </c>
      <c r="H5" s="28" t="s">
        <v>6769</v>
      </c>
      <c r="I5" s="27" t="s">
        <v>4</v>
      </c>
      <c r="J5" s="31" t="s">
        <v>52</v>
      </c>
      <c r="K5" s="27" t="s">
        <v>41</v>
      </c>
      <c r="L5" s="27" t="s">
        <v>649</v>
      </c>
      <c r="M5" s="32" t="str">
        <f>HYPERLINK("http://slimages.macys.com/is/image/MCY/3830525 ")</f>
        <v xml:space="preserve">http://slimages.macys.com/is/image/MCY/3830525 </v>
      </c>
    </row>
    <row r="6" spans="1:13" ht="15.2" customHeight="1" x14ac:dyDescent="0.2">
      <c r="A6" s="26" t="s">
        <v>6770</v>
      </c>
      <c r="B6" s="27" t="s">
        <v>6771</v>
      </c>
      <c r="C6" s="28">
        <v>1</v>
      </c>
      <c r="D6" s="29">
        <v>29</v>
      </c>
      <c r="E6" s="29">
        <v>29</v>
      </c>
      <c r="F6" s="30">
        <v>99</v>
      </c>
      <c r="G6" s="29">
        <v>99</v>
      </c>
      <c r="H6" s="28" t="s">
        <v>2074</v>
      </c>
      <c r="I6" s="27" t="s">
        <v>59</v>
      </c>
      <c r="J6" s="31" t="s">
        <v>216</v>
      </c>
      <c r="K6" s="27" t="s">
        <v>24</v>
      </c>
      <c r="L6" s="27" t="s">
        <v>25</v>
      </c>
      <c r="M6" s="32" t="str">
        <f>HYPERLINK("http://slimages.macys.com/is/image/MCY/1772879 ")</f>
        <v xml:space="preserve">http://slimages.macys.com/is/image/MCY/1772879 </v>
      </c>
    </row>
    <row r="7" spans="1:13" ht="15.2" customHeight="1" x14ac:dyDescent="0.2">
      <c r="A7" s="26" t="s">
        <v>6772</v>
      </c>
      <c r="B7" s="27" t="s">
        <v>6773</v>
      </c>
      <c r="C7" s="28">
        <v>1</v>
      </c>
      <c r="D7" s="29">
        <v>28.8</v>
      </c>
      <c r="E7" s="29">
        <v>28.8</v>
      </c>
      <c r="F7" s="30">
        <v>72</v>
      </c>
      <c r="G7" s="29">
        <v>72</v>
      </c>
      <c r="H7" s="28">
        <v>756160</v>
      </c>
      <c r="I7" s="27" t="s">
        <v>4</v>
      </c>
      <c r="J7" s="31"/>
      <c r="K7" s="27" t="s">
        <v>132</v>
      </c>
      <c r="L7" s="27" t="s">
        <v>648</v>
      </c>
      <c r="M7" s="32" t="str">
        <f>HYPERLINK("http://slimages.macys.com/is/image/MCY/3959069 ")</f>
        <v xml:space="preserve">http://slimages.macys.com/is/image/MCY/3959069 </v>
      </c>
    </row>
    <row r="8" spans="1:13" ht="15.2" customHeight="1" x14ac:dyDescent="0.2">
      <c r="A8" s="26" t="s">
        <v>6774</v>
      </c>
      <c r="B8" s="27" t="s">
        <v>6775</v>
      </c>
      <c r="C8" s="28">
        <v>1</v>
      </c>
      <c r="D8" s="29">
        <v>27.2</v>
      </c>
      <c r="E8" s="29">
        <v>27.2</v>
      </c>
      <c r="F8" s="30">
        <v>79</v>
      </c>
      <c r="G8" s="29">
        <v>79</v>
      </c>
      <c r="H8" s="28" t="s">
        <v>1726</v>
      </c>
      <c r="I8" s="27" t="s">
        <v>75</v>
      </c>
      <c r="J8" s="31" t="s">
        <v>5</v>
      </c>
      <c r="K8" s="27" t="s">
        <v>42</v>
      </c>
      <c r="L8" s="27" t="s">
        <v>43</v>
      </c>
      <c r="M8" s="32" t="str">
        <f>HYPERLINK("http://slimages.macys.com/is/image/MCY/3636315 ")</f>
        <v xml:space="preserve">http://slimages.macys.com/is/image/MCY/3636315 </v>
      </c>
    </row>
    <row r="9" spans="1:13" ht="15.2" customHeight="1" x14ac:dyDescent="0.2">
      <c r="A9" s="26" t="s">
        <v>6776</v>
      </c>
      <c r="B9" s="27" t="s">
        <v>6777</v>
      </c>
      <c r="C9" s="28">
        <v>1</v>
      </c>
      <c r="D9" s="29">
        <v>27</v>
      </c>
      <c r="E9" s="29">
        <v>27</v>
      </c>
      <c r="F9" s="30">
        <v>69.5</v>
      </c>
      <c r="G9" s="29">
        <v>69.5</v>
      </c>
      <c r="H9" s="28" t="s">
        <v>5992</v>
      </c>
      <c r="I9" s="27" t="s">
        <v>8</v>
      </c>
      <c r="J9" s="31"/>
      <c r="K9" s="27" t="s">
        <v>17</v>
      </c>
      <c r="L9" s="27" t="s">
        <v>18</v>
      </c>
      <c r="M9" s="32" t="str">
        <f>HYPERLINK("http://slimages.macys.com/is/image/MCY/3384818 ")</f>
        <v xml:space="preserve">http://slimages.macys.com/is/image/MCY/3384818 </v>
      </c>
    </row>
    <row r="10" spans="1:13" ht="15.2" customHeight="1" x14ac:dyDescent="0.2">
      <c r="A10" s="26" t="s">
        <v>6778</v>
      </c>
      <c r="B10" s="27" t="s">
        <v>6779</v>
      </c>
      <c r="C10" s="28">
        <v>1</v>
      </c>
      <c r="D10" s="29">
        <v>27</v>
      </c>
      <c r="E10" s="29">
        <v>27</v>
      </c>
      <c r="F10" s="30">
        <v>69.5</v>
      </c>
      <c r="G10" s="29">
        <v>69.5</v>
      </c>
      <c r="H10" s="28" t="s">
        <v>6780</v>
      </c>
      <c r="I10" s="27" t="s">
        <v>82</v>
      </c>
      <c r="J10" s="31" t="s">
        <v>71</v>
      </c>
      <c r="K10" s="27" t="s">
        <v>17</v>
      </c>
      <c r="L10" s="27" t="s">
        <v>18</v>
      </c>
      <c r="M10" s="32" t="str">
        <f>HYPERLINK("http://slimages.macys.com/is/image/MCY/3750166 ")</f>
        <v xml:space="preserve">http://slimages.macys.com/is/image/MCY/3750166 </v>
      </c>
    </row>
    <row r="11" spans="1:13" ht="15.2" customHeight="1" x14ac:dyDescent="0.2">
      <c r="A11" s="26" t="s">
        <v>6781</v>
      </c>
      <c r="B11" s="27" t="s">
        <v>6782</v>
      </c>
      <c r="C11" s="28">
        <v>1</v>
      </c>
      <c r="D11" s="29">
        <v>26.65</v>
      </c>
      <c r="E11" s="29">
        <v>26.65</v>
      </c>
      <c r="F11" s="30">
        <v>59</v>
      </c>
      <c r="G11" s="29">
        <v>59</v>
      </c>
      <c r="H11" s="28" t="s">
        <v>6783</v>
      </c>
      <c r="I11" s="27" t="s">
        <v>215</v>
      </c>
      <c r="J11" s="31" t="s">
        <v>21</v>
      </c>
      <c r="K11" s="27" t="s">
        <v>42</v>
      </c>
      <c r="L11" s="27" t="s">
        <v>43</v>
      </c>
      <c r="M11" s="32" t="str">
        <f>HYPERLINK("http://slimages.macys.com/is/image/MCY/3533271 ")</f>
        <v xml:space="preserve">http://slimages.macys.com/is/image/MCY/3533271 </v>
      </c>
    </row>
    <row r="12" spans="1:13" ht="15.2" customHeight="1" x14ac:dyDescent="0.2">
      <c r="A12" s="26" t="s">
        <v>6784</v>
      </c>
      <c r="B12" s="27" t="s">
        <v>6785</v>
      </c>
      <c r="C12" s="28">
        <v>1</v>
      </c>
      <c r="D12" s="29">
        <v>26.5</v>
      </c>
      <c r="E12" s="29">
        <v>26.5</v>
      </c>
      <c r="F12" s="30">
        <v>79</v>
      </c>
      <c r="G12" s="29">
        <v>79</v>
      </c>
      <c r="H12" s="28" t="s">
        <v>6786</v>
      </c>
      <c r="I12" s="27" t="s">
        <v>36</v>
      </c>
      <c r="J12" s="31"/>
      <c r="K12" s="27" t="s">
        <v>24</v>
      </c>
      <c r="L12" s="27" t="s">
        <v>67</v>
      </c>
      <c r="M12" s="32" t="str">
        <f>HYPERLINK("http://slimages.macys.com/is/image/MCY/3845983 ")</f>
        <v xml:space="preserve">http://slimages.macys.com/is/image/MCY/3845983 </v>
      </c>
    </row>
    <row r="13" spans="1:13" ht="15.2" customHeight="1" x14ac:dyDescent="0.2">
      <c r="A13" s="26" t="s">
        <v>6787</v>
      </c>
      <c r="B13" s="27" t="s">
        <v>6788</v>
      </c>
      <c r="C13" s="28">
        <v>1</v>
      </c>
      <c r="D13" s="29">
        <v>25.87</v>
      </c>
      <c r="E13" s="29">
        <v>25.87</v>
      </c>
      <c r="F13" s="30">
        <v>69</v>
      </c>
      <c r="G13" s="29">
        <v>69</v>
      </c>
      <c r="H13" s="28">
        <v>7036069</v>
      </c>
      <c r="I13" s="27" t="s">
        <v>26</v>
      </c>
      <c r="J13" s="31" t="s">
        <v>2420</v>
      </c>
      <c r="K13" s="27" t="s">
        <v>462</v>
      </c>
      <c r="L13" s="27" t="s">
        <v>463</v>
      </c>
      <c r="M13" s="32" t="str">
        <f>HYPERLINK("http://slimages.macys.com/is/image/MCY/3587101 ")</f>
        <v xml:space="preserve">http://slimages.macys.com/is/image/MCY/3587101 </v>
      </c>
    </row>
    <row r="14" spans="1:13" ht="15.2" customHeight="1" x14ac:dyDescent="0.2">
      <c r="A14" s="26" t="s">
        <v>666</v>
      </c>
      <c r="B14" s="27" t="s">
        <v>667</v>
      </c>
      <c r="C14" s="28">
        <v>2</v>
      </c>
      <c r="D14" s="29">
        <v>25.37</v>
      </c>
      <c r="E14" s="29">
        <v>50.74</v>
      </c>
      <c r="F14" s="30">
        <v>69.5</v>
      </c>
      <c r="G14" s="29">
        <v>139</v>
      </c>
      <c r="H14" s="28" t="s">
        <v>668</v>
      </c>
      <c r="I14" s="27" t="s">
        <v>1</v>
      </c>
      <c r="J14" s="31" t="s">
        <v>21</v>
      </c>
      <c r="K14" s="27" t="s">
        <v>41</v>
      </c>
      <c r="L14" s="27" t="s">
        <v>45</v>
      </c>
      <c r="M14" s="32" t="str">
        <f>HYPERLINK("http://slimages.macys.com/is/image/MCY/3774615 ")</f>
        <v xml:space="preserve">http://slimages.macys.com/is/image/MCY/3774615 </v>
      </c>
    </row>
    <row r="15" spans="1:13" ht="15.2" customHeight="1" x14ac:dyDescent="0.2">
      <c r="A15" s="26" t="s">
        <v>2075</v>
      </c>
      <c r="B15" s="27" t="s">
        <v>2076</v>
      </c>
      <c r="C15" s="28">
        <v>1</v>
      </c>
      <c r="D15" s="29">
        <v>25.37</v>
      </c>
      <c r="E15" s="29">
        <v>25.37</v>
      </c>
      <c r="F15" s="30">
        <v>69.5</v>
      </c>
      <c r="G15" s="29">
        <v>69.5</v>
      </c>
      <c r="H15" s="28" t="s">
        <v>668</v>
      </c>
      <c r="I15" s="27" t="s">
        <v>1</v>
      </c>
      <c r="J15" s="31" t="s">
        <v>52</v>
      </c>
      <c r="K15" s="27" t="s">
        <v>41</v>
      </c>
      <c r="L15" s="27" t="s">
        <v>45</v>
      </c>
      <c r="M15" s="32" t="str">
        <f>HYPERLINK("http://slimages.macys.com/is/image/MCY/3774615 ")</f>
        <v xml:space="preserve">http://slimages.macys.com/is/image/MCY/3774615 </v>
      </c>
    </row>
    <row r="16" spans="1:13" ht="15.2" customHeight="1" x14ac:dyDescent="0.2">
      <c r="A16" s="26" t="s">
        <v>6789</v>
      </c>
      <c r="B16" s="27" t="s">
        <v>6790</v>
      </c>
      <c r="C16" s="28">
        <v>1</v>
      </c>
      <c r="D16" s="29">
        <v>25.34</v>
      </c>
      <c r="E16" s="29">
        <v>25.34</v>
      </c>
      <c r="F16" s="30">
        <v>69.5</v>
      </c>
      <c r="G16" s="29">
        <v>69.5</v>
      </c>
      <c r="H16" s="28" t="s">
        <v>4926</v>
      </c>
      <c r="I16" s="27" t="s">
        <v>10</v>
      </c>
      <c r="J16" s="31" t="s">
        <v>5</v>
      </c>
      <c r="K16" s="27" t="s">
        <v>41</v>
      </c>
      <c r="L16" s="27" t="s">
        <v>45</v>
      </c>
      <c r="M16" s="32" t="str">
        <f>HYPERLINK("http://slimages.macys.com/is/image/MCY/3802135 ")</f>
        <v xml:space="preserve">http://slimages.macys.com/is/image/MCY/3802135 </v>
      </c>
    </row>
    <row r="17" spans="1:13" ht="15.2" customHeight="1" x14ac:dyDescent="0.2">
      <c r="A17" s="26" t="s">
        <v>2077</v>
      </c>
      <c r="B17" s="27" t="s">
        <v>2078</v>
      </c>
      <c r="C17" s="28">
        <v>1</v>
      </c>
      <c r="D17" s="29">
        <v>24.97</v>
      </c>
      <c r="E17" s="29">
        <v>24.97</v>
      </c>
      <c r="F17" s="30">
        <v>69.5</v>
      </c>
      <c r="G17" s="29">
        <v>69.5</v>
      </c>
      <c r="H17" s="28" t="s">
        <v>1093</v>
      </c>
      <c r="I17" s="27" t="s">
        <v>22</v>
      </c>
      <c r="J17" s="31" t="s">
        <v>21</v>
      </c>
      <c r="K17" s="27" t="s">
        <v>41</v>
      </c>
      <c r="L17" s="27" t="s">
        <v>45</v>
      </c>
      <c r="M17" s="32" t="str">
        <f>HYPERLINK("http://slimages.macys.com/is/image/MCY/2962546 ")</f>
        <v xml:space="preserve">http://slimages.macys.com/is/image/MCY/2962546 </v>
      </c>
    </row>
    <row r="18" spans="1:13" ht="15.2" customHeight="1" x14ac:dyDescent="0.2">
      <c r="A18" s="26" t="s">
        <v>6791</v>
      </c>
      <c r="B18" s="27" t="s">
        <v>6792</v>
      </c>
      <c r="C18" s="28">
        <v>1</v>
      </c>
      <c r="D18" s="29">
        <v>24.34</v>
      </c>
      <c r="E18" s="29">
        <v>24.34</v>
      </c>
      <c r="F18" s="30">
        <v>39.99</v>
      </c>
      <c r="G18" s="29">
        <v>39.99</v>
      </c>
      <c r="H18" s="28">
        <v>228530009</v>
      </c>
      <c r="I18" s="27" t="s">
        <v>8</v>
      </c>
      <c r="J18" s="31"/>
      <c r="K18" s="27" t="s">
        <v>2</v>
      </c>
      <c r="L18" s="27" t="s">
        <v>3</v>
      </c>
      <c r="M18" s="32" t="str">
        <f>HYPERLINK("http://slimages.macys.com/is/image/MCY/3384435 ")</f>
        <v xml:space="preserve">http://slimages.macys.com/is/image/MCY/3384435 </v>
      </c>
    </row>
    <row r="19" spans="1:13" ht="15.2" customHeight="1" x14ac:dyDescent="0.2">
      <c r="A19" s="26" t="s">
        <v>6793</v>
      </c>
      <c r="B19" s="27" t="s">
        <v>6794</v>
      </c>
      <c r="C19" s="28">
        <v>1</v>
      </c>
      <c r="D19" s="29">
        <v>23</v>
      </c>
      <c r="E19" s="29">
        <v>23</v>
      </c>
      <c r="F19" s="30">
        <v>59.5</v>
      </c>
      <c r="G19" s="29">
        <v>59.5</v>
      </c>
      <c r="H19" s="28" t="s">
        <v>6795</v>
      </c>
      <c r="I19" s="27" t="s">
        <v>36</v>
      </c>
      <c r="J19" s="31" t="s">
        <v>71</v>
      </c>
      <c r="K19" s="27" t="s">
        <v>17</v>
      </c>
      <c r="L19" s="27" t="s">
        <v>18</v>
      </c>
      <c r="M19" s="32" t="str">
        <f>HYPERLINK("http://slimages.macys.com/is/image/MCY/3875935 ")</f>
        <v xml:space="preserve">http://slimages.macys.com/is/image/MCY/3875935 </v>
      </c>
    </row>
    <row r="20" spans="1:13" ht="15.2" customHeight="1" x14ac:dyDescent="0.2">
      <c r="A20" s="26" t="s">
        <v>6796</v>
      </c>
      <c r="B20" s="27" t="s">
        <v>6797</v>
      </c>
      <c r="C20" s="28">
        <v>1</v>
      </c>
      <c r="D20" s="29">
        <v>23</v>
      </c>
      <c r="E20" s="29">
        <v>23</v>
      </c>
      <c r="F20" s="30">
        <v>69</v>
      </c>
      <c r="G20" s="29">
        <v>69</v>
      </c>
      <c r="H20" s="28" t="s">
        <v>6798</v>
      </c>
      <c r="I20" s="27" t="s">
        <v>94</v>
      </c>
      <c r="J20" s="31" t="s">
        <v>69</v>
      </c>
      <c r="K20" s="27" t="s">
        <v>24</v>
      </c>
      <c r="L20" s="27" t="s">
        <v>1079</v>
      </c>
      <c r="M20" s="32" t="str">
        <f>HYPERLINK("http://slimages.macys.com/is/image/MCY/3581901 ")</f>
        <v xml:space="preserve">http://slimages.macys.com/is/image/MCY/3581901 </v>
      </c>
    </row>
    <row r="21" spans="1:13" ht="15.2" customHeight="1" x14ac:dyDescent="0.2">
      <c r="A21" s="26" t="s">
        <v>6799</v>
      </c>
      <c r="B21" s="27" t="s">
        <v>6800</v>
      </c>
      <c r="C21" s="28">
        <v>1</v>
      </c>
      <c r="D21" s="29">
        <v>22.51</v>
      </c>
      <c r="E21" s="29">
        <v>22.51</v>
      </c>
      <c r="F21" s="30">
        <v>64.5</v>
      </c>
      <c r="G21" s="29">
        <v>64.5</v>
      </c>
      <c r="H21" s="28" t="s">
        <v>6801</v>
      </c>
      <c r="I21" s="27" t="s">
        <v>4</v>
      </c>
      <c r="J21" s="31" t="s">
        <v>52</v>
      </c>
      <c r="K21" s="27" t="s">
        <v>53</v>
      </c>
      <c r="L21" s="27" t="s">
        <v>54</v>
      </c>
      <c r="M21" s="32" t="str">
        <f>HYPERLINK("http://slimages.macys.com/is/image/MCY/3954681 ")</f>
        <v xml:space="preserve">http://slimages.macys.com/is/image/MCY/3954681 </v>
      </c>
    </row>
    <row r="22" spans="1:13" ht="15.2" customHeight="1" x14ac:dyDescent="0.2">
      <c r="A22" s="26" t="s">
        <v>6802</v>
      </c>
      <c r="B22" s="27" t="s">
        <v>6803</v>
      </c>
      <c r="C22" s="28">
        <v>1</v>
      </c>
      <c r="D22" s="29">
        <v>22.24</v>
      </c>
      <c r="E22" s="29">
        <v>22.24</v>
      </c>
      <c r="F22" s="30">
        <v>69.5</v>
      </c>
      <c r="G22" s="29">
        <v>69.5</v>
      </c>
      <c r="H22" s="28">
        <v>49008192</v>
      </c>
      <c r="I22" s="27" t="s">
        <v>10</v>
      </c>
      <c r="J22" s="31" t="s">
        <v>1602</v>
      </c>
      <c r="K22" s="27" t="s">
        <v>6</v>
      </c>
      <c r="L22" s="27" t="s">
        <v>7</v>
      </c>
      <c r="M22" s="32" t="str">
        <f>HYPERLINK("http://slimages.macys.com/is/image/MCY/3923812 ")</f>
        <v xml:space="preserve">http://slimages.macys.com/is/image/MCY/3923812 </v>
      </c>
    </row>
    <row r="23" spans="1:13" ht="15.2" customHeight="1" x14ac:dyDescent="0.2">
      <c r="A23" s="26" t="s">
        <v>3703</v>
      </c>
      <c r="B23" s="27" t="s">
        <v>3704</v>
      </c>
      <c r="C23" s="28">
        <v>1</v>
      </c>
      <c r="D23" s="29">
        <v>22</v>
      </c>
      <c r="E23" s="29">
        <v>22</v>
      </c>
      <c r="F23" s="30">
        <v>69</v>
      </c>
      <c r="G23" s="29">
        <v>69</v>
      </c>
      <c r="H23" s="28" t="s">
        <v>2817</v>
      </c>
      <c r="I23" s="27" t="s">
        <v>1280</v>
      </c>
      <c r="J23" s="31" t="s">
        <v>23</v>
      </c>
      <c r="K23" s="27" t="s">
        <v>24</v>
      </c>
      <c r="L23" s="27" t="s">
        <v>25</v>
      </c>
      <c r="M23" s="32" t="str">
        <f>HYPERLINK("http://slimages.macys.com/is/image/MCY/3937114 ")</f>
        <v xml:space="preserve">http://slimages.macys.com/is/image/MCY/3937114 </v>
      </c>
    </row>
    <row r="24" spans="1:13" ht="15.2" customHeight="1" x14ac:dyDescent="0.2">
      <c r="A24" s="26" t="s">
        <v>6804</v>
      </c>
      <c r="B24" s="27" t="s">
        <v>6805</v>
      </c>
      <c r="C24" s="28">
        <v>1</v>
      </c>
      <c r="D24" s="29">
        <v>22</v>
      </c>
      <c r="E24" s="29">
        <v>22</v>
      </c>
      <c r="F24" s="30">
        <v>69</v>
      </c>
      <c r="G24" s="29">
        <v>69</v>
      </c>
      <c r="H24" s="28" t="s">
        <v>6806</v>
      </c>
      <c r="I24" s="27" t="s">
        <v>29</v>
      </c>
      <c r="J24" s="31" t="s">
        <v>71</v>
      </c>
      <c r="K24" s="27" t="s">
        <v>37</v>
      </c>
      <c r="L24" s="27" t="s">
        <v>38</v>
      </c>
      <c r="M24" s="32" t="str">
        <f>HYPERLINK("http://slimages.macys.com/is/image/MCY/3667684 ")</f>
        <v xml:space="preserve">http://slimages.macys.com/is/image/MCY/3667684 </v>
      </c>
    </row>
    <row r="25" spans="1:13" ht="15.2" customHeight="1" x14ac:dyDescent="0.2">
      <c r="A25" s="26" t="s">
        <v>6807</v>
      </c>
      <c r="B25" s="27" t="s">
        <v>6808</v>
      </c>
      <c r="C25" s="28">
        <v>1</v>
      </c>
      <c r="D25" s="29">
        <v>22</v>
      </c>
      <c r="E25" s="29">
        <v>22</v>
      </c>
      <c r="F25" s="30">
        <v>69</v>
      </c>
      <c r="G25" s="29">
        <v>69</v>
      </c>
      <c r="H25" s="28" t="s">
        <v>6809</v>
      </c>
      <c r="I25" s="27" t="s">
        <v>82</v>
      </c>
      <c r="J25" s="31" t="s">
        <v>21</v>
      </c>
      <c r="K25" s="27" t="s">
        <v>37</v>
      </c>
      <c r="L25" s="27" t="s">
        <v>38</v>
      </c>
      <c r="M25" s="32" t="str">
        <f>HYPERLINK("http://slimages.macys.com/is/image/MCY/3417854 ")</f>
        <v xml:space="preserve">http://slimages.macys.com/is/image/MCY/3417854 </v>
      </c>
    </row>
    <row r="26" spans="1:13" ht="15.2" customHeight="1" x14ac:dyDescent="0.2">
      <c r="A26" s="26" t="s">
        <v>2552</v>
      </c>
      <c r="B26" s="27" t="s">
        <v>2553</v>
      </c>
      <c r="C26" s="28">
        <v>1</v>
      </c>
      <c r="D26" s="29">
        <v>21.9</v>
      </c>
      <c r="E26" s="29">
        <v>21.9</v>
      </c>
      <c r="F26" s="30">
        <v>59.99</v>
      </c>
      <c r="G26" s="29">
        <v>59.99</v>
      </c>
      <c r="H26" s="28" t="s">
        <v>2554</v>
      </c>
      <c r="I26" s="27" t="s">
        <v>20</v>
      </c>
      <c r="J26" s="31" t="s">
        <v>40</v>
      </c>
      <c r="K26" s="27" t="s">
        <v>41</v>
      </c>
      <c r="L26" s="27" t="s">
        <v>31</v>
      </c>
      <c r="M26" s="32" t="str">
        <f>HYPERLINK("http://slimages.macys.com/is/image/MCY/3918847 ")</f>
        <v xml:space="preserve">http://slimages.macys.com/is/image/MCY/3918847 </v>
      </c>
    </row>
    <row r="27" spans="1:13" ht="15.2" customHeight="1" x14ac:dyDescent="0.2">
      <c r="A27" s="26" t="s">
        <v>6810</v>
      </c>
      <c r="B27" s="27" t="s">
        <v>6811</v>
      </c>
      <c r="C27" s="28">
        <v>1</v>
      </c>
      <c r="D27" s="29">
        <v>21.83</v>
      </c>
      <c r="E27" s="29">
        <v>21.83</v>
      </c>
      <c r="F27" s="30">
        <v>49.5</v>
      </c>
      <c r="G27" s="29">
        <v>49.5</v>
      </c>
      <c r="H27" s="28" t="s">
        <v>6812</v>
      </c>
      <c r="I27" s="27" t="s">
        <v>82</v>
      </c>
      <c r="J27" s="31" t="s">
        <v>21</v>
      </c>
      <c r="K27" s="27" t="s">
        <v>41</v>
      </c>
      <c r="L27" s="27" t="s">
        <v>31</v>
      </c>
      <c r="M27" s="32" t="str">
        <f>HYPERLINK("http://slimages.macys.com/is/image/MCY/3243381 ")</f>
        <v xml:space="preserve">http://slimages.macys.com/is/image/MCY/3243381 </v>
      </c>
    </row>
    <row r="28" spans="1:13" ht="15.2" customHeight="1" x14ac:dyDescent="0.2">
      <c r="A28" s="26" t="s">
        <v>6813</v>
      </c>
      <c r="B28" s="27" t="s">
        <v>6814</v>
      </c>
      <c r="C28" s="28">
        <v>1</v>
      </c>
      <c r="D28" s="29">
        <v>21.75</v>
      </c>
      <c r="E28" s="29">
        <v>21.75</v>
      </c>
      <c r="F28" s="30">
        <v>69</v>
      </c>
      <c r="G28" s="29">
        <v>69</v>
      </c>
      <c r="H28" s="28" t="s">
        <v>6815</v>
      </c>
      <c r="I28" s="27" t="s">
        <v>10</v>
      </c>
      <c r="J28" s="31" t="s">
        <v>21</v>
      </c>
      <c r="K28" s="27" t="s">
        <v>42</v>
      </c>
      <c r="L28" s="27" t="s">
        <v>43</v>
      </c>
      <c r="M28" s="32" t="str">
        <f>HYPERLINK("http://slimages.macys.com/is/image/MCY/3393369 ")</f>
        <v xml:space="preserve">http://slimages.macys.com/is/image/MCY/3393369 </v>
      </c>
    </row>
    <row r="29" spans="1:13" ht="15.2" customHeight="1" x14ac:dyDescent="0.2">
      <c r="A29" s="26" t="s">
        <v>6816</v>
      </c>
      <c r="B29" s="27" t="s">
        <v>6817</v>
      </c>
      <c r="C29" s="28">
        <v>1</v>
      </c>
      <c r="D29" s="29">
        <v>21.14</v>
      </c>
      <c r="E29" s="29">
        <v>21.14</v>
      </c>
      <c r="F29" s="30">
        <v>59.5</v>
      </c>
      <c r="G29" s="29">
        <v>59.5</v>
      </c>
      <c r="H29" s="28" t="s">
        <v>6818</v>
      </c>
      <c r="I29" s="27" t="s">
        <v>10</v>
      </c>
      <c r="J29" s="31" t="s">
        <v>50</v>
      </c>
      <c r="K29" s="27" t="s">
        <v>12</v>
      </c>
      <c r="L29" s="27" t="s">
        <v>13</v>
      </c>
      <c r="M29" s="32" t="str">
        <f>HYPERLINK("http://slimages.macys.com/is/image/MCY/3973169 ")</f>
        <v xml:space="preserve">http://slimages.macys.com/is/image/MCY/3973169 </v>
      </c>
    </row>
    <row r="30" spans="1:13" ht="15.2" customHeight="1" x14ac:dyDescent="0.2">
      <c r="A30" s="26" t="s">
        <v>6819</v>
      </c>
      <c r="B30" s="27" t="s">
        <v>6820</v>
      </c>
      <c r="C30" s="28">
        <v>1</v>
      </c>
      <c r="D30" s="29">
        <v>20.86</v>
      </c>
      <c r="E30" s="29">
        <v>20.86</v>
      </c>
      <c r="F30" s="30">
        <v>50.99</v>
      </c>
      <c r="G30" s="29">
        <v>50.99</v>
      </c>
      <c r="H30" s="28" t="s">
        <v>1112</v>
      </c>
      <c r="I30" s="27" t="s">
        <v>4</v>
      </c>
      <c r="J30" s="31" t="s">
        <v>21</v>
      </c>
      <c r="K30" s="27" t="s">
        <v>41</v>
      </c>
      <c r="L30" s="27" t="s">
        <v>45</v>
      </c>
      <c r="M30" s="32" t="str">
        <f>HYPERLINK("http://slimages.macys.com/is/image/MCY/3598728 ")</f>
        <v xml:space="preserve">http://slimages.macys.com/is/image/MCY/3598728 </v>
      </c>
    </row>
    <row r="31" spans="1:13" ht="15.2" customHeight="1" x14ac:dyDescent="0.2">
      <c r="A31" s="26" t="s">
        <v>57</v>
      </c>
      <c r="B31" s="27" t="s">
        <v>58</v>
      </c>
      <c r="C31" s="28">
        <v>1</v>
      </c>
      <c r="D31" s="29">
        <v>20.85</v>
      </c>
      <c r="E31" s="29">
        <v>20.85</v>
      </c>
      <c r="F31" s="30">
        <v>69.5</v>
      </c>
      <c r="G31" s="29">
        <v>69.5</v>
      </c>
      <c r="H31" s="28">
        <v>49022869</v>
      </c>
      <c r="I31" s="27" t="s">
        <v>59</v>
      </c>
      <c r="J31" s="31" t="s">
        <v>52</v>
      </c>
      <c r="K31" s="27" t="s">
        <v>6</v>
      </c>
      <c r="L31" s="27" t="s">
        <v>7</v>
      </c>
      <c r="M31" s="32" t="str">
        <f>HYPERLINK("http://slimages.macys.com/is/image/MCY/3879427 ")</f>
        <v xml:space="preserve">http://slimages.macys.com/is/image/MCY/3879427 </v>
      </c>
    </row>
    <row r="32" spans="1:13" ht="15.2" customHeight="1" x14ac:dyDescent="0.2">
      <c r="A32" s="26" t="s">
        <v>6821</v>
      </c>
      <c r="B32" s="27" t="s">
        <v>6822</v>
      </c>
      <c r="C32" s="28">
        <v>1</v>
      </c>
      <c r="D32" s="29">
        <v>20.74</v>
      </c>
      <c r="E32" s="29">
        <v>20.74</v>
      </c>
      <c r="F32" s="30">
        <v>47.75</v>
      </c>
      <c r="G32" s="29">
        <v>47.75</v>
      </c>
      <c r="H32" s="28" t="s">
        <v>676</v>
      </c>
      <c r="I32" s="27" t="s">
        <v>10</v>
      </c>
      <c r="J32" s="31" t="s">
        <v>214</v>
      </c>
      <c r="K32" s="27" t="s">
        <v>41</v>
      </c>
      <c r="L32" s="27" t="s">
        <v>45</v>
      </c>
      <c r="M32" s="32" t="str">
        <f>HYPERLINK("http://slimages.macys.com/is/image/MCY/3678323 ")</f>
        <v xml:space="preserve">http://slimages.macys.com/is/image/MCY/3678323 </v>
      </c>
    </row>
    <row r="33" spans="1:13" ht="15.2" customHeight="1" x14ac:dyDescent="0.2">
      <c r="A33" s="26" t="s">
        <v>6823</v>
      </c>
      <c r="B33" s="27" t="s">
        <v>6824</v>
      </c>
      <c r="C33" s="28">
        <v>1</v>
      </c>
      <c r="D33" s="29">
        <v>20.65</v>
      </c>
      <c r="E33" s="29">
        <v>20.65</v>
      </c>
      <c r="F33" s="30">
        <v>59</v>
      </c>
      <c r="G33" s="29">
        <v>59</v>
      </c>
      <c r="H33" s="28" t="s">
        <v>3707</v>
      </c>
      <c r="I33" s="27" t="s">
        <v>248</v>
      </c>
      <c r="J33" s="31" t="s">
        <v>40</v>
      </c>
      <c r="K33" s="27" t="s">
        <v>37</v>
      </c>
      <c r="L33" s="27" t="s">
        <v>38</v>
      </c>
      <c r="M33" s="32" t="str">
        <f>HYPERLINK("http://slimages.macys.com/is/image/MCY/3820522 ")</f>
        <v xml:space="preserve">http://slimages.macys.com/is/image/MCY/3820522 </v>
      </c>
    </row>
    <row r="34" spans="1:13" ht="15.2" customHeight="1" x14ac:dyDescent="0.2">
      <c r="A34" s="26" t="s">
        <v>6825</v>
      </c>
      <c r="B34" s="27" t="s">
        <v>6826</v>
      </c>
      <c r="C34" s="28">
        <v>1</v>
      </c>
      <c r="D34" s="29">
        <v>20.63</v>
      </c>
      <c r="E34" s="29">
        <v>20.63</v>
      </c>
      <c r="F34" s="30">
        <v>59.5</v>
      </c>
      <c r="G34" s="29">
        <v>59.5</v>
      </c>
      <c r="H34" s="28" t="s">
        <v>6827</v>
      </c>
      <c r="I34" s="27" t="s">
        <v>10</v>
      </c>
      <c r="J34" s="31" t="s">
        <v>21</v>
      </c>
      <c r="K34" s="27" t="s">
        <v>41</v>
      </c>
      <c r="L34" s="27" t="s">
        <v>45</v>
      </c>
      <c r="M34" s="32" t="str">
        <f>HYPERLINK("http://slimages.macys.com/is/image/MCY/3490186 ")</f>
        <v xml:space="preserve">http://slimages.macys.com/is/image/MCY/3490186 </v>
      </c>
    </row>
    <row r="35" spans="1:13" ht="15.2" customHeight="1" x14ac:dyDescent="0.2">
      <c r="A35" s="26" t="s">
        <v>6828</v>
      </c>
      <c r="B35" s="27" t="s">
        <v>6829</v>
      </c>
      <c r="C35" s="28">
        <v>1</v>
      </c>
      <c r="D35" s="29">
        <v>20.53</v>
      </c>
      <c r="E35" s="29">
        <v>20.53</v>
      </c>
      <c r="F35" s="30">
        <v>59.5</v>
      </c>
      <c r="G35" s="29">
        <v>59.5</v>
      </c>
      <c r="H35" s="28" t="s">
        <v>6830</v>
      </c>
      <c r="I35" s="27" t="s">
        <v>82</v>
      </c>
      <c r="J35" s="31" t="s">
        <v>65</v>
      </c>
      <c r="K35" s="27" t="s">
        <v>53</v>
      </c>
      <c r="L35" s="27" t="s">
        <v>54</v>
      </c>
      <c r="M35" s="32" t="str">
        <f>HYPERLINK("http://slimages.macys.com/is/image/MCY/3393800 ")</f>
        <v xml:space="preserve">http://slimages.macys.com/is/image/MCY/3393800 </v>
      </c>
    </row>
    <row r="36" spans="1:13" ht="15.2" customHeight="1" x14ac:dyDescent="0.2">
      <c r="A36" s="26" t="s">
        <v>6831</v>
      </c>
      <c r="B36" s="27" t="s">
        <v>6832</v>
      </c>
      <c r="C36" s="28">
        <v>1</v>
      </c>
      <c r="D36" s="29">
        <v>20.52</v>
      </c>
      <c r="E36" s="29">
        <v>20.52</v>
      </c>
      <c r="F36" s="30">
        <v>50.99</v>
      </c>
      <c r="G36" s="29">
        <v>50.99</v>
      </c>
      <c r="H36" s="28" t="s">
        <v>6833</v>
      </c>
      <c r="I36" s="27" t="s">
        <v>1103</v>
      </c>
      <c r="J36" s="31" t="s">
        <v>172</v>
      </c>
      <c r="K36" s="27" t="s">
        <v>41</v>
      </c>
      <c r="L36" s="27" t="s">
        <v>45</v>
      </c>
      <c r="M36" s="32" t="str">
        <f>HYPERLINK("http://slimages.macys.com/is/image/MCY/3548320 ")</f>
        <v xml:space="preserve">http://slimages.macys.com/is/image/MCY/3548320 </v>
      </c>
    </row>
    <row r="37" spans="1:13" ht="15.2" customHeight="1" x14ac:dyDescent="0.2">
      <c r="A37" s="26" t="s">
        <v>6834</v>
      </c>
      <c r="B37" s="27" t="s">
        <v>6835</v>
      </c>
      <c r="C37" s="28">
        <v>1</v>
      </c>
      <c r="D37" s="29">
        <v>20.52</v>
      </c>
      <c r="E37" s="29">
        <v>20.52</v>
      </c>
      <c r="F37" s="30">
        <v>59.5</v>
      </c>
      <c r="G37" s="29">
        <v>59.5</v>
      </c>
      <c r="H37" s="28" t="s">
        <v>6836</v>
      </c>
      <c r="I37" s="27" t="s">
        <v>4</v>
      </c>
      <c r="J37" s="31" t="s">
        <v>21</v>
      </c>
      <c r="K37" s="27" t="s">
        <v>53</v>
      </c>
      <c r="L37" s="27" t="s">
        <v>167</v>
      </c>
      <c r="M37" s="32" t="str">
        <f>HYPERLINK("http://slimages.macys.com/is/image/MCY/3836396 ")</f>
        <v xml:space="preserve">http://slimages.macys.com/is/image/MCY/3836396 </v>
      </c>
    </row>
    <row r="38" spans="1:13" ht="15.2" customHeight="1" x14ac:dyDescent="0.2">
      <c r="A38" s="26" t="s">
        <v>6837</v>
      </c>
      <c r="B38" s="27" t="s">
        <v>6838</v>
      </c>
      <c r="C38" s="28">
        <v>1</v>
      </c>
      <c r="D38" s="29">
        <v>20.5</v>
      </c>
      <c r="E38" s="29">
        <v>20.5</v>
      </c>
      <c r="F38" s="30">
        <v>59</v>
      </c>
      <c r="G38" s="29">
        <v>59</v>
      </c>
      <c r="H38" s="28" t="s">
        <v>6839</v>
      </c>
      <c r="I38" s="27" t="s">
        <v>94</v>
      </c>
      <c r="J38" s="31" t="s">
        <v>5</v>
      </c>
      <c r="K38" s="27" t="s">
        <v>37</v>
      </c>
      <c r="L38" s="27" t="s">
        <v>38</v>
      </c>
      <c r="M38" s="32" t="str">
        <f>HYPERLINK("http://slimages.macys.com/is/image/MCY/3670371 ")</f>
        <v xml:space="preserve">http://slimages.macys.com/is/image/MCY/3670371 </v>
      </c>
    </row>
    <row r="39" spans="1:13" ht="15.2" customHeight="1" x14ac:dyDescent="0.2">
      <c r="A39" s="26" t="s">
        <v>6840</v>
      </c>
      <c r="B39" s="27" t="s">
        <v>6841</v>
      </c>
      <c r="C39" s="28">
        <v>2</v>
      </c>
      <c r="D39" s="29">
        <v>20.420000000000002</v>
      </c>
      <c r="E39" s="29">
        <v>40.840000000000003</v>
      </c>
      <c r="F39" s="30">
        <v>59.5</v>
      </c>
      <c r="G39" s="29">
        <v>119</v>
      </c>
      <c r="H39" s="28" t="s">
        <v>2561</v>
      </c>
      <c r="I39" s="27" t="s">
        <v>26</v>
      </c>
      <c r="J39" s="31" t="s">
        <v>5</v>
      </c>
      <c r="K39" s="27" t="s">
        <v>53</v>
      </c>
      <c r="L39" s="27" t="s">
        <v>167</v>
      </c>
      <c r="M39" s="32" t="str">
        <f>HYPERLINK("http://slimages.macys.com/is/image/MCY/3773786 ")</f>
        <v xml:space="preserve">http://slimages.macys.com/is/image/MCY/3773786 </v>
      </c>
    </row>
    <row r="40" spans="1:13" ht="15.2" customHeight="1" x14ac:dyDescent="0.2">
      <c r="A40" s="26" t="s">
        <v>6842</v>
      </c>
      <c r="B40" s="27" t="s">
        <v>6843</v>
      </c>
      <c r="C40" s="28">
        <v>1</v>
      </c>
      <c r="D40" s="29">
        <v>20.27</v>
      </c>
      <c r="E40" s="29">
        <v>20.27</v>
      </c>
      <c r="F40" s="30">
        <v>44.99</v>
      </c>
      <c r="G40" s="29">
        <v>44.99</v>
      </c>
      <c r="H40" s="28" t="s">
        <v>683</v>
      </c>
      <c r="I40" s="27" t="s">
        <v>10</v>
      </c>
      <c r="J40" s="31" t="s">
        <v>5</v>
      </c>
      <c r="K40" s="27" t="s">
        <v>41</v>
      </c>
      <c r="L40" s="27" t="s">
        <v>45</v>
      </c>
      <c r="M40" s="32" t="str">
        <f>HYPERLINK("http://slimages.macys.com/is/image/MCY/3121203 ")</f>
        <v xml:space="preserve">http://slimages.macys.com/is/image/MCY/3121203 </v>
      </c>
    </row>
    <row r="41" spans="1:13" ht="15.2" customHeight="1" x14ac:dyDescent="0.2">
      <c r="A41" s="26" t="s">
        <v>2562</v>
      </c>
      <c r="B41" s="27" t="s">
        <v>2563</v>
      </c>
      <c r="C41" s="28">
        <v>1</v>
      </c>
      <c r="D41" s="29">
        <v>20.079999999999998</v>
      </c>
      <c r="E41" s="29">
        <v>20.079999999999998</v>
      </c>
      <c r="F41" s="30">
        <v>46.25</v>
      </c>
      <c r="G41" s="29">
        <v>46.25</v>
      </c>
      <c r="H41" s="28" t="s">
        <v>2564</v>
      </c>
      <c r="I41" s="27" t="s">
        <v>10</v>
      </c>
      <c r="J41" s="31" t="s">
        <v>216</v>
      </c>
      <c r="K41" s="27" t="s">
        <v>41</v>
      </c>
      <c r="L41" s="27" t="s">
        <v>45</v>
      </c>
      <c r="M41" s="32" t="str">
        <f>HYPERLINK("http://slimages.macys.com/is/image/MCY/3724372 ")</f>
        <v xml:space="preserve">http://slimages.macys.com/is/image/MCY/3724372 </v>
      </c>
    </row>
    <row r="42" spans="1:13" ht="15.2" customHeight="1" x14ac:dyDescent="0.2">
      <c r="A42" s="26" t="s">
        <v>2565</v>
      </c>
      <c r="B42" s="27" t="s">
        <v>2566</v>
      </c>
      <c r="C42" s="28">
        <v>1</v>
      </c>
      <c r="D42" s="29">
        <v>20.079999999999998</v>
      </c>
      <c r="E42" s="29">
        <v>20.079999999999998</v>
      </c>
      <c r="F42" s="30">
        <v>46.25</v>
      </c>
      <c r="G42" s="29">
        <v>46.25</v>
      </c>
      <c r="H42" s="28" t="s">
        <v>2564</v>
      </c>
      <c r="I42" s="27" t="s">
        <v>10</v>
      </c>
      <c r="J42" s="31" t="s">
        <v>234</v>
      </c>
      <c r="K42" s="27" t="s">
        <v>41</v>
      </c>
      <c r="L42" s="27" t="s">
        <v>45</v>
      </c>
      <c r="M42" s="32" t="str">
        <f>HYPERLINK("http://slimages.macys.com/is/image/MCY/3724372 ")</f>
        <v xml:space="preserve">http://slimages.macys.com/is/image/MCY/3724372 </v>
      </c>
    </row>
    <row r="43" spans="1:13" ht="15.2" customHeight="1" x14ac:dyDescent="0.2">
      <c r="A43" s="26" t="s">
        <v>6844</v>
      </c>
      <c r="B43" s="27" t="s">
        <v>6845</v>
      </c>
      <c r="C43" s="28">
        <v>1</v>
      </c>
      <c r="D43" s="29">
        <v>20.079999999999998</v>
      </c>
      <c r="E43" s="29">
        <v>20.079999999999998</v>
      </c>
      <c r="F43" s="30">
        <v>46.25</v>
      </c>
      <c r="G43" s="29">
        <v>46.25</v>
      </c>
      <c r="H43" s="28" t="s">
        <v>2564</v>
      </c>
      <c r="I43" s="27" t="s">
        <v>10</v>
      </c>
      <c r="J43" s="31"/>
      <c r="K43" s="27" t="s">
        <v>41</v>
      </c>
      <c r="L43" s="27" t="s">
        <v>45</v>
      </c>
      <c r="M43" s="32" t="str">
        <f>HYPERLINK("http://slimages.macys.com/is/image/MCY/3724372 ")</f>
        <v xml:space="preserve">http://slimages.macys.com/is/image/MCY/3724372 </v>
      </c>
    </row>
    <row r="44" spans="1:13" ht="15.2" customHeight="1" x14ac:dyDescent="0.2">
      <c r="A44" s="26" t="s">
        <v>6410</v>
      </c>
      <c r="B44" s="27" t="s">
        <v>6411</v>
      </c>
      <c r="C44" s="28">
        <v>1</v>
      </c>
      <c r="D44" s="29">
        <v>20</v>
      </c>
      <c r="E44" s="29">
        <v>20</v>
      </c>
      <c r="F44" s="30">
        <v>49.99</v>
      </c>
      <c r="G44" s="29">
        <v>49.99</v>
      </c>
      <c r="H44" s="28" t="s">
        <v>6412</v>
      </c>
      <c r="I44" s="27" t="s">
        <v>82</v>
      </c>
      <c r="J44" s="31"/>
      <c r="K44" s="27" t="s">
        <v>70</v>
      </c>
      <c r="L44" s="27" t="s">
        <v>67</v>
      </c>
      <c r="M44" s="32" t="str">
        <f>HYPERLINK("http://slimages.macys.com/is/image/MCY/3666158 ")</f>
        <v xml:space="preserve">http://slimages.macys.com/is/image/MCY/3666158 </v>
      </c>
    </row>
    <row r="45" spans="1:13" ht="15.2" customHeight="1" x14ac:dyDescent="0.2">
      <c r="A45" s="26" t="s">
        <v>6846</v>
      </c>
      <c r="B45" s="27" t="s">
        <v>6847</v>
      </c>
      <c r="C45" s="28">
        <v>1</v>
      </c>
      <c r="D45" s="29">
        <v>20</v>
      </c>
      <c r="E45" s="29">
        <v>20</v>
      </c>
      <c r="F45" s="30">
        <v>49.99</v>
      </c>
      <c r="G45" s="29">
        <v>49.99</v>
      </c>
      <c r="H45" s="28" t="s">
        <v>1119</v>
      </c>
      <c r="I45" s="27" t="s">
        <v>39</v>
      </c>
      <c r="J45" s="31"/>
      <c r="K45" s="27" t="s">
        <v>70</v>
      </c>
      <c r="L45" s="27" t="s">
        <v>67</v>
      </c>
      <c r="M45" s="32" t="str">
        <f>HYPERLINK("http://slimages.macys.com/is/image/MCY/3760845 ")</f>
        <v xml:space="preserve">http://slimages.macys.com/is/image/MCY/3760845 </v>
      </c>
    </row>
    <row r="46" spans="1:13" ht="15.2" customHeight="1" x14ac:dyDescent="0.2">
      <c r="A46" s="26" t="s">
        <v>6848</v>
      </c>
      <c r="B46" s="27" t="s">
        <v>6849</v>
      </c>
      <c r="C46" s="28">
        <v>1</v>
      </c>
      <c r="D46" s="29">
        <v>19</v>
      </c>
      <c r="E46" s="29">
        <v>19</v>
      </c>
      <c r="F46" s="30">
        <v>59</v>
      </c>
      <c r="G46" s="29">
        <v>59</v>
      </c>
      <c r="H46" s="28" t="s">
        <v>6850</v>
      </c>
      <c r="I46" s="27" t="s">
        <v>271</v>
      </c>
      <c r="J46" s="31" t="s">
        <v>214</v>
      </c>
      <c r="K46" s="27" t="s">
        <v>24</v>
      </c>
      <c r="L46" s="27" t="s">
        <v>650</v>
      </c>
      <c r="M46" s="32" t="str">
        <f>HYPERLINK("http://slimages.macys.com/is/image/MCY/3924458 ")</f>
        <v xml:space="preserve">http://slimages.macys.com/is/image/MCY/3924458 </v>
      </c>
    </row>
    <row r="47" spans="1:13" ht="15.2" customHeight="1" x14ac:dyDescent="0.2">
      <c r="A47" s="26" t="s">
        <v>6851</v>
      </c>
      <c r="B47" s="27" t="s">
        <v>6852</v>
      </c>
      <c r="C47" s="28">
        <v>1</v>
      </c>
      <c r="D47" s="29">
        <v>19</v>
      </c>
      <c r="E47" s="29">
        <v>19</v>
      </c>
      <c r="F47" s="30">
        <v>54</v>
      </c>
      <c r="G47" s="29">
        <v>54</v>
      </c>
      <c r="H47" s="28" t="s">
        <v>6853</v>
      </c>
      <c r="I47" s="27"/>
      <c r="J47" s="31" t="s">
        <v>5</v>
      </c>
      <c r="K47" s="27" t="s">
        <v>154</v>
      </c>
      <c r="L47" s="27" t="s">
        <v>155</v>
      </c>
      <c r="M47" s="32" t="str">
        <f>HYPERLINK("http://slimages.macys.com/is/image/MCY/3667566 ")</f>
        <v xml:space="preserve">http://slimages.macys.com/is/image/MCY/3667566 </v>
      </c>
    </row>
    <row r="48" spans="1:13" ht="15.2" customHeight="1" x14ac:dyDescent="0.2">
      <c r="A48" s="26" t="s">
        <v>6854</v>
      </c>
      <c r="B48" s="27" t="s">
        <v>6855</v>
      </c>
      <c r="C48" s="28">
        <v>1</v>
      </c>
      <c r="D48" s="29">
        <v>18.82</v>
      </c>
      <c r="E48" s="29">
        <v>18.82</v>
      </c>
      <c r="F48" s="30">
        <v>50.99</v>
      </c>
      <c r="G48" s="29">
        <v>50.99</v>
      </c>
      <c r="H48" s="28" t="s">
        <v>6427</v>
      </c>
      <c r="I48" s="27" t="s">
        <v>107</v>
      </c>
      <c r="J48" s="31" t="s">
        <v>71</v>
      </c>
      <c r="K48" s="27" t="s">
        <v>41</v>
      </c>
      <c r="L48" s="27" t="s">
        <v>45</v>
      </c>
      <c r="M48" s="32" t="str">
        <f>HYPERLINK("http://slimages.macys.com/is/image/MCY/3598853 ")</f>
        <v xml:space="preserve">http://slimages.macys.com/is/image/MCY/3598853 </v>
      </c>
    </row>
    <row r="49" spans="1:13" ht="15.2" customHeight="1" x14ac:dyDescent="0.2">
      <c r="A49" s="26" t="s">
        <v>6856</v>
      </c>
      <c r="B49" s="27" t="s">
        <v>6857</v>
      </c>
      <c r="C49" s="28">
        <v>1</v>
      </c>
      <c r="D49" s="29">
        <v>18.75</v>
      </c>
      <c r="E49" s="29">
        <v>18.75</v>
      </c>
      <c r="F49" s="30">
        <v>44.99</v>
      </c>
      <c r="G49" s="29">
        <v>44.99</v>
      </c>
      <c r="H49" s="28" t="s">
        <v>6858</v>
      </c>
      <c r="I49" s="27" t="s">
        <v>661</v>
      </c>
      <c r="J49" s="31" t="s">
        <v>21</v>
      </c>
      <c r="K49" s="27" t="s">
        <v>70</v>
      </c>
      <c r="L49" s="27" t="s">
        <v>999</v>
      </c>
      <c r="M49" s="32" t="str">
        <f>HYPERLINK("http://slimages.macys.com/is/image/MCY/3755644 ")</f>
        <v xml:space="preserve">http://slimages.macys.com/is/image/MCY/3755644 </v>
      </c>
    </row>
    <row r="50" spans="1:13" ht="15.2" customHeight="1" x14ac:dyDescent="0.2">
      <c r="A50" s="26" t="s">
        <v>6859</v>
      </c>
      <c r="B50" s="27" t="s">
        <v>6860</v>
      </c>
      <c r="C50" s="28">
        <v>1</v>
      </c>
      <c r="D50" s="29">
        <v>18.75</v>
      </c>
      <c r="E50" s="29">
        <v>18.75</v>
      </c>
      <c r="F50" s="30">
        <v>59</v>
      </c>
      <c r="G50" s="29">
        <v>59</v>
      </c>
      <c r="H50" s="28" t="s">
        <v>6861</v>
      </c>
      <c r="I50" s="27" t="s">
        <v>265</v>
      </c>
      <c r="J50" s="31" t="s">
        <v>21</v>
      </c>
      <c r="K50" s="27" t="s">
        <v>37</v>
      </c>
      <c r="L50" s="27" t="s">
        <v>38</v>
      </c>
      <c r="M50" s="32" t="str">
        <f>HYPERLINK("http://slimages.macys.com/is/image/MCY/3789258 ")</f>
        <v xml:space="preserve">http://slimages.macys.com/is/image/MCY/3789258 </v>
      </c>
    </row>
    <row r="51" spans="1:13" ht="15.2" customHeight="1" x14ac:dyDescent="0.2">
      <c r="A51" s="26" t="s">
        <v>6862</v>
      </c>
      <c r="B51" s="27" t="s">
        <v>6863</v>
      </c>
      <c r="C51" s="28">
        <v>1</v>
      </c>
      <c r="D51" s="29">
        <v>18.75</v>
      </c>
      <c r="E51" s="29">
        <v>18.75</v>
      </c>
      <c r="F51" s="30">
        <v>44.99</v>
      </c>
      <c r="G51" s="29">
        <v>44.99</v>
      </c>
      <c r="H51" s="28" t="s">
        <v>6858</v>
      </c>
      <c r="I51" s="27" t="s">
        <v>661</v>
      </c>
      <c r="J51" s="31" t="s">
        <v>71</v>
      </c>
      <c r="K51" s="27" t="s">
        <v>70</v>
      </c>
      <c r="L51" s="27" t="s">
        <v>999</v>
      </c>
      <c r="M51" s="32" t="str">
        <f>HYPERLINK("http://slimages.macys.com/is/image/MCY/3755644 ")</f>
        <v xml:space="preserve">http://slimages.macys.com/is/image/MCY/3755644 </v>
      </c>
    </row>
    <row r="52" spans="1:13" ht="15.2" customHeight="1" x14ac:dyDescent="0.2">
      <c r="A52" s="26" t="s">
        <v>6864</v>
      </c>
      <c r="B52" s="27" t="s">
        <v>6865</v>
      </c>
      <c r="C52" s="28">
        <v>1</v>
      </c>
      <c r="D52" s="29">
        <v>18.53</v>
      </c>
      <c r="E52" s="29">
        <v>18.53</v>
      </c>
      <c r="F52" s="30">
        <v>49.5</v>
      </c>
      <c r="G52" s="29">
        <v>49.5</v>
      </c>
      <c r="H52" s="28" t="s">
        <v>6866</v>
      </c>
      <c r="I52" s="27" t="s">
        <v>746</v>
      </c>
      <c r="J52" s="31" t="s">
        <v>32</v>
      </c>
      <c r="K52" s="27" t="s">
        <v>12</v>
      </c>
      <c r="L52" s="27" t="s">
        <v>13</v>
      </c>
      <c r="M52" s="32" t="str">
        <f>HYPERLINK("http://slimages.macys.com/is/image/MCY/3660005 ")</f>
        <v xml:space="preserve">http://slimages.macys.com/is/image/MCY/3660005 </v>
      </c>
    </row>
    <row r="53" spans="1:13" ht="15.2" customHeight="1" x14ac:dyDescent="0.2">
      <c r="A53" s="26" t="s">
        <v>4606</v>
      </c>
      <c r="B53" s="27" t="s">
        <v>4607</v>
      </c>
      <c r="C53" s="28">
        <v>1</v>
      </c>
      <c r="D53" s="29">
        <v>18.07</v>
      </c>
      <c r="E53" s="29">
        <v>18.07</v>
      </c>
      <c r="F53" s="30">
        <v>49.5</v>
      </c>
      <c r="G53" s="29">
        <v>49.5</v>
      </c>
      <c r="H53" s="28" t="s">
        <v>89</v>
      </c>
      <c r="I53" s="27" t="s">
        <v>10</v>
      </c>
      <c r="J53" s="31" t="s">
        <v>65</v>
      </c>
      <c r="K53" s="27" t="s">
        <v>41</v>
      </c>
      <c r="L53" s="27" t="s">
        <v>90</v>
      </c>
      <c r="M53" s="32" t="str">
        <f>HYPERLINK("http://slimages.macys.com/is/image/MCY/3913386 ")</f>
        <v xml:space="preserve">http://slimages.macys.com/is/image/MCY/3913386 </v>
      </c>
    </row>
    <row r="54" spans="1:13" ht="15.2" customHeight="1" x14ac:dyDescent="0.2">
      <c r="A54" s="26" t="s">
        <v>2583</v>
      </c>
      <c r="B54" s="27" t="s">
        <v>2584</v>
      </c>
      <c r="C54" s="28">
        <v>1</v>
      </c>
      <c r="D54" s="29">
        <v>18.059999999999999</v>
      </c>
      <c r="E54" s="29">
        <v>18.059999999999999</v>
      </c>
      <c r="F54" s="30">
        <v>44.99</v>
      </c>
      <c r="G54" s="29">
        <v>44.99</v>
      </c>
      <c r="H54" s="28" t="s">
        <v>2098</v>
      </c>
      <c r="I54" s="27" t="s">
        <v>4</v>
      </c>
      <c r="J54" s="31" t="s">
        <v>214</v>
      </c>
      <c r="K54" s="27" t="s">
        <v>41</v>
      </c>
      <c r="L54" s="27" t="s">
        <v>45</v>
      </c>
      <c r="M54" s="32" t="str">
        <f>HYPERLINK("http://slimages.macys.com/is/image/MCY/3264481 ")</f>
        <v xml:space="preserve">http://slimages.macys.com/is/image/MCY/3264481 </v>
      </c>
    </row>
    <row r="55" spans="1:13" ht="15.2" customHeight="1" x14ac:dyDescent="0.2">
      <c r="A55" s="26" t="s">
        <v>1749</v>
      </c>
      <c r="B55" s="27" t="s">
        <v>1750</v>
      </c>
      <c r="C55" s="28">
        <v>1</v>
      </c>
      <c r="D55" s="29">
        <v>18.059999999999999</v>
      </c>
      <c r="E55" s="29">
        <v>18.059999999999999</v>
      </c>
      <c r="F55" s="30">
        <v>49.5</v>
      </c>
      <c r="G55" s="29">
        <v>49.5</v>
      </c>
      <c r="H55" s="28" t="s">
        <v>93</v>
      </c>
      <c r="I55" s="27" t="s">
        <v>94</v>
      </c>
      <c r="J55" s="31" t="s">
        <v>21</v>
      </c>
      <c r="K55" s="27" t="s">
        <v>41</v>
      </c>
      <c r="L55" s="27" t="s">
        <v>45</v>
      </c>
      <c r="M55" s="32" t="str">
        <f>HYPERLINK("http://slimages.macys.com/is/image/MCY/3954975 ")</f>
        <v xml:space="preserve">http://slimages.macys.com/is/image/MCY/3954975 </v>
      </c>
    </row>
    <row r="56" spans="1:13" ht="15.2" customHeight="1" x14ac:dyDescent="0.2">
      <c r="A56" s="26" t="s">
        <v>98</v>
      </c>
      <c r="B56" s="27" t="s">
        <v>99</v>
      </c>
      <c r="C56" s="28">
        <v>1</v>
      </c>
      <c r="D56" s="29">
        <v>18</v>
      </c>
      <c r="E56" s="29">
        <v>18</v>
      </c>
      <c r="F56" s="30">
        <v>59</v>
      </c>
      <c r="G56" s="29">
        <v>59</v>
      </c>
      <c r="H56" s="28" t="s">
        <v>100</v>
      </c>
      <c r="I56" s="27" t="s">
        <v>4</v>
      </c>
      <c r="J56" s="31" t="s">
        <v>52</v>
      </c>
      <c r="K56" s="27" t="s">
        <v>24</v>
      </c>
      <c r="L56" s="27" t="s">
        <v>101</v>
      </c>
      <c r="M56" s="32" t="str">
        <f>HYPERLINK("http://slimages.macys.com/is/image/MCY/3912998 ")</f>
        <v xml:space="preserve">http://slimages.macys.com/is/image/MCY/3912998 </v>
      </c>
    </row>
    <row r="57" spans="1:13" ht="15.2" customHeight="1" x14ac:dyDescent="0.2">
      <c r="A57" s="26" t="s">
        <v>6867</v>
      </c>
      <c r="B57" s="27" t="s">
        <v>6868</v>
      </c>
      <c r="C57" s="28">
        <v>1</v>
      </c>
      <c r="D57" s="29">
        <v>18</v>
      </c>
      <c r="E57" s="29">
        <v>18</v>
      </c>
      <c r="F57" s="30">
        <v>59</v>
      </c>
      <c r="G57" s="29">
        <v>59</v>
      </c>
      <c r="H57" s="28" t="s">
        <v>100</v>
      </c>
      <c r="I57" s="27" t="s">
        <v>4</v>
      </c>
      <c r="J57" s="31" t="s">
        <v>40</v>
      </c>
      <c r="K57" s="27" t="s">
        <v>24</v>
      </c>
      <c r="L57" s="27" t="s">
        <v>101</v>
      </c>
      <c r="M57" s="32" t="str">
        <f>HYPERLINK("http://slimages.macys.com/is/image/MCY/3912998 ")</f>
        <v xml:space="preserve">http://slimages.macys.com/is/image/MCY/3912998 </v>
      </c>
    </row>
    <row r="58" spans="1:13" ht="15.2" customHeight="1" x14ac:dyDescent="0.2">
      <c r="A58" s="26" t="s">
        <v>6869</v>
      </c>
      <c r="B58" s="27" t="s">
        <v>6870</v>
      </c>
      <c r="C58" s="28">
        <v>1</v>
      </c>
      <c r="D58" s="29">
        <v>18</v>
      </c>
      <c r="E58" s="29">
        <v>18</v>
      </c>
      <c r="F58" s="30">
        <v>59</v>
      </c>
      <c r="G58" s="29">
        <v>59</v>
      </c>
      <c r="H58" s="28" t="s">
        <v>6871</v>
      </c>
      <c r="I58" s="27"/>
      <c r="J58" s="31" t="s">
        <v>65</v>
      </c>
      <c r="K58" s="27" t="s">
        <v>24</v>
      </c>
      <c r="L58" s="27" t="s">
        <v>155</v>
      </c>
      <c r="M58" s="32" t="str">
        <f>HYPERLINK("http://slimages.macys.com/is/image/MCY/3801789 ")</f>
        <v xml:space="preserve">http://slimages.macys.com/is/image/MCY/3801789 </v>
      </c>
    </row>
    <row r="59" spans="1:13" ht="15.2" customHeight="1" x14ac:dyDescent="0.2">
      <c r="A59" s="26" t="s">
        <v>6872</v>
      </c>
      <c r="B59" s="27" t="s">
        <v>6873</v>
      </c>
      <c r="C59" s="28">
        <v>1</v>
      </c>
      <c r="D59" s="29">
        <v>18</v>
      </c>
      <c r="E59" s="29">
        <v>18</v>
      </c>
      <c r="F59" s="30">
        <v>59</v>
      </c>
      <c r="G59" s="29">
        <v>59</v>
      </c>
      <c r="H59" s="28" t="s">
        <v>6874</v>
      </c>
      <c r="I59" s="27"/>
      <c r="J59" s="31" t="s">
        <v>21</v>
      </c>
      <c r="K59" s="27" t="s">
        <v>154</v>
      </c>
      <c r="L59" s="27" t="s">
        <v>155</v>
      </c>
      <c r="M59" s="32" t="str">
        <f>HYPERLINK("http://slimages.macys.com/is/image/MCY/3372215 ")</f>
        <v xml:space="preserve">http://slimages.macys.com/is/image/MCY/3372215 </v>
      </c>
    </row>
    <row r="60" spans="1:13" ht="15.2" customHeight="1" x14ac:dyDescent="0.2">
      <c r="A60" s="26" t="s">
        <v>1149</v>
      </c>
      <c r="B60" s="27" t="s">
        <v>1150</v>
      </c>
      <c r="C60" s="28">
        <v>1</v>
      </c>
      <c r="D60" s="29">
        <v>18</v>
      </c>
      <c r="E60" s="29">
        <v>18</v>
      </c>
      <c r="F60" s="30">
        <v>49</v>
      </c>
      <c r="G60" s="29">
        <v>49</v>
      </c>
      <c r="H60" s="28" t="s">
        <v>1148</v>
      </c>
      <c r="I60" s="27" t="s">
        <v>4</v>
      </c>
      <c r="J60" s="31" t="s">
        <v>40</v>
      </c>
      <c r="K60" s="27" t="s">
        <v>154</v>
      </c>
      <c r="L60" s="27" t="s">
        <v>155</v>
      </c>
      <c r="M60" s="32" t="str">
        <f>HYPERLINK("http://slimages.macys.com/is/image/MCY/3667544 ")</f>
        <v xml:space="preserve">http://slimages.macys.com/is/image/MCY/3667544 </v>
      </c>
    </row>
    <row r="61" spans="1:13" ht="15.2" customHeight="1" x14ac:dyDescent="0.2">
      <c r="A61" s="26" t="s">
        <v>6875</v>
      </c>
      <c r="B61" s="27" t="s">
        <v>6876</v>
      </c>
      <c r="C61" s="28">
        <v>1</v>
      </c>
      <c r="D61" s="29">
        <v>17.850000000000001</v>
      </c>
      <c r="E61" s="29">
        <v>17.850000000000001</v>
      </c>
      <c r="F61" s="30">
        <v>59.5</v>
      </c>
      <c r="G61" s="29">
        <v>59.5</v>
      </c>
      <c r="H61" s="28">
        <v>49022900</v>
      </c>
      <c r="I61" s="27" t="s">
        <v>4</v>
      </c>
      <c r="J61" s="31" t="s">
        <v>65</v>
      </c>
      <c r="K61" s="27" t="s">
        <v>6</v>
      </c>
      <c r="L61" s="27" t="s">
        <v>7</v>
      </c>
      <c r="M61" s="32" t="str">
        <f>HYPERLINK("http://slimages.macys.com/is/image/MCY/3939787 ")</f>
        <v xml:space="preserve">http://slimages.macys.com/is/image/MCY/3939787 </v>
      </c>
    </row>
    <row r="62" spans="1:13" ht="15.2" customHeight="1" x14ac:dyDescent="0.2">
      <c r="A62" s="26" t="s">
        <v>6877</v>
      </c>
      <c r="B62" s="27" t="s">
        <v>6878</v>
      </c>
      <c r="C62" s="28">
        <v>1</v>
      </c>
      <c r="D62" s="29">
        <v>17.72</v>
      </c>
      <c r="E62" s="29">
        <v>17.72</v>
      </c>
      <c r="F62" s="30">
        <v>49.5</v>
      </c>
      <c r="G62" s="29">
        <v>49.5</v>
      </c>
      <c r="H62" s="28" t="s">
        <v>6879</v>
      </c>
      <c r="I62" s="27" t="s">
        <v>10</v>
      </c>
      <c r="J62" s="31" t="s">
        <v>71</v>
      </c>
      <c r="K62" s="27" t="s">
        <v>41</v>
      </c>
      <c r="L62" s="27" t="s">
        <v>45</v>
      </c>
      <c r="M62" s="32" t="str">
        <f>HYPERLINK("http://slimages.macys.com/is/image/MCY/3367571 ")</f>
        <v xml:space="preserve">http://slimages.macys.com/is/image/MCY/3367571 </v>
      </c>
    </row>
    <row r="63" spans="1:13" ht="15.2" customHeight="1" x14ac:dyDescent="0.2">
      <c r="A63" s="26" t="s">
        <v>6880</v>
      </c>
      <c r="B63" s="27" t="s">
        <v>6881</v>
      </c>
      <c r="C63" s="28">
        <v>1</v>
      </c>
      <c r="D63" s="29">
        <v>17.71</v>
      </c>
      <c r="E63" s="29">
        <v>17.71</v>
      </c>
      <c r="F63" s="30">
        <v>44.5</v>
      </c>
      <c r="G63" s="29">
        <v>44.5</v>
      </c>
      <c r="H63" s="28" t="s">
        <v>6882</v>
      </c>
      <c r="I63" s="27" t="s">
        <v>59</v>
      </c>
      <c r="J63" s="31"/>
      <c r="K63" s="27" t="s">
        <v>12</v>
      </c>
      <c r="L63" s="27" t="s">
        <v>13</v>
      </c>
      <c r="M63" s="32" t="str">
        <f>HYPERLINK("http://slimages.macys.com/is/image/MCY/2839000 ")</f>
        <v xml:space="preserve">http://slimages.macys.com/is/image/MCY/2839000 </v>
      </c>
    </row>
    <row r="64" spans="1:13" ht="15.2" customHeight="1" x14ac:dyDescent="0.2">
      <c r="A64" s="26" t="s">
        <v>6883</v>
      </c>
      <c r="B64" s="27" t="s">
        <v>6884</v>
      </c>
      <c r="C64" s="28">
        <v>1</v>
      </c>
      <c r="D64" s="29">
        <v>17.670000000000002</v>
      </c>
      <c r="E64" s="29">
        <v>17.670000000000002</v>
      </c>
      <c r="F64" s="30">
        <v>49.5</v>
      </c>
      <c r="G64" s="29">
        <v>49.5</v>
      </c>
      <c r="H64" s="28" t="s">
        <v>6885</v>
      </c>
      <c r="I64" s="27" t="s">
        <v>82</v>
      </c>
      <c r="J64" s="31" t="s">
        <v>52</v>
      </c>
      <c r="K64" s="27" t="s">
        <v>53</v>
      </c>
      <c r="L64" s="27" t="s">
        <v>54</v>
      </c>
      <c r="M64" s="32" t="str">
        <f>HYPERLINK("http://slimages.macys.com/is/image/MCY/3578343 ")</f>
        <v xml:space="preserve">http://slimages.macys.com/is/image/MCY/3578343 </v>
      </c>
    </row>
    <row r="65" spans="1:13" ht="15.2" customHeight="1" x14ac:dyDescent="0.2">
      <c r="A65" s="26" t="s">
        <v>6886</v>
      </c>
      <c r="B65" s="27" t="s">
        <v>6887</v>
      </c>
      <c r="C65" s="28">
        <v>1</v>
      </c>
      <c r="D65" s="29">
        <v>17</v>
      </c>
      <c r="E65" s="29">
        <v>17</v>
      </c>
      <c r="F65" s="30">
        <v>41.99</v>
      </c>
      <c r="G65" s="29">
        <v>41.99</v>
      </c>
      <c r="H65" s="28" t="s">
        <v>6888</v>
      </c>
      <c r="I65" s="27" t="s">
        <v>215</v>
      </c>
      <c r="J65" s="31" t="s">
        <v>71</v>
      </c>
      <c r="K65" s="27" t="s">
        <v>70</v>
      </c>
      <c r="L65" s="27" t="s">
        <v>999</v>
      </c>
      <c r="M65" s="32" t="str">
        <f>HYPERLINK("http://slimages.macys.com/is/image/MCY/3664346 ")</f>
        <v xml:space="preserve">http://slimages.macys.com/is/image/MCY/3664346 </v>
      </c>
    </row>
    <row r="66" spans="1:13" ht="15.2" customHeight="1" x14ac:dyDescent="0.2">
      <c r="A66" s="26" t="s">
        <v>6889</v>
      </c>
      <c r="B66" s="27" t="s">
        <v>6890</v>
      </c>
      <c r="C66" s="28">
        <v>1</v>
      </c>
      <c r="D66" s="29">
        <v>17</v>
      </c>
      <c r="E66" s="29">
        <v>17</v>
      </c>
      <c r="F66" s="30">
        <v>41.99</v>
      </c>
      <c r="G66" s="29">
        <v>41.99</v>
      </c>
      <c r="H66" s="28" t="s">
        <v>4983</v>
      </c>
      <c r="I66" s="27"/>
      <c r="J66" s="31" t="s">
        <v>65</v>
      </c>
      <c r="K66" s="27" t="s">
        <v>70</v>
      </c>
      <c r="L66" s="27" t="s">
        <v>155</v>
      </c>
      <c r="M66" s="32" t="str">
        <f>HYPERLINK("http://slimages.macys.com/is/image/MCY/3814502 ")</f>
        <v xml:space="preserve">http://slimages.macys.com/is/image/MCY/3814502 </v>
      </c>
    </row>
    <row r="67" spans="1:13" ht="15.2" customHeight="1" x14ac:dyDescent="0.2">
      <c r="A67" s="26" t="s">
        <v>1155</v>
      </c>
      <c r="B67" s="27" t="s">
        <v>1156</v>
      </c>
      <c r="C67" s="28">
        <v>1</v>
      </c>
      <c r="D67" s="29">
        <v>17</v>
      </c>
      <c r="E67" s="29">
        <v>17</v>
      </c>
      <c r="F67" s="30">
        <v>42.99</v>
      </c>
      <c r="G67" s="29">
        <v>42.99</v>
      </c>
      <c r="H67" s="28" t="s">
        <v>1157</v>
      </c>
      <c r="I67" s="27" t="s">
        <v>22</v>
      </c>
      <c r="J67" s="31" t="s">
        <v>21</v>
      </c>
      <c r="K67" s="27" t="s">
        <v>70</v>
      </c>
      <c r="L67" s="27" t="s">
        <v>25</v>
      </c>
      <c r="M67" s="32" t="str">
        <f>HYPERLINK("http://slimages.macys.com/is/image/MCY/3563258 ")</f>
        <v xml:space="preserve">http://slimages.macys.com/is/image/MCY/3563258 </v>
      </c>
    </row>
    <row r="68" spans="1:13" ht="15.2" customHeight="1" x14ac:dyDescent="0.2">
      <c r="A68" s="26" t="s">
        <v>6891</v>
      </c>
      <c r="B68" s="27" t="s">
        <v>6892</v>
      </c>
      <c r="C68" s="28">
        <v>1</v>
      </c>
      <c r="D68" s="29">
        <v>17</v>
      </c>
      <c r="E68" s="29">
        <v>17</v>
      </c>
      <c r="F68" s="30">
        <v>41.99</v>
      </c>
      <c r="G68" s="29">
        <v>41.99</v>
      </c>
      <c r="H68" s="28" t="s">
        <v>4983</v>
      </c>
      <c r="I68" s="27"/>
      <c r="J68" s="31" t="s">
        <v>21</v>
      </c>
      <c r="K68" s="27" t="s">
        <v>70</v>
      </c>
      <c r="L68" s="27" t="s">
        <v>155</v>
      </c>
      <c r="M68" s="32" t="str">
        <f>HYPERLINK("http://slimages.macys.com/is/image/MCY/3814502 ")</f>
        <v xml:space="preserve">http://slimages.macys.com/is/image/MCY/3814502 </v>
      </c>
    </row>
    <row r="69" spans="1:13" ht="15.2" customHeight="1" x14ac:dyDescent="0.2">
      <c r="A69" s="26" t="s">
        <v>6893</v>
      </c>
      <c r="B69" s="27" t="s">
        <v>6894</v>
      </c>
      <c r="C69" s="28">
        <v>1</v>
      </c>
      <c r="D69" s="29">
        <v>17</v>
      </c>
      <c r="E69" s="29">
        <v>17</v>
      </c>
      <c r="F69" s="30">
        <v>34.99</v>
      </c>
      <c r="G69" s="29">
        <v>34.99</v>
      </c>
      <c r="H69" s="28" t="s">
        <v>6895</v>
      </c>
      <c r="I69" s="27" t="s">
        <v>4</v>
      </c>
      <c r="J69" s="31" t="s">
        <v>21</v>
      </c>
      <c r="K69" s="27" t="s">
        <v>70</v>
      </c>
      <c r="L69" s="27" t="s">
        <v>155</v>
      </c>
      <c r="M69" s="32" t="str">
        <f>HYPERLINK("http://slimages.macys.com/is/image/MCY/3811721 ")</f>
        <v xml:space="preserve">http://slimages.macys.com/is/image/MCY/3811721 </v>
      </c>
    </row>
    <row r="70" spans="1:13" ht="15.2" customHeight="1" x14ac:dyDescent="0.2">
      <c r="A70" s="26" t="s">
        <v>6896</v>
      </c>
      <c r="B70" s="27" t="s">
        <v>6897</v>
      </c>
      <c r="C70" s="28">
        <v>1</v>
      </c>
      <c r="D70" s="29">
        <v>17</v>
      </c>
      <c r="E70" s="29">
        <v>17</v>
      </c>
      <c r="F70" s="30">
        <v>59</v>
      </c>
      <c r="G70" s="29">
        <v>59</v>
      </c>
      <c r="H70" s="28" t="s">
        <v>6898</v>
      </c>
      <c r="I70" s="27" t="s">
        <v>26</v>
      </c>
      <c r="J70" s="31" t="s">
        <v>71</v>
      </c>
      <c r="K70" s="27" t="s">
        <v>24</v>
      </c>
      <c r="L70" s="27" t="s">
        <v>1079</v>
      </c>
      <c r="M70" s="32" t="str">
        <f>HYPERLINK("http://slimages.macys.com/is/image/MCY/3834248 ")</f>
        <v xml:space="preserve">http://slimages.macys.com/is/image/MCY/3834248 </v>
      </c>
    </row>
    <row r="71" spans="1:13" ht="15.2" customHeight="1" x14ac:dyDescent="0.2">
      <c r="A71" s="26" t="s">
        <v>6899</v>
      </c>
      <c r="B71" s="27" t="s">
        <v>6900</v>
      </c>
      <c r="C71" s="28">
        <v>1</v>
      </c>
      <c r="D71" s="29">
        <v>16.78</v>
      </c>
      <c r="E71" s="29">
        <v>16.78</v>
      </c>
      <c r="F71" s="30">
        <v>46</v>
      </c>
      <c r="G71" s="29">
        <v>46</v>
      </c>
      <c r="H71" s="28" t="s">
        <v>6901</v>
      </c>
      <c r="I71" s="27"/>
      <c r="J71" s="31" t="s">
        <v>71</v>
      </c>
      <c r="K71" s="27" t="s">
        <v>53</v>
      </c>
      <c r="L71" s="27" t="s">
        <v>54</v>
      </c>
      <c r="M71" s="32" t="str">
        <f>HYPERLINK("http://slimages.macys.com/is/image/MCY/2045053 ")</f>
        <v xml:space="preserve">http://slimages.macys.com/is/image/MCY/2045053 </v>
      </c>
    </row>
    <row r="72" spans="1:13" ht="15.2" customHeight="1" x14ac:dyDescent="0.2">
      <c r="A72" s="26" t="s">
        <v>6902</v>
      </c>
      <c r="B72" s="27" t="s">
        <v>6903</v>
      </c>
      <c r="C72" s="28">
        <v>1</v>
      </c>
      <c r="D72" s="29">
        <v>16.75</v>
      </c>
      <c r="E72" s="29">
        <v>16.75</v>
      </c>
      <c r="F72" s="30">
        <v>41.99</v>
      </c>
      <c r="G72" s="29">
        <v>41.99</v>
      </c>
      <c r="H72" s="28" t="s">
        <v>6904</v>
      </c>
      <c r="I72" s="27" t="s">
        <v>59</v>
      </c>
      <c r="J72" s="31" t="s">
        <v>40</v>
      </c>
      <c r="K72" s="27" t="s">
        <v>70</v>
      </c>
      <c r="L72" s="27" t="s">
        <v>650</v>
      </c>
      <c r="M72" s="32" t="str">
        <f>HYPERLINK("http://slimages.macys.com/is/image/MCY/3496689 ")</f>
        <v xml:space="preserve">http://slimages.macys.com/is/image/MCY/3496689 </v>
      </c>
    </row>
    <row r="73" spans="1:13" ht="15.2" customHeight="1" x14ac:dyDescent="0.2">
      <c r="A73" s="26" t="s">
        <v>134</v>
      </c>
      <c r="B73" s="27" t="s">
        <v>135</v>
      </c>
      <c r="C73" s="28">
        <v>3</v>
      </c>
      <c r="D73" s="29">
        <v>16.5</v>
      </c>
      <c r="E73" s="29">
        <v>49.5</v>
      </c>
      <c r="F73" s="30">
        <v>64</v>
      </c>
      <c r="G73" s="29">
        <v>192</v>
      </c>
      <c r="H73" s="28" t="s">
        <v>136</v>
      </c>
      <c r="I73" s="27" t="s">
        <v>4</v>
      </c>
      <c r="J73" s="31" t="s">
        <v>11</v>
      </c>
      <c r="K73" s="27" t="s">
        <v>132</v>
      </c>
      <c r="L73" s="27" t="s">
        <v>133</v>
      </c>
      <c r="M73" s="32" t="str">
        <f>HYPERLINK("http://slimages.macys.com/is/image/MCY/3927330 ")</f>
        <v xml:space="preserve">http://slimages.macys.com/is/image/MCY/3927330 </v>
      </c>
    </row>
    <row r="74" spans="1:13" ht="15.2" customHeight="1" x14ac:dyDescent="0.2">
      <c r="A74" s="26" t="s">
        <v>5415</v>
      </c>
      <c r="B74" s="27" t="s">
        <v>5416</v>
      </c>
      <c r="C74" s="28">
        <v>1</v>
      </c>
      <c r="D74" s="29">
        <v>16.5</v>
      </c>
      <c r="E74" s="29">
        <v>16.5</v>
      </c>
      <c r="F74" s="30">
        <v>64</v>
      </c>
      <c r="G74" s="29">
        <v>64</v>
      </c>
      <c r="H74" s="28" t="s">
        <v>4441</v>
      </c>
      <c r="I74" s="27" t="s">
        <v>94</v>
      </c>
      <c r="J74" s="31" t="s">
        <v>663</v>
      </c>
      <c r="K74" s="27" t="s">
        <v>132</v>
      </c>
      <c r="L74" s="27" t="s">
        <v>133</v>
      </c>
      <c r="M74" s="32" t="str">
        <f>HYPERLINK("http://slimages.macys.com/is/image/MCY/3796833 ")</f>
        <v xml:space="preserve">http://slimages.macys.com/is/image/MCY/3796833 </v>
      </c>
    </row>
    <row r="75" spans="1:13" ht="15.2" customHeight="1" x14ac:dyDescent="0.2">
      <c r="A75" s="26" t="s">
        <v>6905</v>
      </c>
      <c r="B75" s="27" t="s">
        <v>6906</v>
      </c>
      <c r="C75" s="28">
        <v>1</v>
      </c>
      <c r="D75" s="29">
        <v>16.5</v>
      </c>
      <c r="E75" s="29">
        <v>16.5</v>
      </c>
      <c r="F75" s="30">
        <v>64</v>
      </c>
      <c r="G75" s="29">
        <v>64</v>
      </c>
      <c r="H75" s="28" t="s">
        <v>2832</v>
      </c>
      <c r="I75" s="27" t="s">
        <v>94</v>
      </c>
      <c r="J75" s="31"/>
      <c r="K75" s="27" t="s">
        <v>132</v>
      </c>
      <c r="L75" s="27" t="s">
        <v>133</v>
      </c>
      <c r="M75" s="32" t="str">
        <f>HYPERLINK("http://slimages.macys.com/is/image/MCY/3649621 ")</f>
        <v xml:space="preserve">http://slimages.macys.com/is/image/MCY/3649621 </v>
      </c>
    </row>
    <row r="76" spans="1:13" ht="15.2" customHeight="1" x14ac:dyDescent="0.2">
      <c r="A76" s="26" t="s">
        <v>6907</v>
      </c>
      <c r="B76" s="27" t="s">
        <v>6908</v>
      </c>
      <c r="C76" s="28">
        <v>1</v>
      </c>
      <c r="D76" s="29">
        <v>16.25</v>
      </c>
      <c r="E76" s="29">
        <v>16.25</v>
      </c>
      <c r="F76" s="30">
        <v>44.5</v>
      </c>
      <c r="G76" s="29">
        <v>44.5</v>
      </c>
      <c r="H76" s="28" t="s">
        <v>6909</v>
      </c>
      <c r="I76" s="27" t="s">
        <v>4</v>
      </c>
      <c r="J76" s="31" t="s">
        <v>52</v>
      </c>
      <c r="K76" s="27" t="s">
        <v>53</v>
      </c>
      <c r="L76" s="27" t="s">
        <v>54</v>
      </c>
      <c r="M76" s="32" t="str">
        <f>HYPERLINK("http://slimages.macys.com/is/image/MCY/3582142 ")</f>
        <v xml:space="preserve">http://slimages.macys.com/is/image/MCY/3582142 </v>
      </c>
    </row>
    <row r="77" spans="1:13" ht="15.2" customHeight="1" x14ac:dyDescent="0.2">
      <c r="A77" s="26" t="s">
        <v>6910</v>
      </c>
      <c r="B77" s="27" t="s">
        <v>6911</v>
      </c>
      <c r="C77" s="28">
        <v>1</v>
      </c>
      <c r="D77" s="29">
        <v>16.239999999999998</v>
      </c>
      <c r="E77" s="29">
        <v>16.239999999999998</v>
      </c>
      <c r="F77" s="30">
        <v>44.5</v>
      </c>
      <c r="G77" s="29">
        <v>44.5</v>
      </c>
      <c r="H77" s="28">
        <v>40329</v>
      </c>
      <c r="I77" s="27" t="s">
        <v>94</v>
      </c>
      <c r="J77" s="31" t="s">
        <v>52</v>
      </c>
      <c r="K77" s="27" t="s">
        <v>41</v>
      </c>
      <c r="L77" s="27" t="s">
        <v>90</v>
      </c>
      <c r="M77" s="32" t="str">
        <f>HYPERLINK("http://slimages.macys.com/is/image/MCY/3774436 ")</f>
        <v xml:space="preserve">http://slimages.macys.com/is/image/MCY/3774436 </v>
      </c>
    </row>
    <row r="78" spans="1:13" ht="15.2" customHeight="1" x14ac:dyDescent="0.2">
      <c r="A78" s="26" t="s">
        <v>707</v>
      </c>
      <c r="B78" s="27" t="s">
        <v>708</v>
      </c>
      <c r="C78" s="28">
        <v>1</v>
      </c>
      <c r="D78" s="29">
        <v>16.239999999999998</v>
      </c>
      <c r="E78" s="29">
        <v>16.239999999999998</v>
      </c>
      <c r="F78" s="30">
        <v>44.5</v>
      </c>
      <c r="G78" s="29">
        <v>44.5</v>
      </c>
      <c r="H78" s="28" t="s">
        <v>140</v>
      </c>
      <c r="I78" s="27" t="s">
        <v>10</v>
      </c>
      <c r="J78" s="31" t="s">
        <v>5</v>
      </c>
      <c r="K78" s="27" t="s">
        <v>41</v>
      </c>
      <c r="L78" s="27" t="s">
        <v>90</v>
      </c>
      <c r="M78" s="32" t="str">
        <f>HYPERLINK("http://slimages.macys.com/is/image/MCY/3774436 ")</f>
        <v xml:space="preserve">http://slimages.macys.com/is/image/MCY/3774436 </v>
      </c>
    </row>
    <row r="79" spans="1:13" ht="15.2" customHeight="1" x14ac:dyDescent="0.2">
      <c r="A79" s="26" t="s">
        <v>6912</v>
      </c>
      <c r="B79" s="27" t="s">
        <v>6913</v>
      </c>
      <c r="C79" s="28">
        <v>1</v>
      </c>
      <c r="D79" s="29">
        <v>16.239999999999998</v>
      </c>
      <c r="E79" s="29">
        <v>16.239999999999998</v>
      </c>
      <c r="F79" s="30">
        <v>44.5</v>
      </c>
      <c r="G79" s="29">
        <v>44.5</v>
      </c>
      <c r="H79" s="28">
        <v>40329</v>
      </c>
      <c r="I79" s="27" t="s">
        <v>94</v>
      </c>
      <c r="J79" s="31" t="s">
        <v>21</v>
      </c>
      <c r="K79" s="27" t="s">
        <v>41</v>
      </c>
      <c r="L79" s="27" t="s">
        <v>90</v>
      </c>
      <c r="M79" s="32" t="str">
        <f>HYPERLINK("http://slimages.macys.com/is/image/MCY/3774436 ")</f>
        <v xml:space="preserve">http://slimages.macys.com/is/image/MCY/3774436 </v>
      </c>
    </row>
    <row r="80" spans="1:13" ht="15.2" customHeight="1" x14ac:dyDescent="0.2">
      <c r="A80" s="26" t="s">
        <v>1758</v>
      </c>
      <c r="B80" s="27" t="s">
        <v>1759</v>
      </c>
      <c r="C80" s="28">
        <v>2</v>
      </c>
      <c r="D80" s="29">
        <v>16.239999999999998</v>
      </c>
      <c r="E80" s="29">
        <v>32.479999999999997</v>
      </c>
      <c r="F80" s="30">
        <v>44.5</v>
      </c>
      <c r="G80" s="29">
        <v>89</v>
      </c>
      <c r="H80" s="28" t="s">
        <v>711</v>
      </c>
      <c r="I80" s="27" t="s">
        <v>49</v>
      </c>
      <c r="J80" s="31" t="s">
        <v>21</v>
      </c>
      <c r="K80" s="27" t="s">
        <v>41</v>
      </c>
      <c r="L80" s="27" t="s">
        <v>90</v>
      </c>
      <c r="M80" s="32" t="str">
        <f>HYPERLINK("http://slimages.macys.com/is/image/MCY/3774436 ")</f>
        <v xml:space="preserve">http://slimages.macys.com/is/image/MCY/3774436 </v>
      </c>
    </row>
    <row r="81" spans="1:13" ht="15.2" customHeight="1" x14ac:dyDescent="0.2">
      <c r="A81" s="26" t="s">
        <v>6914</v>
      </c>
      <c r="B81" s="27" t="s">
        <v>6915</v>
      </c>
      <c r="C81" s="28">
        <v>1</v>
      </c>
      <c r="D81" s="29">
        <v>16.239999999999998</v>
      </c>
      <c r="E81" s="29">
        <v>16.239999999999998</v>
      </c>
      <c r="F81" s="30">
        <v>44.5</v>
      </c>
      <c r="G81" s="29">
        <v>44.5</v>
      </c>
      <c r="H81" s="28" t="s">
        <v>2105</v>
      </c>
      <c r="I81" s="27" t="s">
        <v>4</v>
      </c>
      <c r="J81" s="31" t="s">
        <v>52</v>
      </c>
      <c r="K81" s="27" t="s">
        <v>53</v>
      </c>
      <c r="L81" s="27" t="s">
        <v>54</v>
      </c>
      <c r="M81" s="32" t="str">
        <f>HYPERLINK("http://slimages.macys.com/is/image/MCY/3811529 ")</f>
        <v xml:space="preserve">http://slimages.macys.com/is/image/MCY/3811529 </v>
      </c>
    </row>
    <row r="82" spans="1:13" ht="15.2" customHeight="1" x14ac:dyDescent="0.2">
      <c r="A82" s="26" t="s">
        <v>702</v>
      </c>
      <c r="B82" s="27" t="s">
        <v>703</v>
      </c>
      <c r="C82" s="28">
        <v>1</v>
      </c>
      <c r="D82" s="29">
        <v>16.239999999999998</v>
      </c>
      <c r="E82" s="29">
        <v>16.239999999999998</v>
      </c>
      <c r="F82" s="30">
        <v>44.5</v>
      </c>
      <c r="G82" s="29">
        <v>44.5</v>
      </c>
      <c r="H82" s="28" t="s">
        <v>141</v>
      </c>
      <c r="I82" s="27" t="s">
        <v>22</v>
      </c>
      <c r="J82" s="31" t="s">
        <v>65</v>
      </c>
      <c r="K82" s="27" t="s">
        <v>41</v>
      </c>
      <c r="L82" s="27" t="s">
        <v>45</v>
      </c>
      <c r="M82" s="32" t="str">
        <f>HYPERLINK("http://slimages.macys.com/is/image/MCY/3802073 ")</f>
        <v xml:space="preserve">http://slimages.macys.com/is/image/MCY/3802073 </v>
      </c>
    </row>
    <row r="83" spans="1:13" ht="15.2" customHeight="1" x14ac:dyDescent="0.2">
      <c r="A83" s="26" t="s">
        <v>6916</v>
      </c>
      <c r="B83" s="27" t="s">
        <v>6917</v>
      </c>
      <c r="C83" s="28">
        <v>1</v>
      </c>
      <c r="D83" s="29">
        <v>16.239999999999998</v>
      </c>
      <c r="E83" s="29">
        <v>16.239999999999998</v>
      </c>
      <c r="F83" s="30">
        <v>44.5</v>
      </c>
      <c r="G83" s="29">
        <v>44.5</v>
      </c>
      <c r="H83" s="28">
        <v>40329</v>
      </c>
      <c r="I83" s="27" t="s">
        <v>94</v>
      </c>
      <c r="J83" s="31" t="s">
        <v>172</v>
      </c>
      <c r="K83" s="27" t="s">
        <v>41</v>
      </c>
      <c r="L83" s="27" t="s">
        <v>90</v>
      </c>
      <c r="M83" s="32" t="str">
        <f>HYPERLINK("http://slimages.macys.com/is/image/MCY/3774436 ")</f>
        <v xml:space="preserve">http://slimages.macys.com/is/image/MCY/3774436 </v>
      </c>
    </row>
    <row r="84" spans="1:13" ht="15.2" customHeight="1" x14ac:dyDescent="0.2">
      <c r="A84" s="26" t="s">
        <v>1754</v>
      </c>
      <c r="B84" s="27" t="s">
        <v>1755</v>
      </c>
      <c r="C84" s="28">
        <v>2</v>
      </c>
      <c r="D84" s="29">
        <v>16.239999999999998</v>
      </c>
      <c r="E84" s="29">
        <v>32.479999999999997</v>
      </c>
      <c r="F84" s="30">
        <v>44.5</v>
      </c>
      <c r="G84" s="29">
        <v>89</v>
      </c>
      <c r="H84" s="28" t="s">
        <v>141</v>
      </c>
      <c r="I84" s="27" t="s">
        <v>22</v>
      </c>
      <c r="J84" s="31" t="s">
        <v>21</v>
      </c>
      <c r="K84" s="27" t="s">
        <v>41</v>
      </c>
      <c r="L84" s="27" t="s">
        <v>45</v>
      </c>
      <c r="M84" s="32" t="str">
        <f>HYPERLINK("http://slimages.macys.com/is/image/MCY/3802073 ")</f>
        <v xml:space="preserve">http://slimages.macys.com/is/image/MCY/3802073 </v>
      </c>
    </row>
    <row r="85" spans="1:13" ht="15.2" customHeight="1" x14ac:dyDescent="0.2">
      <c r="A85" s="26" t="s">
        <v>6918</v>
      </c>
      <c r="B85" s="27" t="s">
        <v>6919</v>
      </c>
      <c r="C85" s="28">
        <v>1</v>
      </c>
      <c r="D85" s="29">
        <v>16.239999999999998</v>
      </c>
      <c r="E85" s="29">
        <v>16.239999999999998</v>
      </c>
      <c r="F85" s="30">
        <v>44.5</v>
      </c>
      <c r="G85" s="29">
        <v>44.5</v>
      </c>
      <c r="H85" s="28" t="s">
        <v>711</v>
      </c>
      <c r="I85" s="27" t="s">
        <v>49</v>
      </c>
      <c r="J85" s="31" t="s">
        <v>71</v>
      </c>
      <c r="K85" s="27" t="s">
        <v>41</v>
      </c>
      <c r="L85" s="27" t="s">
        <v>90</v>
      </c>
      <c r="M85" s="32" t="str">
        <f>HYPERLINK("http://slimages.macys.com/is/image/MCY/3774436 ")</f>
        <v xml:space="preserve">http://slimages.macys.com/is/image/MCY/3774436 </v>
      </c>
    </row>
    <row r="86" spans="1:13" ht="15.2" customHeight="1" x14ac:dyDescent="0.2">
      <c r="A86" s="26" t="s">
        <v>6920</v>
      </c>
      <c r="B86" s="27" t="s">
        <v>6921</v>
      </c>
      <c r="C86" s="28">
        <v>1</v>
      </c>
      <c r="D86" s="29">
        <v>16</v>
      </c>
      <c r="E86" s="29">
        <v>16</v>
      </c>
      <c r="F86" s="30">
        <v>29.99</v>
      </c>
      <c r="G86" s="29">
        <v>29.99</v>
      </c>
      <c r="H86" s="28">
        <v>60414259</v>
      </c>
      <c r="I86" s="27" t="s">
        <v>1</v>
      </c>
      <c r="J86" s="31"/>
      <c r="K86" s="27" t="s">
        <v>200</v>
      </c>
      <c r="L86" s="27" t="s">
        <v>6922</v>
      </c>
      <c r="M86" s="32" t="str">
        <f>HYPERLINK("http://slimages.macys.com/is/image/MCY/3240899 ")</f>
        <v xml:space="preserve">http://slimages.macys.com/is/image/MCY/3240899 </v>
      </c>
    </row>
    <row r="87" spans="1:13" ht="15.2" customHeight="1" x14ac:dyDescent="0.2">
      <c r="A87" s="26" t="s">
        <v>6923</v>
      </c>
      <c r="B87" s="27" t="s">
        <v>6924</v>
      </c>
      <c r="C87" s="28">
        <v>1</v>
      </c>
      <c r="D87" s="29">
        <v>16</v>
      </c>
      <c r="E87" s="29">
        <v>16</v>
      </c>
      <c r="F87" s="30">
        <v>69</v>
      </c>
      <c r="G87" s="29">
        <v>69</v>
      </c>
      <c r="H87" s="28" t="s">
        <v>6925</v>
      </c>
      <c r="I87" s="27" t="s">
        <v>4</v>
      </c>
      <c r="J87" s="31" t="s">
        <v>32</v>
      </c>
      <c r="K87" s="27" t="s">
        <v>132</v>
      </c>
      <c r="L87" s="27" t="s">
        <v>514</v>
      </c>
      <c r="M87" s="32" t="str">
        <f>HYPERLINK("http://slimages.macys.com/is/image/MCY/3925255 ")</f>
        <v xml:space="preserve">http://slimages.macys.com/is/image/MCY/3925255 </v>
      </c>
    </row>
    <row r="88" spans="1:13" ht="15.2" customHeight="1" x14ac:dyDescent="0.2">
      <c r="A88" s="26" t="s">
        <v>6155</v>
      </c>
      <c r="B88" s="27" t="s">
        <v>6156</v>
      </c>
      <c r="C88" s="28">
        <v>1</v>
      </c>
      <c r="D88" s="29">
        <v>16</v>
      </c>
      <c r="E88" s="29">
        <v>16</v>
      </c>
      <c r="F88" s="30">
        <v>39.979999999999997</v>
      </c>
      <c r="G88" s="29">
        <v>39.979999999999997</v>
      </c>
      <c r="H88" s="28" t="s">
        <v>6157</v>
      </c>
      <c r="I88" s="27" t="s">
        <v>59</v>
      </c>
      <c r="J88" s="31" t="s">
        <v>21</v>
      </c>
      <c r="K88" s="27" t="s">
        <v>154</v>
      </c>
      <c r="L88" s="27" t="s">
        <v>155</v>
      </c>
      <c r="M88" s="32" t="str">
        <f>HYPERLINK("http://slimages.macys.com/is/image/MCY/1913271 ")</f>
        <v xml:space="preserve">http://slimages.macys.com/is/image/MCY/1913271 </v>
      </c>
    </row>
    <row r="89" spans="1:13" ht="15.2" customHeight="1" x14ac:dyDescent="0.2">
      <c r="A89" s="26" t="s">
        <v>6926</v>
      </c>
      <c r="B89" s="27" t="s">
        <v>6927</v>
      </c>
      <c r="C89" s="28">
        <v>1</v>
      </c>
      <c r="D89" s="29">
        <v>15.8</v>
      </c>
      <c r="E89" s="29">
        <v>15.8</v>
      </c>
      <c r="F89" s="30">
        <v>39.5</v>
      </c>
      <c r="G89" s="29">
        <v>39.5</v>
      </c>
      <c r="H89" s="28" t="s">
        <v>143</v>
      </c>
      <c r="I89" s="27" t="s">
        <v>29</v>
      </c>
      <c r="J89" s="31" t="s">
        <v>40</v>
      </c>
      <c r="K89" s="27" t="s">
        <v>27</v>
      </c>
      <c r="L89" s="27" t="s">
        <v>28</v>
      </c>
      <c r="M89" s="32" t="str">
        <f>HYPERLINK("http://slimages.macys.com/is/image/MCY/3773992 ")</f>
        <v xml:space="preserve">http://slimages.macys.com/is/image/MCY/3773992 </v>
      </c>
    </row>
    <row r="90" spans="1:13" ht="15.2" customHeight="1" x14ac:dyDescent="0.2">
      <c r="A90" s="26" t="s">
        <v>6928</v>
      </c>
      <c r="B90" s="27" t="s">
        <v>6929</v>
      </c>
      <c r="C90" s="28">
        <v>1</v>
      </c>
      <c r="D90" s="29">
        <v>15.75</v>
      </c>
      <c r="E90" s="29">
        <v>15.75</v>
      </c>
      <c r="F90" s="30">
        <v>34.99</v>
      </c>
      <c r="G90" s="29">
        <v>34.99</v>
      </c>
      <c r="H90" s="28" t="s">
        <v>6930</v>
      </c>
      <c r="I90" s="27" t="s">
        <v>291</v>
      </c>
      <c r="J90" s="31" t="s">
        <v>21</v>
      </c>
      <c r="K90" s="27" t="s">
        <v>208</v>
      </c>
      <c r="L90" s="27" t="s">
        <v>197</v>
      </c>
      <c r="M90" s="32" t="str">
        <f>HYPERLINK("http://slimages.macys.com/is/image/MCY/3580352 ")</f>
        <v xml:space="preserve">http://slimages.macys.com/is/image/MCY/3580352 </v>
      </c>
    </row>
    <row r="91" spans="1:13" ht="15.2" customHeight="1" x14ac:dyDescent="0.2">
      <c r="A91" s="26" t="s">
        <v>6456</v>
      </c>
      <c r="B91" s="27" t="s">
        <v>6457</v>
      </c>
      <c r="C91" s="28">
        <v>1</v>
      </c>
      <c r="D91" s="29">
        <v>15.75</v>
      </c>
      <c r="E91" s="29">
        <v>15.75</v>
      </c>
      <c r="F91" s="30">
        <v>49</v>
      </c>
      <c r="G91" s="29">
        <v>49</v>
      </c>
      <c r="H91" s="28" t="s">
        <v>3208</v>
      </c>
      <c r="I91" s="27" t="s">
        <v>36</v>
      </c>
      <c r="J91" s="31" t="s">
        <v>5</v>
      </c>
      <c r="K91" s="27" t="s">
        <v>37</v>
      </c>
      <c r="L91" s="27" t="s">
        <v>38</v>
      </c>
      <c r="M91" s="32" t="str">
        <f>HYPERLINK("http://slimages.macys.com/is/image/MCY/3667790 ")</f>
        <v xml:space="preserve">http://slimages.macys.com/is/image/MCY/3667790 </v>
      </c>
    </row>
    <row r="92" spans="1:13" ht="15.2" customHeight="1" x14ac:dyDescent="0.2">
      <c r="A92" s="26" t="s">
        <v>4608</v>
      </c>
      <c r="B92" s="27" t="s">
        <v>4609</v>
      </c>
      <c r="C92" s="28">
        <v>1</v>
      </c>
      <c r="D92" s="29">
        <v>15.5</v>
      </c>
      <c r="E92" s="29">
        <v>15.5</v>
      </c>
      <c r="F92" s="30">
        <v>34.979999999999997</v>
      </c>
      <c r="G92" s="29">
        <v>34.979999999999997</v>
      </c>
      <c r="H92" s="28" t="s">
        <v>715</v>
      </c>
      <c r="I92" s="27" t="s">
        <v>4</v>
      </c>
      <c r="J92" s="31" t="s">
        <v>113</v>
      </c>
      <c r="K92" s="27" t="s">
        <v>154</v>
      </c>
      <c r="L92" s="27" t="s">
        <v>155</v>
      </c>
      <c r="M92" s="32" t="str">
        <f>HYPERLINK("http://slimages.macys.com/is/image/MCY/2597263 ")</f>
        <v xml:space="preserve">http://slimages.macys.com/is/image/MCY/2597263 </v>
      </c>
    </row>
    <row r="93" spans="1:13" ht="15.2" customHeight="1" x14ac:dyDescent="0.2">
      <c r="A93" s="26" t="s">
        <v>6931</v>
      </c>
      <c r="B93" s="27" t="s">
        <v>6932</v>
      </c>
      <c r="C93" s="28">
        <v>1</v>
      </c>
      <c r="D93" s="29">
        <v>15.2</v>
      </c>
      <c r="E93" s="29">
        <v>15.2</v>
      </c>
      <c r="F93" s="30">
        <v>44</v>
      </c>
      <c r="G93" s="29">
        <v>44</v>
      </c>
      <c r="H93" s="28" t="s">
        <v>6933</v>
      </c>
      <c r="I93" s="27"/>
      <c r="J93" s="31" t="s">
        <v>5</v>
      </c>
      <c r="K93" s="27" t="s">
        <v>42</v>
      </c>
      <c r="L93" s="27" t="s">
        <v>43</v>
      </c>
      <c r="M93" s="32" t="str">
        <f>HYPERLINK("http://slimages.macys.com/is/image/MCY/3636314 ")</f>
        <v xml:space="preserve">http://slimages.macys.com/is/image/MCY/3636314 </v>
      </c>
    </row>
    <row r="94" spans="1:13" ht="15.2" customHeight="1" x14ac:dyDescent="0.2">
      <c r="A94" s="26" t="s">
        <v>6934</v>
      </c>
      <c r="B94" s="27" t="s">
        <v>6935</v>
      </c>
      <c r="C94" s="28">
        <v>1</v>
      </c>
      <c r="D94" s="29">
        <v>15</v>
      </c>
      <c r="E94" s="29">
        <v>15</v>
      </c>
      <c r="F94" s="30">
        <v>39.5</v>
      </c>
      <c r="G94" s="29">
        <v>39.5</v>
      </c>
      <c r="H94" s="28" t="s">
        <v>718</v>
      </c>
      <c r="I94" s="27" t="s">
        <v>82</v>
      </c>
      <c r="J94" s="31" t="s">
        <v>5</v>
      </c>
      <c r="K94" s="27" t="s">
        <v>17</v>
      </c>
      <c r="L94" s="27" t="s">
        <v>18</v>
      </c>
      <c r="M94" s="32" t="str">
        <f>HYPERLINK("http://slimages.macys.com/is/image/MCY/3895640 ")</f>
        <v xml:space="preserve">http://slimages.macys.com/is/image/MCY/3895640 </v>
      </c>
    </row>
    <row r="95" spans="1:13" ht="15.2" customHeight="1" x14ac:dyDescent="0.2">
      <c r="A95" s="26" t="s">
        <v>719</v>
      </c>
      <c r="B95" s="27" t="s">
        <v>720</v>
      </c>
      <c r="C95" s="28">
        <v>1</v>
      </c>
      <c r="D95" s="29">
        <v>15</v>
      </c>
      <c r="E95" s="29">
        <v>15</v>
      </c>
      <c r="F95" s="30">
        <v>39.5</v>
      </c>
      <c r="G95" s="29">
        <v>39.5</v>
      </c>
      <c r="H95" s="28" t="s">
        <v>718</v>
      </c>
      <c r="I95" s="27" t="s">
        <v>189</v>
      </c>
      <c r="J95" s="31" t="s">
        <v>40</v>
      </c>
      <c r="K95" s="27" t="s">
        <v>17</v>
      </c>
      <c r="L95" s="27" t="s">
        <v>18</v>
      </c>
      <c r="M95" s="32" t="str">
        <f>HYPERLINK("http://slimages.macys.com/is/image/MCY/3895640 ")</f>
        <v xml:space="preserve">http://slimages.macys.com/is/image/MCY/3895640 </v>
      </c>
    </row>
    <row r="96" spans="1:13" ht="15.2" customHeight="1" x14ac:dyDescent="0.2">
      <c r="A96" s="26" t="s">
        <v>4444</v>
      </c>
      <c r="B96" s="27" t="s">
        <v>4445</v>
      </c>
      <c r="C96" s="28">
        <v>1</v>
      </c>
      <c r="D96" s="29">
        <v>15</v>
      </c>
      <c r="E96" s="29">
        <v>15</v>
      </c>
      <c r="F96" s="30">
        <v>59</v>
      </c>
      <c r="G96" s="29">
        <v>59</v>
      </c>
      <c r="H96" s="28" t="s">
        <v>158</v>
      </c>
      <c r="I96" s="27"/>
      <c r="J96" s="31" t="s">
        <v>21</v>
      </c>
      <c r="K96" s="27" t="s">
        <v>154</v>
      </c>
      <c r="L96" s="27" t="s">
        <v>155</v>
      </c>
      <c r="M96" s="32" t="str">
        <f>HYPERLINK("http://slimages.macys.com/is/image/MCY/3667495 ")</f>
        <v xml:space="preserve">http://slimages.macys.com/is/image/MCY/3667495 </v>
      </c>
    </row>
    <row r="97" spans="1:13" ht="15.2" customHeight="1" x14ac:dyDescent="0.2">
      <c r="A97" s="26" t="s">
        <v>4449</v>
      </c>
      <c r="B97" s="27" t="s">
        <v>4450</v>
      </c>
      <c r="C97" s="28">
        <v>1</v>
      </c>
      <c r="D97" s="29">
        <v>15</v>
      </c>
      <c r="E97" s="29">
        <v>15</v>
      </c>
      <c r="F97" s="30">
        <v>39.5</v>
      </c>
      <c r="G97" s="29">
        <v>39.5</v>
      </c>
      <c r="H97" s="28" t="s">
        <v>718</v>
      </c>
      <c r="I97" s="27" t="s">
        <v>20</v>
      </c>
      <c r="J97" s="31" t="s">
        <v>40</v>
      </c>
      <c r="K97" s="27" t="s">
        <v>17</v>
      </c>
      <c r="L97" s="27" t="s">
        <v>18</v>
      </c>
      <c r="M97" s="32" t="str">
        <f>HYPERLINK("http://slimages.macys.com/is/image/MCY/3895640 ")</f>
        <v xml:space="preserve">http://slimages.macys.com/is/image/MCY/3895640 </v>
      </c>
    </row>
    <row r="98" spans="1:13" ht="15.2" customHeight="1" x14ac:dyDescent="0.2">
      <c r="A98" s="26" t="s">
        <v>723</v>
      </c>
      <c r="B98" s="27" t="s">
        <v>724</v>
      </c>
      <c r="C98" s="28">
        <v>1</v>
      </c>
      <c r="D98" s="29">
        <v>15</v>
      </c>
      <c r="E98" s="29">
        <v>15</v>
      </c>
      <c r="F98" s="30">
        <v>39.5</v>
      </c>
      <c r="G98" s="29">
        <v>39.5</v>
      </c>
      <c r="H98" s="28" t="s">
        <v>718</v>
      </c>
      <c r="I98" s="27" t="s">
        <v>189</v>
      </c>
      <c r="J98" s="31" t="s">
        <v>71</v>
      </c>
      <c r="K98" s="27" t="s">
        <v>17</v>
      </c>
      <c r="L98" s="27" t="s">
        <v>18</v>
      </c>
      <c r="M98" s="32" t="str">
        <f>HYPERLINK("http://slimages.macys.com/is/image/MCY/3895640 ")</f>
        <v xml:space="preserve">http://slimages.macys.com/is/image/MCY/3895640 </v>
      </c>
    </row>
    <row r="99" spans="1:13" ht="15.2" customHeight="1" x14ac:dyDescent="0.2">
      <c r="A99" s="26" t="s">
        <v>2126</v>
      </c>
      <c r="B99" s="27" t="s">
        <v>2127</v>
      </c>
      <c r="C99" s="28">
        <v>1</v>
      </c>
      <c r="D99" s="29">
        <v>14.5</v>
      </c>
      <c r="E99" s="29">
        <v>14.5</v>
      </c>
      <c r="F99" s="30">
        <v>45</v>
      </c>
      <c r="G99" s="29">
        <v>45</v>
      </c>
      <c r="H99" s="28" t="s">
        <v>729</v>
      </c>
      <c r="I99" s="27" t="s">
        <v>82</v>
      </c>
      <c r="J99" s="31" t="s">
        <v>21</v>
      </c>
      <c r="K99" s="27" t="s">
        <v>154</v>
      </c>
      <c r="L99" s="27" t="s">
        <v>155</v>
      </c>
      <c r="M99" s="32" t="str">
        <f>HYPERLINK("http://slimages.macys.com/is/image/MCY/3801889 ")</f>
        <v xml:space="preserve">http://slimages.macys.com/is/image/MCY/3801889 </v>
      </c>
    </row>
    <row r="100" spans="1:13" ht="15.2" customHeight="1" x14ac:dyDescent="0.2">
      <c r="A100" s="26" t="s">
        <v>6936</v>
      </c>
      <c r="B100" s="27" t="s">
        <v>6937</v>
      </c>
      <c r="C100" s="28">
        <v>1</v>
      </c>
      <c r="D100" s="29">
        <v>14.5</v>
      </c>
      <c r="E100" s="29">
        <v>14.5</v>
      </c>
      <c r="F100" s="30">
        <v>59</v>
      </c>
      <c r="G100" s="29">
        <v>59</v>
      </c>
      <c r="H100" s="28" t="s">
        <v>2594</v>
      </c>
      <c r="I100" s="27" t="s">
        <v>207</v>
      </c>
      <c r="J100" s="31" t="s">
        <v>11</v>
      </c>
      <c r="K100" s="27" t="s">
        <v>132</v>
      </c>
      <c r="L100" s="27" t="s">
        <v>133</v>
      </c>
      <c r="M100" s="32" t="str">
        <f>HYPERLINK("http://slimages.macys.com/is/image/MCY/3798070 ")</f>
        <v xml:space="preserve">http://slimages.macys.com/is/image/MCY/3798070 </v>
      </c>
    </row>
    <row r="101" spans="1:13" ht="15.2" customHeight="1" x14ac:dyDescent="0.2">
      <c r="A101" s="26" t="s">
        <v>1766</v>
      </c>
      <c r="B101" s="27" t="s">
        <v>1767</v>
      </c>
      <c r="C101" s="28">
        <v>1</v>
      </c>
      <c r="D101" s="29">
        <v>14.5</v>
      </c>
      <c r="E101" s="29">
        <v>14.5</v>
      </c>
      <c r="F101" s="30">
        <v>45</v>
      </c>
      <c r="G101" s="29">
        <v>45</v>
      </c>
      <c r="H101" s="28" t="s">
        <v>1768</v>
      </c>
      <c r="I101" s="27" t="s">
        <v>82</v>
      </c>
      <c r="J101" s="31" t="s">
        <v>52</v>
      </c>
      <c r="K101" s="27" t="s">
        <v>154</v>
      </c>
      <c r="L101" s="27" t="s">
        <v>155</v>
      </c>
      <c r="M101" s="32" t="str">
        <f>HYPERLINK("http://slimages.macys.com/is/image/MCY/3841161 ")</f>
        <v xml:space="preserve">http://slimages.macys.com/is/image/MCY/3841161 </v>
      </c>
    </row>
    <row r="102" spans="1:13" ht="15.2" customHeight="1" x14ac:dyDescent="0.2">
      <c r="A102" s="26" t="s">
        <v>6938</v>
      </c>
      <c r="B102" s="27" t="s">
        <v>6939</v>
      </c>
      <c r="C102" s="28">
        <v>1</v>
      </c>
      <c r="D102" s="29">
        <v>14.5</v>
      </c>
      <c r="E102" s="29">
        <v>14.5</v>
      </c>
      <c r="F102" s="30">
        <v>59</v>
      </c>
      <c r="G102" s="29">
        <v>59</v>
      </c>
      <c r="H102" s="28" t="s">
        <v>6940</v>
      </c>
      <c r="I102" s="27" t="s">
        <v>66</v>
      </c>
      <c r="J102" s="31" t="s">
        <v>14</v>
      </c>
      <c r="K102" s="27" t="s">
        <v>132</v>
      </c>
      <c r="L102" s="27" t="s">
        <v>133</v>
      </c>
      <c r="M102" s="32" t="str">
        <f>HYPERLINK("http://slimages.macys.com/is/image/MCY/3393392 ")</f>
        <v xml:space="preserve">http://slimages.macys.com/is/image/MCY/3393392 </v>
      </c>
    </row>
    <row r="103" spans="1:13" ht="15.2" customHeight="1" x14ac:dyDescent="0.2">
      <c r="A103" s="26" t="s">
        <v>3220</v>
      </c>
      <c r="B103" s="27" t="s">
        <v>3221</v>
      </c>
      <c r="C103" s="28">
        <v>1</v>
      </c>
      <c r="D103" s="29">
        <v>14.5</v>
      </c>
      <c r="E103" s="29">
        <v>14.5</v>
      </c>
      <c r="F103" s="30">
        <v>45</v>
      </c>
      <c r="G103" s="29">
        <v>45</v>
      </c>
      <c r="H103" s="28" t="s">
        <v>1768</v>
      </c>
      <c r="I103" s="27" t="s">
        <v>26</v>
      </c>
      <c r="J103" s="31" t="s">
        <v>71</v>
      </c>
      <c r="K103" s="27" t="s">
        <v>154</v>
      </c>
      <c r="L103" s="27" t="s">
        <v>155</v>
      </c>
      <c r="M103" s="32" t="str">
        <f>HYPERLINK("http://slimages.macys.com/is/image/MCY/3841161 ")</f>
        <v xml:space="preserve">http://slimages.macys.com/is/image/MCY/3841161 </v>
      </c>
    </row>
    <row r="104" spans="1:13" ht="15.2" customHeight="1" x14ac:dyDescent="0.2">
      <c r="A104" s="26" t="s">
        <v>6941</v>
      </c>
      <c r="B104" s="27" t="s">
        <v>6942</v>
      </c>
      <c r="C104" s="28">
        <v>1</v>
      </c>
      <c r="D104" s="29">
        <v>14.5</v>
      </c>
      <c r="E104" s="29">
        <v>14.5</v>
      </c>
      <c r="F104" s="30">
        <v>39.5</v>
      </c>
      <c r="G104" s="29">
        <v>39.5</v>
      </c>
      <c r="H104" s="28" t="s">
        <v>2595</v>
      </c>
      <c r="I104" s="27" t="s">
        <v>4</v>
      </c>
      <c r="J104" s="31" t="s">
        <v>71</v>
      </c>
      <c r="K104" s="27" t="s">
        <v>53</v>
      </c>
      <c r="L104" s="27" t="s">
        <v>165</v>
      </c>
      <c r="M104" s="32" t="str">
        <f>HYPERLINK("http://slimages.macys.com/is/image/MCY/3883116 ")</f>
        <v xml:space="preserve">http://slimages.macys.com/is/image/MCY/3883116 </v>
      </c>
    </row>
    <row r="105" spans="1:13" ht="15.2" customHeight="1" x14ac:dyDescent="0.2">
      <c r="A105" s="26" t="s">
        <v>1763</v>
      </c>
      <c r="B105" s="27" t="s">
        <v>1764</v>
      </c>
      <c r="C105" s="28">
        <v>1</v>
      </c>
      <c r="D105" s="29">
        <v>14.5</v>
      </c>
      <c r="E105" s="29">
        <v>14.5</v>
      </c>
      <c r="F105" s="30">
        <v>34.99</v>
      </c>
      <c r="G105" s="29">
        <v>34.99</v>
      </c>
      <c r="H105" s="28" t="s">
        <v>1179</v>
      </c>
      <c r="I105" s="27" t="s">
        <v>1</v>
      </c>
      <c r="J105" s="31" t="s">
        <v>234</v>
      </c>
      <c r="K105" s="27" t="s">
        <v>200</v>
      </c>
      <c r="L105" s="27" t="s">
        <v>133</v>
      </c>
      <c r="M105" s="32" t="str">
        <f>HYPERLINK("http://slimages.macys.com/is/image/MCY/3652528 ")</f>
        <v xml:space="preserve">http://slimages.macys.com/is/image/MCY/3652528 </v>
      </c>
    </row>
    <row r="106" spans="1:13" ht="15.2" customHeight="1" x14ac:dyDescent="0.2">
      <c r="A106" s="26" t="s">
        <v>6943</v>
      </c>
      <c r="B106" s="27" t="s">
        <v>6944</v>
      </c>
      <c r="C106" s="28">
        <v>1</v>
      </c>
      <c r="D106" s="29">
        <v>14.5</v>
      </c>
      <c r="E106" s="29">
        <v>14.5</v>
      </c>
      <c r="F106" s="30">
        <v>34.99</v>
      </c>
      <c r="G106" s="29">
        <v>34.99</v>
      </c>
      <c r="H106" s="28" t="s">
        <v>6945</v>
      </c>
      <c r="I106" s="27" t="s">
        <v>4</v>
      </c>
      <c r="J106" s="31" t="s">
        <v>69</v>
      </c>
      <c r="K106" s="27" t="s">
        <v>200</v>
      </c>
      <c r="L106" s="27" t="s">
        <v>133</v>
      </c>
      <c r="M106" s="32" t="str">
        <f>HYPERLINK("http://slimages.macys.com/is/image/MCY/3183969 ")</f>
        <v xml:space="preserve">http://slimages.macys.com/is/image/MCY/3183969 </v>
      </c>
    </row>
    <row r="107" spans="1:13" ht="15.2" customHeight="1" x14ac:dyDescent="0.2">
      <c r="A107" s="26" t="s">
        <v>6946</v>
      </c>
      <c r="B107" s="27" t="s">
        <v>6947</v>
      </c>
      <c r="C107" s="28">
        <v>1</v>
      </c>
      <c r="D107" s="29">
        <v>14.5</v>
      </c>
      <c r="E107" s="29">
        <v>14.5</v>
      </c>
      <c r="F107" s="30">
        <v>34.99</v>
      </c>
      <c r="G107" s="29">
        <v>34.99</v>
      </c>
      <c r="H107" s="28" t="s">
        <v>6948</v>
      </c>
      <c r="I107" s="27" t="s">
        <v>82</v>
      </c>
      <c r="J107" s="31" t="s">
        <v>216</v>
      </c>
      <c r="K107" s="27" t="s">
        <v>200</v>
      </c>
      <c r="L107" s="27" t="s">
        <v>133</v>
      </c>
      <c r="M107" s="32" t="str">
        <f>HYPERLINK("http://slimages.macys.com/is/image/MCY/3219524 ")</f>
        <v xml:space="preserve">http://slimages.macys.com/is/image/MCY/3219524 </v>
      </c>
    </row>
    <row r="108" spans="1:13" ht="15.2" customHeight="1" x14ac:dyDescent="0.2">
      <c r="A108" s="26" t="s">
        <v>1761</v>
      </c>
      <c r="B108" s="27" t="s">
        <v>1762</v>
      </c>
      <c r="C108" s="28">
        <v>1</v>
      </c>
      <c r="D108" s="29">
        <v>14.5</v>
      </c>
      <c r="E108" s="29">
        <v>14.5</v>
      </c>
      <c r="F108" s="30">
        <v>34.99</v>
      </c>
      <c r="G108" s="29">
        <v>34.99</v>
      </c>
      <c r="H108" s="28" t="s">
        <v>1179</v>
      </c>
      <c r="I108" s="27" t="s">
        <v>1</v>
      </c>
      <c r="J108" s="31" t="s">
        <v>69</v>
      </c>
      <c r="K108" s="27" t="s">
        <v>200</v>
      </c>
      <c r="L108" s="27" t="s">
        <v>133</v>
      </c>
      <c r="M108" s="32" t="str">
        <f>HYPERLINK("http://slimages.macys.com/is/image/MCY/3652528 ")</f>
        <v xml:space="preserve">http://slimages.macys.com/is/image/MCY/3652528 </v>
      </c>
    </row>
    <row r="109" spans="1:13" ht="15.2" customHeight="1" x14ac:dyDescent="0.2">
      <c r="A109" s="26" t="s">
        <v>162</v>
      </c>
      <c r="B109" s="27" t="s">
        <v>163</v>
      </c>
      <c r="C109" s="28">
        <v>1</v>
      </c>
      <c r="D109" s="29">
        <v>14.5</v>
      </c>
      <c r="E109" s="29">
        <v>14.5</v>
      </c>
      <c r="F109" s="30">
        <v>39.5</v>
      </c>
      <c r="G109" s="29">
        <v>39.5</v>
      </c>
      <c r="H109" s="28" t="s">
        <v>164</v>
      </c>
      <c r="I109" s="27" t="s">
        <v>4</v>
      </c>
      <c r="J109" s="31" t="s">
        <v>5</v>
      </c>
      <c r="K109" s="27" t="s">
        <v>53</v>
      </c>
      <c r="L109" s="27" t="s">
        <v>165</v>
      </c>
      <c r="M109" s="32" t="str">
        <f>HYPERLINK("http://slimages.macys.com/is/image/MCY/3954949 ")</f>
        <v xml:space="preserve">http://slimages.macys.com/is/image/MCY/3954949 </v>
      </c>
    </row>
    <row r="110" spans="1:13" ht="15.2" customHeight="1" x14ac:dyDescent="0.2">
      <c r="A110" s="26" t="s">
        <v>6949</v>
      </c>
      <c r="B110" s="27" t="s">
        <v>6950</v>
      </c>
      <c r="C110" s="28">
        <v>1</v>
      </c>
      <c r="D110" s="29">
        <v>14.5</v>
      </c>
      <c r="E110" s="29">
        <v>14.5</v>
      </c>
      <c r="F110" s="30">
        <v>59</v>
      </c>
      <c r="G110" s="29">
        <v>59</v>
      </c>
      <c r="H110" s="28" t="s">
        <v>2594</v>
      </c>
      <c r="I110" s="27" t="s">
        <v>207</v>
      </c>
      <c r="J110" s="31" t="s">
        <v>665</v>
      </c>
      <c r="K110" s="27" t="s">
        <v>132</v>
      </c>
      <c r="L110" s="27" t="s">
        <v>133</v>
      </c>
      <c r="M110" s="32" t="str">
        <f>HYPERLINK("http://slimages.macys.com/is/image/MCY/3798070 ")</f>
        <v xml:space="preserve">http://slimages.macys.com/is/image/MCY/3798070 </v>
      </c>
    </row>
    <row r="111" spans="1:13" ht="15.2" customHeight="1" x14ac:dyDescent="0.2">
      <c r="A111" s="26" t="s">
        <v>168</v>
      </c>
      <c r="B111" s="27" t="s">
        <v>169</v>
      </c>
      <c r="C111" s="28">
        <v>1</v>
      </c>
      <c r="D111" s="29">
        <v>14.5</v>
      </c>
      <c r="E111" s="29">
        <v>14.5</v>
      </c>
      <c r="F111" s="30">
        <v>49</v>
      </c>
      <c r="G111" s="29">
        <v>49</v>
      </c>
      <c r="H111" s="28" t="s">
        <v>170</v>
      </c>
      <c r="I111" s="27" t="s">
        <v>4</v>
      </c>
      <c r="J111" s="31" t="s">
        <v>21</v>
      </c>
      <c r="K111" s="27" t="s">
        <v>154</v>
      </c>
      <c r="L111" s="27" t="s">
        <v>155</v>
      </c>
      <c r="M111" s="32" t="str">
        <f>HYPERLINK("http://slimages.macys.com/is/image/MCY/3801863 ")</f>
        <v xml:space="preserve">http://slimages.macys.com/is/image/MCY/3801863 </v>
      </c>
    </row>
    <row r="112" spans="1:13" ht="15.2" customHeight="1" x14ac:dyDescent="0.2">
      <c r="A112" s="26" t="s">
        <v>6951</v>
      </c>
      <c r="B112" s="27" t="s">
        <v>6952</v>
      </c>
      <c r="C112" s="28">
        <v>1</v>
      </c>
      <c r="D112" s="29">
        <v>14.42</v>
      </c>
      <c r="E112" s="29">
        <v>14.42</v>
      </c>
      <c r="F112" s="30">
        <v>39.5</v>
      </c>
      <c r="G112" s="29">
        <v>39.5</v>
      </c>
      <c r="H112" s="28" t="s">
        <v>6953</v>
      </c>
      <c r="I112" s="27" t="s">
        <v>4</v>
      </c>
      <c r="J112" s="31" t="s">
        <v>5</v>
      </c>
      <c r="K112" s="27" t="s">
        <v>53</v>
      </c>
      <c r="L112" s="27" t="s">
        <v>54</v>
      </c>
      <c r="M112" s="32" t="str">
        <f>HYPERLINK("http://slimages.macys.com/is/image/MCY/3857746 ")</f>
        <v xml:space="preserve">http://slimages.macys.com/is/image/MCY/3857746 </v>
      </c>
    </row>
    <row r="113" spans="1:13" ht="15.2" customHeight="1" x14ac:dyDescent="0.2">
      <c r="A113" s="26" t="s">
        <v>6954</v>
      </c>
      <c r="B113" s="27" t="s">
        <v>6955</v>
      </c>
      <c r="C113" s="28">
        <v>1</v>
      </c>
      <c r="D113" s="29">
        <v>14.41</v>
      </c>
      <c r="E113" s="29">
        <v>14.41</v>
      </c>
      <c r="F113" s="30">
        <v>39.5</v>
      </c>
      <c r="G113" s="29">
        <v>39.5</v>
      </c>
      <c r="H113" s="28" t="s">
        <v>735</v>
      </c>
      <c r="I113" s="27" t="s">
        <v>22</v>
      </c>
      <c r="J113" s="31" t="s">
        <v>52</v>
      </c>
      <c r="K113" s="27" t="s">
        <v>41</v>
      </c>
      <c r="L113" s="27" t="s">
        <v>45</v>
      </c>
      <c r="M113" s="32" t="str">
        <f>HYPERLINK("http://slimages.macys.com/is/image/MCY/3810736 ")</f>
        <v xml:space="preserve">http://slimages.macys.com/is/image/MCY/3810736 </v>
      </c>
    </row>
    <row r="114" spans="1:13" ht="15.2" customHeight="1" x14ac:dyDescent="0.2">
      <c r="A114" s="26" t="s">
        <v>180</v>
      </c>
      <c r="B114" s="27" t="s">
        <v>181</v>
      </c>
      <c r="C114" s="28">
        <v>1</v>
      </c>
      <c r="D114" s="29">
        <v>14.1</v>
      </c>
      <c r="E114" s="29">
        <v>14.1</v>
      </c>
      <c r="F114" s="30">
        <v>39.5</v>
      </c>
      <c r="G114" s="29">
        <v>39.5</v>
      </c>
      <c r="H114" s="28" t="s">
        <v>182</v>
      </c>
      <c r="I114" s="27" t="s">
        <v>82</v>
      </c>
      <c r="J114" s="31" t="s">
        <v>71</v>
      </c>
      <c r="K114" s="27" t="s">
        <v>41</v>
      </c>
      <c r="L114" s="27" t="s">
        <v>45</v>
      </c>
      <c r="M114" s="32" t="str">
        <f>HYPERLINK("http://slimages.macys.com/is/image/MCY/3456663 ")</f>
        <v xml:space="preserve">http://slimages.macys.com/is/image/MCY/3456663 </v>
      </c>
    </row>
    <row r="115" spans="1:13" ht="15.2" customHeight="1" x14ac:dyDescent="0.2">
      <c r="A115" s="26" t="s">
        <v>191</v>
      </c>
      <c r="B115" s="27" t="s">
        <v>192</v>
      </c>
      <c r="C115" s="28">
        <v>1</v>
      </c>
      <c r="D115" s="29">
        <v>13.5</v>
      </c>
      <c r="E115" s="29">
        <v>13.5</v>
      </c>
      <c r="F115" s="30">
        <v>59</v>
      </c>
      <c r="G115" s="29">
        <v>59</v>
      </c>
      <c r="H115" s="28" t="s">
        <v>188</v>
      </c>
      <c r="I115" s="27" t="s">
        <v>189</v>
      </c>
      <c r="J115" s="31" t="s">
        <v>137</v>
      </c>
      <c r="K115" s="27" t="s">
        <v>132</v>
      </c>
      <c r="L115" s="27" t="s">
        <v>133</v>
      </c>
      <c r="M115" s="32" t="str">
        <f>HYPERLINK("http://slimages.macys.com/is/image/MCY/3959157 ")</f>
        <v xml:space="preserve">http://slimages.macys.com/is/image/MCY/3959157 </v>
      </c>
    </row>
    <row r="116" spans="1:13" ht="15.2" customHeight="1" x14ac:dyDescent="0.2">
      <c r="A116" s="26" t="s">
        <v>6956</v>
      </c>
      <c r="B116" s="27" t="s">
        <v>6957</v>
      </c>
      <c r="C116" s="28">
        <v>1</v>
      </c>
      <c r="D116" s="29">
        <v>13.25</v>
      </c>
      <c r="E116" s="29">
        <v>13.25</v>
      </c>
      <c r="F116" s="30">
        <v>29.99</v>
      </c>
      <c r="G116" s="29">
        <v>29.99</v>
      </c>
      <c r="H116" s="28" t="s">
        <v>1195</v>
      </c>
      <c r="I116" s="27" t="s">
        <v>8</v>
      </c>
      <c r="J116" s="31" t="s">
        <v>214</v>
      </c>
      <c r="K116" s="27" t="s">
        <v>200</v>
      </c>
      <c r="L116" s="27" t="s">
        <v>1196</v>
      </c>
      <c r="M116" s="32" t="str">
        <f>HYPERLINK("http://slimages.macys.com/is/image/MCY/3755717 ")</f>
        <v xml:space="preserve">http://slimages.macys.com/is/image/MCY/3755717 </v>
      </c>
    </row>
    <row r="117" spans="1:13" ht="15.2" customHeight="1" x14ac:dyDescent="0.2">
      <c r="A117" s="26" t="s">
        <v>193</v>
      </c>
      <c r="B117" s="27" t="s">
        <v>194</v>
      </c>
      <c r="C117" s="28">
        <v>1</v>
      </c>
      <c r="D117" s="29">
        <v>13.25</v>
      </c>
      <c r="E117" s="29">
        <v>13.25</v>
      </c>
      <c r="F117" s="30">
        <v>24.99</v>
      </c>
      <c r="G117" s="29">
        <v>24.99</v>
      </c>
      <c r="H117" s="28" t="s">
        <v>195</v>
      </c>
      <c r="I117" s="27" t="s">
        <v>8</v>
      </c>
      <c r="J117" s="31" t="s">
        <v>21</v>
      </c>
      <c r="K117" s="27" t="s">
        <v>196</v>
      </c>
      <c r="L117" s="27" t="s">
        <v>197</v>
      </c>
      <c r="M117" s="32" t="str">
        <f>HYPERLINK("http://slimages.macys.com/is/image/MCY/3734929 ")</f>
        <v xml:space="preserve">http://slimages.macys.com/is/image/MCY/3734929 </v>
      </c>
    </row>
    <row r="118" spans="1:13" ht="15.2" customHeight="1" x14ac:dyDescent="0.2">
      <c r="A118" s="26" t="s">
        <v>2596</v>
      </c>
      <c r="B118" s="27" t="s">
        <v>2597</v>
      </c>
      <c r="C118" s="28">
        <v>1</v>
      </c>
      <c r="D118" s="29">
        <v>13.23</v>
      </c>
      <c r="E118" s="29">
        <v>13.23</v>
      </c>
      <c r="F118" s="30">
        <v>39.5</v>
      </c>
      <c r="G118" s="29">
        <v>39.5</v>
      </c>
      <c r="H118" s="28" t="s">
        <v>198</v>
      </c>
      <c r="I118" s="27" t="s">
        <v>4</v>
      </c>
      <c r="J118" s="31" t="s">
        <v>172</v>
      </c>
      <c r="K118" s="27" t="s">
        <v>53</v>
      </c>
      <c r="L118" s="27" t="s">
        <v>165</v>
      </c>
      <c r="M118" s="32" t="str">
        <f>HYPERLINK("http://slimages.macys.com/is/image/MCY/3808484 ")</f>
        <v xml:space="preserve">http://slimages.macys.com/is/image/MCY/3808484 </v>
      </c>
    </row>
    <row r="119" spans="1:13" ht="15.2" customHeight="1" x14ac:dyDescent="0.2">
      <c r="A119" s="26" t="s">
        <v>6958</v>
      </c>
      <c r="B119" s="27" t="s">
        <v>6959</v>
      </c>
      <c r="C119" s="28">
        <v>1</v>
      </c>
      <c r="D119" s="29">
        <v>13</v>
      </c>
      <c r="E119" s="29">
        <v>13</v>
      </c>
      <c r="F119" s="30">
        <v>59</v>
      </c>
      <c r="G119" s="29">
        <v>59</v>
      </c>
      <c r="H119" s="28" t="s">
        <v>6960</v>
      </c>
      <c r="I119" s="27" t="s">
        <v>59</v>
      </c>
      <c r="J119" s="31" t="s">
        <v>30</v>
      </c>
      <c r="K119" s="27" t="s">
        <v>132</v>
      </c>
      <c r="L119" s="27" t="s">
        <v>150</v>
      </c>
      <c r="M119" s="32" t="str">
        <f>HYPERLINK("http://slimages.macys.com/is/image/MCY/3922038 ")</f>
        <v xml:space="preserve">http://slimages.macys.com/is/image/MCY/3922038 </v>
      </c>
    </row>
    <row r="120" spans="1:13" ht="15.2" customHeight="1" x14ac:dyDescent="0.2">
      <c r="A120" s="26" t="s">
        <v>6961</v>
      </c>
      <c r="B120" s="27" t="s">
        <v>6962</v>
      </c>
      <c r="C120" s="28">
        <v>1</v>
      </c>
      <c r="D120" s="29">
        <v>13</v>
      </c>
      <c r="E120" s="29">
        <v>13</v>
      </c>
      <c r="F120" s="30">
        <v>44</v>
      </c>
      <c r="G120" s="29">
        <v>44</v>
      </c>
      <c r="H120" s="28" t="s">
        <v>6030</v>
      </c>
      <c r="I120" s="27" t="s">
        <v>144</v>
      </c>
      <c r="J120" s="31" t="s">
        <v>5</v>
      </c>
      <c r="K120" s="27" t="s">
        <v>42</v>
      </c>
      <c r="L120" s="27" t="s">
        <v>43</v>
      </c>
      <c r="M120" s="32" t="str">
        <f>HYPERLINK("http://slimages.macys.com/is/image/MCY/3611254 ")</f>
        <v xml:space="preserve">http://slimages.macys.com/is/image/MCY/3611254 </v>
      </c>
    </row>
    <row r="121" spans="1:13" ht="15.2" customHeight="1" x14ac:dyDescent="0.2">
      <c r="A121" s="26" t="s">
        <v>3240</v>
      </c>
      <c r="B121" s="27" t="s">
        <v>3241</v>
      </c>
      <c r="C121" s="28">
        <v>1</v>
      </c>
      <c r="D121" s="29">
        <v>13</v>
      </c>
      <c r="E121" s="29">
        <v>13</v>
      </c>
      <c r="F121" s="30">
        <v>29.99</v>
      </c>
      <c r="G121" s="29">
        <v>29.99</v>
      </c>
      <c r="H121" s="28" t="s">
        <v>1206</v>
      </c>
      <c r="I121" s="27" t="s">
        <v>4</v>
      </c>
      <c r="J121" s="31" t="s">
        <v>234</v>
      </c>
      <c r="K121" s="27" t="s">
        <v>200</v>
      </c>
      <c r="L121" s="27" t="s">
        <v>133</v>
      </c>
      <c r="M121" s="32" t="str">
        <f>HYPERLINK("http://slimages.macys.com/is/image/MCY/3874256 ")</f>
        <v xml:space="preserve">http://slimages.macys.com/is/image/MCY/3874256 </v>
      </c>
    </row>
    <row r="122" spans="1:13" ht="15.2" customHeight="1" x14ac:dyDescent="0.2">
      <c r="A122" s="26" t="s">
        <v>1202</v>
      </c>
      <c r="B122" s="27" t="s">
        <v>1203</v>
      </c>
      <c r="C122" s="28">
        <v>1</v>
      </c>
      <c r="D122" s="29">
        <v>13</v>
      </c>
      <c r="E122" s="29">
        <v>13</v>
      </c>
      <c r="F122" s="30">
        <v>29.99</v>
      </c>
      <c r="G122" s="29">
        <v>29.99</v>
      </c>
      <c r="H122" s="28" t="s">
        <v>750</v>
      </c>
      <c r="I122" s="27" t="s">
        <v>29</v>
      </c>
      <c r="J122" s="31" t="s">
        <v>23</v>
      </c>
      <c r="K122" s="27" t="s">
        <v>200</v>
      </c>
      <c r="L122" s="27" t="s">
        <v>747</v>
      </c>
      <c r="M122" s="32" t="str">
        <f>HYPERLINK("http://slimages.macys.com/is/image/MCY/3955888 ")</f>
        <v xml:space="preserve">http://slimages.macys.com/is/image/MCY/3955888 </v>
      </c>
    </row>
    <row r="123" spans="1:13" ht="15.2" customHeight="1" x14ac:dyDescent="0.2">
      <c r="A123" s="26" t="s">
        <v>6963</v>
      </c>
      <c r="B123" s="27" t="s">
        <v>6964</v>
      </c>
      <c r="C123" s="28">
        <v>1</v>
      </c>
      <c r="D123" s="29">
        <v>13</v>
      </c>
      <c r="E123" s="29">
        <v>13</v>
      </c>
      <c r="F123" s="30">
        <v>31.99</v>
      </c>
      <c r="G123" s="29">
        <v>31.99</v>
      </c>
      <c r="H123" s="28" t="s">
        <v>753</v>
      </c>
      <c r="I123" s="27" t="s">
        <v>377</v>
      </c>
      <c r="J123" s="31" t="s">
        <v>21</v>
      </c>
      <c r="K123" s="27" t="s">
        <v>70</v>
      </c>
      <c r="L123" s="27" t="s">
        <v>128</v>
      </c>
      <c r="M123" s="32" t="str">
        <f>HYPERLINK("http://slimages.macys.com/is/image/MCY/3723559 ")</f>
        <v xml:space="preserve">http://slimages.macys.com/is/image/MCY/3723559 </v>
      </c>
    </row>
    <row r="124" spans="1:13" ht="15.2" customHeight="1" x14ac:dyDescent="0.2">
      <c r="A124" s="26" t="s">
        <v>2160</v>
      </c>
      <c r="B124" s="27" t="s">
        <v>2161</v>
      </c>
      <c r="C124" s="28">
        <v>1</v>
      </c>
      <c r="D124" s="29">
        <v>12.6</v>
      </c>
      <c r="E124" s="29">
        <v>12.6</v>
      </c>
      <c r="F124" s="30">
        <v>29.99</v>
      </c>
      <c r="G124" s="29">
        <v>29.99</v>
      </c>
      <c r="H124" s="28" t="s">
        <v>769</v>
      </c>
      <c r="I124" s="27" t="s">
        <v>291</v>
      </c>
      <c r="J124" s="31" t="s">
        <v>40</v>
      </c>
      <c r="K124" s="27" t="s">
        <v>159</v>
      </c>
      <c r="L124" s="27" t="s">
        <v>160</v>
      </c>
      <c r="M124" s="32" t="str">
        <f>HYPERLINK("http://slimages.macys.com/is/image/MCY/3857674 ")</f>
        <v xml:space="preserve">http://slimages.macys.com/is/image/MCY/3857674 </v>
      </c>
    </row>
    <row r="125" spans="1:13" ht="15.2" customHeight="1" x14ac:dyDescent="0.2">
      <c r="A125" s="26" t="s">
        <v>2602</v>
      </c>
      <c r="B125" s="27" t="s">
        <v>2603</v>
      </c>
      <c r="C125" s="28">
        <v>1</v>
      </c>
      <c r="D125" s="29">
        <v>12.6</v>
      </c>
      <c r="E125" s="29">
        <v>12.6</v>
      </c>
      <c r="F125" s="30">
        <v>29.99</v>
      </c>
      <c r="G125" s="29">
        <v>29.99</v>
      </c>
      <c r="H125" s="28" t="s">
        <v>769</v>
      </c>
      <c r="I125" s="27" t="s">
        <v>4</v>
      </c>
      <c r="J125" s="31" t="s">
        <v>21</v>
      </c>
      <c r="K125" s="27" t="s">
        <v>159</v>
      </c>
      <c r="L125" s="27" t="s">
        <v>160</v>
      </c>
      <c r="M125" s="32" t="str">
        <f>HYPERLINK("http://slimages.macys.com/is/image/MCY/3857674 ")</f>
        <v xml:space="preserve">http://slimages.macys.com/is/image/MCY/3857674 </v>
      </c>
    </row>
    <row r="126" spans="1:13" ht="15.2" customHeight="1" x14ac:dyDescent="0.2">
      <c r="A126" s="26" t="s">
        <v>2883</v>
      </c>
      <c r="B126" s="27" t="s">
        <v>2884</v>
      </c>
      <c r="C126" s="28">
        <v>1</v>
      </c>
      <c r="D126" s="29">
        <v>12.6</v>
      </c>
      <c r="E126" s="29">
        <v>12.6</v>
      </c>
      <c r="F126" s="30">
        <v>29.99</v>
      </c>
      <c r="G126" s="29">
        <v>29.99</v>
      </c>
      <c r="H126" s="28" t="s">
        <v>769</v>
      </c>
      <c r="I126" s="27" t="s">
        <v>146</v>
      </c>
      <c r="J126" s="31" t="s">
        <v>21</v>
      </c>
      <c r="K126" s="27" t="s">
        <v>159</v>
      </c>
      <c r="L126" s="27" t="s">
        <v>160</v>
      </c>
      <c r="M126" s="32" t="str">
        <f>HYPERLINK("http://slimages.macys.com/is/image/MCY/3857674 ")</f>
        <v xml:space="preserve">http://slimages.macys.com/is/image/MCY/3857674 </v>
      </c>
    </row>
    <row r="127" spans="1:13" ht="15.2" customHeight="1" x14ac:dyDescent="0.2">
      <c r="A127" s="26" t="s">
        <v>1794</v>
      </c>
      <c r="B127" s="27" t="s">
        <v>1795</v>
      </c>
      <c r="C127" s="28">
        <v>1</v>
      </c>
      <c r="D127" s="29">
        <v>12.6</v>
      </c>
      <c r="E127" s="29">
        <v>12.6</v>
      </c>
      <c r="F127" s="30">
        <v>29.99</v>
      </c>
      <c r="G127" s="29">
        <v>29.99</v>
      </c>
      <c r="H127" s="28" t="s">
        <v>769</v>
      </c>
      <c r="I127" s="27" t="s">
        <v>146</v>
      </c>
      <c r="J127" s="31" t="s">
        <v>40</v>
      </c>
      <c r="K127" s="27" t="s">
        <v>159</v>
      </c>
      <c r="L127" s="27" t="s">
        <v>160</v>
      </c>
      <c r="M127" s="32" t="str">
        <f>HYPERLINK("http://slimages.macys.com/is/image/MCY/3857674 ")</f>
        <v xml:space="preserve">http://slimages.macys.com/is/image/MCY/3857674 </v>
      </c>
    </row>
    <row r="128" spans="1:13" ht="15.2" customHeight="1" x14ac:dyDescent="0.2">
      <c r="A128" s="26" t="s">
        <v>6965</v>
      </c>
      <c r="B128" s="27" t="s">
        <v>6966</v>
      </c>
      <c r="C128" s="28">
        <v>1</v>
      </c>
      <c r="D128" s="29">
        <v>12.42</v>
      </c>
      <c r="E128" s="29">
        <v>12.42</v>
      </c>
      <c r="F128" s="30">
        <v>39</v>
      </c>
      <c r="G128" s="29">
        <v>39</v>
      </c>
      <c r="H128" s="28" t="s">
        <v>1796</v>
      </c>
      <c r="I128" s="27" t="s">
        <v>357</v>
      </c>
      <c r="J128" s="31" t="s">
        <v>40</v>
      </c>
      <c r="K128" s="27" t="s">
        <v>42</v>
      </c>
      <c r="L128" s="27" t="s">
        <v>43</v>
      </c>
      <c r="M128" s="32" t="str">
        <f>HYPERLINK("http://slimages.macys.com/is/image/MCY/3777289 ")</f>
        <v xml:space="preserve">http://slimages.macys.com/is/image/MCY/3777289 </v>
      </c>
    </row>
    <row r="129" spans="1:13" ht="15.2" customHeight="1" x14ac:dyDescent="0.2">
      <c r="A129" s="26" t="s">
        <v>6967</v>
      </c>
      <c r="B129" s="27" t="s">
        <v>6968</v>
      </c>
      <c r="C129" s="28">
        <v>1</v>
      </c>
      <c r="D129" s="29">
        <v>12</v>
      </c>
      <c r="E129" s="29">
        <v>12</v>
      </c>
      <c r="F129" s="30">
        <v>49</v>
      </c>
      <c r="G129" s="29">
        <v>49</v>
      </c>
      <c r="H129" s="28" t="s">
        <v>1230</v>
      </c>
      <c r="I129" s="27" t="s">
        <v>66</v>
      </c>
      <c r="J129" s="31" t="s">
        <v>52</v>
      </c>
      <c r="K129" s="27" t="s">
        <v>154</v>
      </c>
      <c r="L129" s="27" t="s">
        <v>155</v>
      </c>
      <c r="M129" s="32" t="str">
        <f>HYPERLINK("http://slimages.macys.com/is/image/MCY/3877474 ")</f>
        <v xml:space="preserve">http://slimages.macys.com/is/image/MCY/3877474 </v>
      </c>
    </row>
    <row r="130" spans="1:13" ht="15.2" customHeight="1" x14ac:dyDescent="0.2">
      <c r="A130" s="26" t="s">
        <v>6969</v>
      </c>
      <c r="B130" s="27" t="s">
        <v>6970</v>
      </c>
      <c r="C130" s="28">
        <v>2</v>
      </c>
      <c r="D130" s="29">
        <v>12</v>
      </c>
      <c r="E130" s="29">
        <v>24</v>
      </c>
      <c r="F130" s="30">
        <v>44</v>
      </c>
      <c r="G130" s="29">
        <v>88</v>
      </c>
      <c r="H130" s="28" t="s">
        <v>6971</v>
      </c>
      <c r="I130" s="27"/>
      <c r="J130" s="31" t="s">
        <v>40</v>
      </c>
      <c r="K130" s="27" t="s">
        <v>42</v>
      </c>
      <c r="L130" s="27" t="s">
        <v>43</v>
      </c>
      <c r="M130" s="32" t="str">
        <f>HYPERLINK("http://slimages.macys.com/is/image/MCY/3611271 ")</f>
        <v xml:space="preserve">http://slimages.macys.com/is/image/MCY/3611271 </v>
      </c>
    </row>
    <row r="131" spans="1:13" ht="15.2" customHeight="1" x14ac:dyDescent="0.2">
      <c r="A131" s="26" t="s">
        <v>6192</v>
      </c>
      <c r="B131" s="27" t="s">
        <v>6193</v>
      </c>
      <c r="C131" s="28">
        <v>1</v>
      </c>
      <c r="D131" s="29">
        <v>11.8</v>
      </c>
      <c r="E131" s="29">
        <v>11.8</v>
      </c>
      <c r="F131" s="30">
        <v>39</v>
      </c>
      <c r="G131" s="29">
        <v>39</v>
      </c>
      <c r="H131" s="28" t="s">
        <v>4824</v>
      </c>
      <c r="I131" s="27" t="s">
        <v>4</v>
      </c>
      <c r="J131" s="31" t="s">
        <v>5</v>
      </c>
      <c r="K131" s="27" t="s">
        <v>42</v>
      </c>
      <c r="L131" s="27" t="s">
        <v>43</v>
      </c>
      <c r="M131" s="32" t="str">
        <f>HYPERLINK("http://slimages.macys.com/is/image/MCY/3777289 ")</f>
        <v xml:space="preserve">http://slimages.macys.com/is/image/MCY/3777289 </v>
      </c>
    </row>
    <row r="132" spans="1:13" ht="15.2" customHeight="1" x14ac:dyDescent="0.2">
      <c r="A132" s="26" t="s">
        <v>6972</v>
      </c>
      <c r="B132" s="27" t="s">
        <v>6973</v>
      </c>
      <c r="C132" s="28">
        <v>1</v>
      </c>
      <c r="D132" s="29">
        <v>11.8</v>
      </c>
      <c r="E132" s="29">
        <v>11.8</v>
      </c>
      <c r="F132" s="30">
        <v>39</v>
      </c>
      <c r="G132" s="29">
        <v>39</v>
      </c>
      <c r="H132" s="28" t="s">
        <v>4824</v>
      </c>
      <c r="I132" s="27" t="s">
        <v>4</v>
      </c>
      <c r="J132" s="31" t="s">
        <v>52</v>
      </c>
      <c r="K132" s="27" t="s">
        <v>42</v>
      </c>
      <c r="L132" s="27" t="s">
        <v>43</v>
      </c>
      <c r="M132" s="32" t="str">
        <f>HYPERLINK("http://slimages.macys.com/is/image/MCY/3777289 ")</f>
        <v xml:space="preserve">http://slimages.macys.com/is/image/MCY/3777289 </v>
      </c>
    </row>
    <row r="133" spans="1:13" ht="15.2" customHeight="1" x14ac:dyDescent="0.2">
      <c r="A133" s="26" t="s">
        <v>6974</v>
      </c>
      <c r="B133" s="27" t="s">
        <v>6975</v>
      </c>
      <c r="C133" s="28">
        <v>4</v>
      </c>
      <c r="D133" s="29">
        <v>11.65</v>
      </c>
      <c r="E133" s="29">
        <v>46.6</v>
      </c>
      <c r="F133" s="30">
        <v>27.99</v>
      </c>
      <c r="G133" s="29">
        <v>111.96</v>
      </c>
      <c r="H133" s="28" t="s">
        <v>2610</v>
      </c>
      <c r="I133" s="27" t="s">
        <v>4</v>
      </c>
      <c r="J133" s="31" t="s">
        <v>5</v>
      </c>
      <c r="K133" s="27" t="s">
        <v>159</v>
      </c>
      <c r="L133" s="27" t="s">
        <v>160</v>
      </c>
      <c r="M133" s="32" t="str">
        <f>HYPERLINK("http://slimages.macys.com/is/image/MCY/3913107 ")</f>
        <v xml:space="preserve">http://slimages.macys.com/is/image/MCY/3913107 </v>
      </c>
    </row>
    <row r="134" spans="1:13" ht="15.2" customHeight="1" x14ac:dyDescent="0.2">
      <c r="A134" s="26" t="s">
        <v>2613</v>
      </c>
      <c r="B134" s="27" t="s">
        <v>2614</v>
      </c>
      <c r="C134" s="28">
        <v>2</v>
      </c>
      <c r="D134" s="29">
        <v>11.65</v>
      </c>
      <c r="E134" s="29">
        <v>23.3</v>
      </c>
      <c r="F134" s="30">
        <v>27.99</v>
      </c>
      <c r="G134" s="29">
        <v>55.98</v>
      </c>
      <c r="H134" s="28" t="s">
        <v>2610</v>
      </c>
      <c r="I134" s="27" t="s">
        <v>4</v>
      </c>
      <c r="J134" s="31" t="s">
        <v>21</v>
      </c>
      <c r="K134" s="27" t="s">
        <v>159</v>
      </c>
      <c r="L134" s="27" t="s">
        <v>160</v>
      </c>
      <c r="M134" s="32" t="str">
        <f>HYPERLINK("http://slimages.macys.com/is/image/MCY/3913107 ")</f>
        <v xml:space="preserve">http://slimages.macys.com/is/image/MCY/3913107 </v>
      </c>
    </row>
    <row r="135" spans="1:13" ht="15.2" customHeight="1" x14ac:dyDescent="0.2">
      <c r="A135" s="26" t="s">
        <v>6976</v>
      </c>
      <c r="B135" s="27" t="s">
        <v>6977</v>
      </c>
      <c r="C135" s="28">
        <v>2</v>
      </c>
      <c r="D135" s="29">
        <v>11.65</v>
      </c>
      <c r="E135" s="29">
        <v>23.3</v>
      </c>
      <c r="F135" s="30">
        <v>27.99</v>
      </c>
      <c r="G135" s="29">
        <v>55.98</v>
      </c>
      <c r="H135" s="28" t="s">
        <v>1256</v>
      </c>
      <c r="I135" s="27" t="s">
        <v>36</v>
      </c>
      <c r="J135" s="31" t="s">
        <v>5</v>
      </c>
      <c r="K135" s="27" t="s">
        <v>159</v>
      </c>
      <c r="L135" s="27" t="s">
        <v>160</v>
      </c>
      <c r="M135" s="32" t="str">
        <f>HYPERLINK("http://slimages.macys.com/is/image/MCY/3870613 ")</f>
        <v xml:space="preserve">http://slimages.macys.com/is/image/MCY/3870613 </v>
      </c>
    </row>
    <row r="136" spans="1:13" ht="15.2" customHeight="1" x14ac:dyDescent="0.2">
      <c r="A136" s="26" t="s">
        <v>5681</v>
      </c>
      <c r="B136" s="27" t="s">
        <v>5682</v>
      </c>
      <c r="C136" s="28">
        <v>1</v>
      </c>
      <c r="D136" s="29">
        <v>11.65</v>
      </c>
      <c r="E136" s="29">
        <v>11.65</v>
      </c>
      <c r="F136" s="30">
        <v>27.99</v>
      </c>
      <c r="G136" s="29">
        <v>27.99</v>
      </c>
      <c r="H136" s="28" t="s">
        <v>2610</v>
      </c>
      <c r="I136" s="27" t="s">
        <v>4</v>
      </c>
      <c r="J136" s="31" t="s">
        <v>40</v>
      </c>
      <c r="K136" s="27" t="s">
        <v>159</v>
      </c>
      <c r="L136" s="27" t="s">
        <v>160</v>
      </c>
      <c r="M136" s="32" t="str">
        <f>HYPERLINK("http://slimages.macys.com/is/image/MCY/3913107 ")</f>
        <v xml:space="preserve">http://slimages.macys.com/is/image/MCY/3913107 </v>
      </c>
    </row>
    <row r="137" spans="1:13" ht="15.2" customHeight="1" x14ac:dyDescent="0.2">
      <c r="A137" s="26" t="s">
        <v>6978</v>
      </c>
      <c r="B137" s="27" t="s">
        <v>6979</v>
      </c>
      <c r="C137" s="28">
        <v>1</v>
      </c>
      <c r="D137" s="29">
        <v>11.5</v>
      </c>
      <c r="E137" s="29">
        <v>11.5</v>
      </c>
      <c r="F137" s="30">
        <v>39</v>
      </c>
      <c r="G137" s="29">
        <v>39</v>
      </c>
      <c r="H137" s="28" t="s">
        <v>782</v>
      </c>
      <c r="I137" s="27" t="s">
        <v>4</v>
      </c>
      <c r="J137" s="31" t="s">
        <v>230</v>
      </c>
      <c r="K137" s="27" t="s">
        <v>154</v>
      </c>
      <c r="L137" s="27" t="s">
        <v>155</v>
      </c>
      <c r="M137" s="32" t="str">
        <f>HYPERLINK("http://slimages.macys.com/is/image/MCY/3907754 ")</f>
        <v xml:space="preserve">http://slimages.macys.com/is/image/MCY/3907754 </v>
      </c>
    </row>
    <row r="138" spans="1:13" ht="15.2" customHeight="1" x14ac:dyDescent="0.2">
      <c r="A138" s="26" t="s">
        <v>6194</v>
      </c>
      <c r="B138" s="27" t="s">
        <v>6195</v>
      </c>
      <c r="C138" s="28">
        <v>1</v>
      </c>
      <c r="D138" s="29">
        <v>11.5</v>
      </c>
      <c r="E138" s="29">
        <v>11.5</v>
      </c>
      <c r="F138" s="30">
        <v>29.99</v>
      </c>
      <c r="G138" s="29">
        <v>29.99</v>
      </c>
      <c r="H138" s="28" t="s">
        <v>220</v>
      </c>
      <c r="I138" s="27" t="s">
        <v>189</v>
      </c>
      <c r="J138" s="31" t="s">
        <v>210</v>
      </c>
      <c r="K138" s="27" t="s">
        <v>200</v>
      </c>
      <c r="L138" s="27" t="s">
        <v>201</v>
      </c>
      <c r="M138" s="32" t="str">
        <f>HYPERLINK("http://slimages.macys.com/is/image/MCY/3899641 ")</f>
        <v xml:space="preserve">http://slimages.macys.com/is/image/MCY/3899641 </v>
      </c>
    </row>
    <row r="139" spans="1:13" ht="15.2" customHeight="1" x14ac:dyDescent="0.2">
      <c r="A139" s="26" t="s">
        <v>2196</v>
      </c>
      <c r="B139" s="27" t="s">
        <v>2197</v>
      </c>
      <c r="C139" s="28">
        <v>1</v>
      </c>
      <c r="D139" s="29">
        <v>11.5</v>
      </c>
      <c r="E139" s="29">
        <v>11.5</v>
      </c>
      <c r="F139" s="30">
        <v>29.99</v>
      </c>
      <c r="G139" s="29">
        <v>29.99</v>
      </c>
      <c r="H139" s="28" t="s">
        <v>233</v>
      </c>
      <c r="I139" s="27" t="s">
        <v>26</v>
      </c>
      <c r="J139" s="31" t="s">
        <v>214</v>
      </c>
      <c r="K139" s="27" t="s">
        <v>200</v>
      </c>
      <c r="L139" s="27" t="s">
        <v>201</v>
      </c>
      <c r="M139" s="32" t="str">
        <f>HYPERLINK("http://slimages.macys.com/is/image/MCY/3899624 ")</f>
        <v xml:space="preserve">http://slimages.macys.com/is/image/MCY/3899624 </v>
      </c>
    </row>
    <row r="140" spans="1:13" ht="15.2" customHeight="1" x14ac:dyDescent="0.2">
      <c r="A140" s="26" t="s">
        <v>1267</v>
      </c>
      <c r="B140" s="27" t="s">
        <v>1268</v>
      </c>
      <c r="C140" s="28">
        <v>1</v>
      </c>
      <c r="D140" s="29">
        <v>11.5</v>
      </c>
      <c r="E140" s="29">
        <v>11.5</v>
      </c>
      <c r="F140" s="30">
        <v>29.99</v>
      </c>
      <c r="G140" s="29">
        <v>29.99</v>
      </c>
      <c r="H140" s="28" t="s">
        <v>233</v>
      </c>
      <c r="I140" s="27" t="s">
        <v>26</v>
      </c>
      <c r="J140" s="31" t="s">
        <v>69</v>
      </c>
      <c r="K140" s="27" t="s">
        <v>200</v>
      </c>
      <c r="L140" s="27" t="s">
        <v>201</v>
      </c>
      <c r="M140" s="32" t="str">
        <f>HYPERLINK("http://slimages.macys.com/is/image/MCY/3899624 ")</f>
        <v xml:space="preserve">http://slimages.macys.com/is/image/MCY/3899624 </v>
      </c>
    </row>
    <row r="141" spans="1:13" ht="15.2" customHeight="1" x14ac:dyDescent="0.2">
      <c r="A141" s="26" t="s">
        <v>227</v>
      </c>
      <c r="B141" s="27" t="s">
        <v>228</v>
      </c>
      <c r="C141" s="28">
        <v>1</v>
      </c>
      <c r="D141" s="29">
        <v>11.5</v>
      </c>
      <c r="E141" s="29">
        <v>11.5</v>
      </c>
      <c r="F141" s="30">
        <v>25.99</v>
      </c>
      <c r="G141" s="29">
        <v>25.99</v>
      </c>
      <c r="H141" s="28" t="s">
        <v>229</v>
      </c>
      <c r="I141" s="27" t="s">
        <v>75</v>
      </c>
      <c r="J141" s="31" t="s">
        <v>230</v>
      </c>
      <c r="K141" s="27" t="s">
        <v>200</v>
      </c>
      <c r="L141" s="27" t="s">
        <v>133</v>
      </c>
      <c r="M141" s="32" t="str">
        <f>HYPERLINK("http://slimages.macys.com/is/image/MCY/3858043 ")</f>
        <v xml:space="preserve">http://slimages.macys.com/is/image/MCY/3858043 </v>
      </c>
    </row>
    <row r="142" spans="1:13" ht="15.2" customHeight="1" x14ac:dyDescent="0.2">
      <c r="A142" s="26" t="s">
        <v>6980</v>
      </c>
      <c r="B142" s="27" t="s">
        <v>6981</v>
      </c>
      <c r="C142" s="28">
        <v>1</v>
      </c>
      <c r="D142" s="29">
        <v>11.25</v>
      </c>
      <c r="E142" s="29">
        <v>11.25</v>
      </c>
      <c r="F142" s="30">
        <v>29.99</v>
      </c>
      <c r="G142" s="29">
        <v>29.99</v>
      </c>
      <c r="H142" s="28" t="s">
        <v>1272</v>
      </c>
      <c r="I142" s="27" t="s">
        <v>343</v>
      </c>
      <c r="J142" s="31" t="s">
        <v>113</v>
      </c>
      <c r="K142" s="27" t="s">
        <v>200</v>
      </c>
      <c r="L142" s="27" t="s">
        <v>201</v>
      </c>
      <c r="M142" s="32" t="str">
        <f>HYPERLINK("http://slimages.macys.com/is/image/MCY/3825803 ")</f>
        <v xml:space="preserve">http://slimages.macys.com/is/image/MCY/3825803 </v>
      </c>
    </row>
    <row r="143" spans="1:13" ht="15.2" customHeight="1" x14ac:dyDescent="0.2">
      <c r="A143" s="26" t="s">
        <v>6982</v>
      </c>
      <c r="B143" s="27" t="s">
        <v>6983</v>
      </c>
      <c r="C143" s="28">
        <v>1</v>
      </c>
      <c r="D143" s="29">
        <v>11.25</v>
      </c>
      <c r="E143" s="29">
        <v>11.25</v>
      </c>
      <c r="F143" s="30">
        <v>29.99</v>
      </c>
      <c r="G143" s="29">
        <v>29.99</v>
      </c>
      <c r="H143" s="28" t="s">
        <v>1272</v>
      </c>
      <c r="I143" s="27" t="s">
        <v>343</v>
      </c>
      <c r="J143" s="31" t="s">
        <v>23</v>
      </c>
      <c r="K143" s="27" t="s">
        <v>200</v>
      </c>
      <c r="L143" s="27" t="s">
        <v>201</v>
      </c>
      <c r="M143" s="32" t="str">
        <f>HYPERLINK("http://slimages.macys.com/is/image/MCY/3825803 ")</f>
        <v xml:space="preserve">http://slimages.macys.com/is/image/MCY/3825803 </v>
      </c>
    </row>
    <row r="144" spans="1:13" ht="15.2" customHeight="1" x14ac:dyDescent="0.2">
      <c r="A144" s="26" t="s">
        <v>6984</v>
      </c>
      <c r="B144" s="27" t="s">
        <v>6985</v>
      </c>
      <c r="C144" s="28">
        <v>1</v>
      </c>
      <c r="D144" s="29">
        <v>11.2</v>
      </c>
      <c r="E144" s="29">
        <v>11.2</v>
      </c>
      <c r="F144" s="30">
        <v>27.99</v>
      </c>
      <c r="G144" s="29">
        <v>27.99</v>
      </c>
      <c r="H144" s="28" t="s">
        <v>6986</v>
      </c>
      <c r="I144" s="27" t="s">
        <v>1</v>
      </c>
      <c r="J144" s="31" t="s">
        <v>52</v>
      </c>
      <c r="K144" s="27" t="s">
        <v>208</v>
      </c>
      <c r="L144" s="27" t="s">
        <v>197</v>
      </c>
      <c r="M144" s="32" t="str">
        <f>HYPERLINK("http://slimages.macys.com/is/image/MCY/3394431 ")</f>
        <v xml:space="preserve">http://slimages.macys.com/is/image/MCY/3394431 </v>
      </c>
    </row>
    <row r="145" spans="1:13" ht="15.2" customHeight="1" x14ac:dyDescent="0.2">
      <c r="A145" s="26" t="s">
        <v>6987</v>
      </c>
      <c r="B145" s="27" t="s">
        <v>6988</v>
      </c>
      <c r="C145" s="28">
        <v>1</v>
      </c>
      <c r="D145" s="29">
        <v>11</v>
      </c>
      <c r="E145" s="29">
        <v>11</v>
      </c>
      <c r="F145" s="30">
        <v>39</v>
      </c>
      <c r="G145" s="29">
        <v>39</v>
      </c>
      <c r="H145" s="28" t="s">
        <v>6989</v>
      </c>
      <c r="I145" s="27"/>
      <c r="J145" s="31" t="s">
        <v>40</v>
      </c>
      <c r="K145" s="27" t="s">
        <v>154</v>
      </c>
      <c r="L145" s="27" t="s">
        <v>155</v>
      </c>
      <c r="M145" s="32" t="str">
        <f>HYPERLINK("http://slimages.macys.com/is/image/MCY/3877424 ")</f>
        <v xml:space="preserve">http://slimages.macys.com/is/image/MCY/3877424 </v>
      </c>
    </row>
    <row r="146" spans="1:13" ht="15.2" customHeight="1" x14ac:dyDescent="0.2">
      <c r="A146" s="26" t="s">
        <v>6990</v>
      </c>
      <c r="B146" s="27" t="s">
        <v>6991</v>
      </c>
      <c r="C146" s="28">
        <v>1</v>
      </c>
      <c r="D146" s="29">
        <v>10.77</v>
      </c>
      <c r="E146" s="29">
        <v>10.77</v>
      </c>
      <c r="F146" s="30">
        <v>29.5</v>
      </c>
      <c r="G146" s="29">
        <v>29.5</v>
      </c>
      <c r="H146" s="28" t="s">
        <v>2205</v>
      </c>
      <c r="I146" s="27" t="s">
        <v>215</v>
      </c>
      <c r="J146" s="31" t="s">
        <v>5</v>
      </c>
      <c r="K146" s="27" t="s">
        <v>41</v>
      </c>
      <c r="L146" s="27" t="s">
        <v>90</v>
      </c>
      <c r="M146" s="32" t="str">
        <f>HYPERLINK("http://slimages.macys.com/is/image/MCY/3711110 ")</f>
        <v xml:space="preserve">http://slimages.macys.com/is/image/MCY/3711110 </v>
      </c>
    </row>
    <row r="147" spans="1:13" ht="15.2" customHeight="1" x14ac:dyDescent="0.2">
      <c r="A147" s="26" t="s">
        <v>6992</v>
      </c>
      <c r="B147" s="27" t="s">
        <v>6993</v>
      </c>
      <c r="C147" s="28">
        <v>1</v>
      </c>
      <c r="D147" s="29">
        <v>10.75</v>
      </c>
      <c r="E147" s="29">
        <v>10.75</v>
      </c>
      <c r="F147" s="30">
        <v>26.99</v>
      </c>
      <c r="G147" s="29">
        <v>26.99</v>
      </c>
      <c r="H147" s="28" t="s">
        <v>3307</v>
      </c>
      <c r="I147" s="27" t="s">
        <v>274</v>
      </c>
      <c r="J147" s="31" t="s">
        <v>65</v>
      </c>
      <c r="K147" s="27" t="s">
        <v>70</v>
      </c>
      <c r="L147" s="27" t="s">
        <v>250</v>
      </c>
      <c r="M147" s="32" t="str">
        <f>HYPERLINK("http://slimages.macys.com/is/image/MCY/3817465 ")</f>
        <v xml:space="preserve">http://slimages.macys.com/is/image/MCY/3817465 </v>
      </c>
    </row>
    <row r="148" spans="1:13" ht="15.2" customHeight="1" x14ac:dyDescent="0.2">
      <c r="A148" s="26" t="s">
        <v>1312</v>
      </c>
      <c r="B148" s="27" t="s">
        <v>1313</v>
      </c>
      <c r="C148" s="28">
        <v>1</v>
      </c>
      <c r="D148" s="29">
        <v>10.5</v>
      </c>
      <c r="E148" s="29">
        <v>10.5</v>
      </c>
      <c r="F148" s="30">
        <v>24.99</v>
      </c>
      <c r="G148" s="29">
        <v>24.99</v>
      </c>
      <c r="H148" s="28" t="s">
        <v>1314</v>
      </c>
      <c r="I148" s="27" t="s">
        <v>103</v>
      </c>
      <c r="J148" s="31" t="s">
        <v>5</v>
      </c>
      <c r="K148" s="27" t="s">
        <v>159</v>
      </c>
      <c r="L148" s="27" t="s">
        <v>160</v>
      </c>
      <c r="M148" s="32" t="str">
        <f>HYPERLINK("http://slimages.macys.com/is/image/MCY/3743320 ")</f>
        <v xml:space="preserve">http://slimages.macys.com/is/image/MCY/3743320 </v>
      </c>
    </row>
    <row r="149" spans="1:13" ht="15.2" customHeight="1" x14ac:dyDescent="0.2">
      <c r="A149" s="26" t="s">
        <v>6994</v>
      </c>
      <c r="B149" s="27" t="s">
        <v>6995</v>
      </c>
      <c r="C149" s="28">
        <v>1</v>
      </c>
      <c r="D149" s="29">
        <v>10.5</v>
      </c>
      <c r="E149" s="29">
        <v>10.5</v>
      </c>
      <c r="F149" s="30">
        <v>25.99</v>
      </c>
      <c r="G149" s="29">
        <v>25.99</v>
      </c>
      <c r="H149" s="28" t="s">
        <v>1305</v>
      </c>
      <c r="I149" s="27" t="s">
        <v>36</v>
      </c>
      <c r="J149" s="31" t="s">
        <v>214</v>
      </c>
      <c r="K149" s="27" t="s">
        <v>200</v>
      </c>
      <c r="L149" s="27" t="s">
        <v>133</v>
      </c>
      <c r="M149" s="32" t="str">
        <f>HYPERLINK("http://slimages.macys.com/is/image/MCY/3773860 ")</f>
        <v xml:space="preserve">http://slimages.macys.com/is/image/MCY/3773860 </v>
      </c>
    </row>
    <row r="150" spans="1:13" ht="15.2" customHeight="1" x14ac:dyDescent="0.2">
      <c r="A150" s="26" t="s">
        <v>6996</v>
      </c>
      <c r="B150" s="27" t="s">
        <v>6997</v>
      </c>
      <c r="C150" s="28">
        <v>1</v>
      </c>
      <c r="D150" s="29">
        <v>10.5</v>
      </c>
      <c r="E150" s="29">
        <v>10.5</v>
      </c>
      <c r="F150" s="30">
        <v>27.99</v>
      </c>
      <c r="G150" s="29">
        <v>27.99</v>
      </c>
      <c r="H150" s="28" t="s">
        <v>790</v>
      </c>
      <c r="I150" s="27" t="s">
        <v>29</v>
      </c>
      <c r="J150" s="31" t="s">
        <v>21</v>
      </c>
      <c r="K150" s="27" t="s">
        <v>224</v>
      </c>
      <c r="L150" s="27" t="s">
        <v>239</v>
      </c>
      <c r="M150" s="32" t="str">
        <f>HYPERLINK("http://slimages.macys.com/is/image/MCY/3910853 ")</f>
        <v xml:space="preserve">http://slimages.macys.com/is/image/MCY/3910853 </v>
      </c>
    </row>
    <row r="151" spans="1:13" ht="15.2" customHeight="1" x14ac:dyDescent="0.2">
      <c r="A151" s="26" t="s">
        <v>3336</v>
      </c>
      <c r="B151" s="27" t="s">
        <v>3337</v>
      </c>
      <c r="C151" s="28">
        <v>1</v>
      </c>
      <c r="D151" s="29">
        <v>10.5</v>
      </c>
      <c r="E151" s="29">
        <v>10.5</v>
      </c>
      <c r="F151" s="30">
        <v>27.99</v>
      </c>
      <c r="G151" s="29">
        <v>27.99</v>
      </c>
      <c r="H151" s="28" t="s">
        <v>790</v>
      </c>
      <c r="I151" s="27" t="s">
        <v>189</v>
      </c>
      <c r="J151" s="31" t="s">
        <v>40</v>
      </c>
      <c r="K151" s="27" t="s">
        <v>224</v>
      </c>
      <c r="L151" s="27" t="s">
        <v>239</v>
      </c>
      <c r="M151" s="32" t="str">
        <f>HYPERLINK("http://slimages.macys.com/is/image/MCY/3910853 ")</f>
        <v xml:space="preserve">http://slimages.macys.com/is/image/MCY/3910853 </v>
      </c>
    </row>
    <row r="152" spans="1:13" ht="15.2" customHeight="1" x14ac:dyDescent="0.2">
      <c r="A152" s="26" t="s">
        <v>1308</v>
      </c>
      <c r="B152" s="27" t="s">
        <v>1309</v>
      </c>
      <c r="C152" s="28">
        <v>1</v>
      </c>
      <c r="D152" s="29">
        <v>10.5</v>
      </c>
      <c r="E152" s="29">
        <v>10.5</v>
      </c>
      <c r="F152" s="30">
        <v>27.99</v>
      </c>
      <c r="G152" s="29">
        <v>27.99</v>
      </c>
      <c r="H152" s="28" t="s">
        <v>790</v>
      </c>
      <c r="I152" s="27" t="s">
        <v>189</v>
      </c>
      <c r="J152" s="31" t="s">
        <v>71</v>
      </c>
      <c r="K152" s="27" t="s">
        <v>224</v>
      </c>
      <c r="L152" s="27" t="s">
        <v>239</v>
      </c>
      <c r="M152" s="32" t="str">
        <f>HYPERLINK("http://slimages.macys.com/is/image/MCY/3910858 ")</f>
        <v xml:space="preserve">http://slimages.macys.com/is/image/MCY/3910858 </v>
      </c>
    </row>
    <row r="153" spans="1:13" ht="15.2" customHeight="1" x14ac:dyDescent="0.2">
      <c r="A153" s="26" t="s">
        <v>3324</v>
      </c>
      <c r="B153" s="27" t="s">
        <v>3325</v>
      </c>
      <c r="C153" s="28">
        <v>1</v>
      </c>
      <c r="D153" s="29">
        <v>10.5</v>
      </c>
      <c r="E153" s="29">
        <v>10.5</v>
      </c>
      <c r="F153" s="30">
        <v>27.99</v>
      </c>
      <c r="G153" s="29">
        <v>27.99</v>
      </c>
      <c r="H153" s="28" t="s">
        <v>790</v>
      </c>
      <c r="I153" s="27"/>
      <c r="J153" s="31" t="s">
        <v>21</v>
      </c>
      <c r="K153" s="27" t="s">
        <v>224</v>
      </c>
      <c r="L153" s="27" t="s">
        <v>239</v>
      </c>
      <c r="M153" s="32" t="str">
        <f>HYPERLINK("http://slimages.macys.com/is/image/MCY/3910853 ")</f>
        <v xml:space="preserve">http://slimages.macys.com/is/image/MCY/3910853 </v>
      </c>
    </row>
    <row r="154" spans="1:13" ht="15.2" customHeight="1" x14ac:dyDescent="0.2">
      <c r="A154" s="26" t="s">
        <v>6998</v>
      </c>
      <c r="B154" s="27" t="s">
        <v>6999</v>
      </c>
      <c r="C154" s="28">
        <v>1</v>
      </c>
      <c r="D154" s="29">
        <v>10.5</v>
      </c>
      <c r="E154" s="29">
        <v>10.5</v>
      </c>
      <c r="F154" s="30">
        <v>24.99</v>
      </c>
      <c r="G154" s="29">
        <v>24.99</v>
      </c>
      <c r="H154" s="28" t="s">
        <v>1810</v>
      </c>
      <c r="I154" s="27" t="s">
        <v>4</v>
      </c>
      <c r="J154" s="31" t="s">
        <v>21</v>
      </c>
      <c r="K154" s="27" t="s">
        <v>159</v>
      </c>
      <c r="L154" s="27" t="s">
        <v>160</v>
      </c>
      <c r="M154" s="32" t="str">
        <f>HYPERLINK("http://slimages.macys.com/is/image/MCY/3813785 ")</f>
        <v xml:space="preserve">http://slimages.macys.com/is/image/MCY/3813785 </v>
      </c>
    </row>
    <row r="155" spans="1:13" ht="15.2" customHeight="1" x14ac:dyDescent="0.2">
      <c r="A155" s="26" t="s">
        <v>4464</v>
      </c>
      <c r="B155" s="27" t="s">
        <v>4465</v>
      </c>
      <c r="C155" s="28">
        <v>1</v>
      </c>
      <c r="D155" s="29">
        <v>10.5</v>
      </c>
      <c r="E155" s="29">
        <v>10.5</v>
      </c>
      <c r="F155" s="30">
        <v>24.99</v>
      </c>
      <c r="G155" s="29">
        <v>24.99</v>
      </c>
      <c r="H155" s="28" t="s">
        <v>259</v>
      </c>
      <c r="I155" s="27" t="s">
        <v>36</v>
      </c>
      <c r="J155" s="31" t="s">
        <v>5</v>
      </c>
      <c r="K155" s="27" t="s">
        <v>224</v>
      </c>
      <c r="L155" s="27" t="s">
        <v>260</v>
      </c>
      <c r="M155" s="32" t="str">
        <f>HYPERLINK("http://slimages.macys.com/is/image/MCY/3832935 ")</f>
        <v xml:space="preserve">http://slimages.macys.com/is/image/MCY/3832935 </v>
      </c>
    </row>
    <row r="156" spans="1:13" ht="15.2" customHeight="1" x14ac:dyDescent="0.2">
      <c r="A156" s="26" t="s">
        <v>7000</v>
      </c>
      <c r="B156" s="27" t="s">
        <v>7001</v>
      </c>
      <c r="C156" s="28">
        <v>1</v>
      </c>
      <c r="D156" s="29">
        <v>10.5</v>
      </c>
      <c r="E156" s="29">
        <v>10.5</v>
      </c>
      <c r="F156" s="30">
        <v>24.99</v>
      </c>
      <c r="G156" s="29">
        <v>24.99</v>
      </c>
      <c r="H156" s="28" t="s">
        <v>259</v>
      </c>
      <c r="I156" s="27" t="s">
        <v>189</v>
      </c>
      <c r="J156" s="31" t="s">
        <v>71</v>
      </c>
      <c r="K156" s="27" t="s">
        <v>224</v>
      </c>
      <c r="L156" s="27" t="s">
        <v>260</v>
      </c>
      <c r="M156" s="32" t="str">
        <f>HYPERLINK("http://slimages.macys.com/is/image/MCY/3832929 ")</f>
        <v xml:space="preserve">http://slimages.macys.com/is/image/MCY/3832929 </v>
      </c>
    </row>
    <row r="157" spans="1:13" ht="15.2" customHeight="1" x14ac:dyDescent="0.2">
      <c r="A157" s="26" t="s">
        <v>7002</v>
      </c>
      <c r="B157" s="27" t="s">
        <v>7003</v>
      </c>
      <c r="C157" s="28">
        <v>1</v>
      </c>
      <c r="D157" s="29">
        <v>10.5</v>
      </c>
      <c r="E157" s="29">
        <v>10.5</v>
      </c>
      <c r="F157" s="30">
        <v>25.99</v>
      </c>
      <c r="G157" s="29">
        <v>25.99</v>
      </c>
      <c r="H157" s="28" t="s">
        <v>1305</v>
      </c>
      <c r="I157" s="27" t="s">
        <v>94</v>
      </c>
      <c r="J157" s="31" t="s">
        <v>23</v>
      </c>
      <c r="K157" s="27" t="s">
        <v>200</v>
      </c>
      <c r="L157" s="27" t="s">
        <v>133</v>
      </c>
      <c r="M157" s="32" t="str">
        <f>HYPERLINK("http://slimages.macys.com/is/image/MCY/3773860 ")</f>
        <v xml:space="preserve">http://slimages.macys.com/is/image/MCY/3773860 </v>
      </c>
    </row>
    <row r="158" spans="1:13" ht="15.2" customHeight="1" x14ac:dyDescent="0.2">
      <c r="A158" s="26" t="s">
        <v>7004</v>
      </c>
      <c r="B158" s="27" t="s">
        <v>7005</v>
      </c>
      <c r="C158" s="28">
        <v>1</v>
      </c>
      <c r="D158" s="29">
        <v>10</v>
      </c>
      <c r="E158" s="29">
        <v>10</v>
      </c>
      <c r="F158" s="30">
        <v>24.99</v>
      </c>
      <c r="G158" s="29">
        <v>24.99</v>
      </c>
      <c r="H158" s="28">
        <v>59810</v>
      </c>
      <c r="I158" s="27" t="s">
        <v>127</v>
      </c>
      <c r="J158" s="31" t="s">
        <v>52</v>
      </c>
      <c r="K158" s="27" t="s">
        <v>224</v>
      </c>
      <c r="L158" s="27" t="s">
        <v>254</v>
      </c>
      <c r="M158" s="32" t="str">
        <f>HYPERLINK("http://slimages.macys.com/is/image/MCY/3826688 ")</f>
        <v xml:space="preserve">http://slimages.macys.com/is/image/MCY/3826688 </v>
      </c>
    </row>
    <row r="159" spans="1:13" ht="15.2" customHeight="1" x14ac:dyDescent="0.2">
      <c r="A159" s="26" t="s">
        <v>2218</v>
      </c>
      <c r="B159" s="27" t="s">
        <v>2219</v>
      </c>
      <c r="C159" s="28">
        <v>1</v>
      </c>
      <c r="D159" s="29">
        <v>10</v>
      </c>
      <c r="E159" s="29">
        <v>10</v>
      </c>
      <c r="F159" s="30">
        <v>24.99</v>
      </c>
      <c r="G159" s="29">
        <v>24.99</v>
      </c>
      <c r="H159" s="28">
        <v>59817</v>
      </c>
      <c r="I159" s="27"/>
      <c r="J159" s="31" t="s">
        <v>40</v>
      </c>
      <c r="K159" s="27" t="s">
        <v>224</v>
      </c>
      <c r="L159" s="27" t="s">
        <v>254</v>
      </c>
      <c r="M159" s="32" t="str">
        <f>HYPERLINK("http://slimages.macys.com/is/image/MCY/3827474 ")</f>
        <v xml:space="preserve">http://slimages.macys.com/is/image/MCY/3827474 </v>
      </c>
    </row>
    <row r="160" spans="1:13" ht="15.2" customHeight="1" x14ac:dyDescent="0.2">
      <c r="A160" s="26" t="s">
        <v>7006</v>
      </c>
      <c r="B160" s="27" t="s">
        <v>7007</v>
      </c>
      <c r="C160" s="28">
        <v>1</v>
      </c>
      <c r="D160" s="29">
        <v>10</v>
      </c>
      <c r="E160" s="29">
        <v>10</v>
      </c>
      <c r="F160" s="30">
        <v>24.99</v>
      </c>
      <c r="G160" s="29">
        <v>24.99</v>
      </c>
      <c r="H160" s="28" t="s">
        <v>270</v>
      </c>
      <c r="I160" s="27" t="s">
        <v>4</v>
      </c>
      <c r="J160" s="31" t="s">
        <v>21</v>
      </c>
      <c r="K160" s="27" t="s">
        <v>224</v>
      </c>
      <c r="L160" s="27" t="s">
        <v>260</v>
      </c>
      <c r="M160" s="32" t="str">
        <f>HYPERLINK("http://slimages.macys.com/is/image/MCY/3931167 ")</f>
        <v xml:space="preserve">http://slimages.macys.com/is/image/MCY/3931167 </v>
      </c>
    </row>
    <row r="161" spans="1:13" ht="15.2" customHeight="1" x14ac:dyDescent="0.2">
      <c r="A161" s="26" t="s">
        <v>4218</v>
      </c>
      <c r="B161" s="27" t="s">
        <v>4219</v>
      </c>
      <c r="C161" s="28">
        <v>1</v>
      </c>
      <c r="D161" s="29">
        <v>10</v>
      </c>
      <c r="E161" s="29">
        <v>10</v>
      </c>
      <c r="F161" s="30">
        <v>24.99</v>
      </c>
      <c r="G161" s="29">
        <v>24.99</v>
      </c>
      <c r="H161" s="28" t="s">
        <v>270</v>
      </c>
      <c r="I161" s="27" t="s">
        <v>75</v>
      </c>
      <c r="J161" s="31" t="s">
        <v>5</v>
      </c>
      <c r="K161" s="27" t="s">
        <v>224</v>
      </c>
      <c r="L161" s="27" t="s">
        <v>260</v>
      </c>
      <c r="M161" s="32" t="str">
        <f>HYPERLINK("http://slimages.macys.com/is/image/MCY/3931167 ")</f>
        <v xml:space="preserve">http://slimages.macys.com/is/image/MCY/3931167 </v>
      </c>
    </row>
    <row r="162" spans="1:13" ht="15.2" customHeight="1" x14ac:dyDescent="0.2">
      <c r="A162" s="26" t="s">
        <v>7008</v>
      </c>
      <c r="B162" s="27" t="s">
        <v>7009</v>
      </c>
      <c r="C162" s="28">
        <v>1</v>
      </c>
      <c r="D162" s="29">
        <v>10</v>
      </c>
      <c r="E162" s="29">
        <v>10</v>
      </c>
      <c r="F162" s="30">
        <v>24.98</v>
      </c>
      <c r="G162" s="29">
        <v>24.98</v>
      </c>
      <c r="H162" s="28" t="s">
        <v>1321</v>
      </c>
      <c r="I162" s="27" t="s">
        <v>4</v>
      </c>
      <c r="J162" s="31" t="s">
        <v>69</v>
      </c>
      <c r="K162" s="27" t="s">
        <v>154</v>
      </c>
      <c r="L162" s="27" t="s">
        <v>155</v>
      </c>
      <c r="M162" s="32" t="str">
        <f>HYPERLINK("http://slimages.macys.com/is/image/MCY/2035405 ")</f>
        <v xml:space="preserve">http://slimages.macys.com/is/image/MCY/2035405 </v>
      </c>
    </row>
    <row r="163" spans="1:13" ht="15.2" customHeight="1" x14ac:dyDescent="0.2">
      <c r="A163" s="26" t="s">
        <v>7010</v>
      </c>
      <c r="B163" s="27" t="s">
        <v>7011</v>
      </c>
      <c r="C163" s="28">
        <v>1</v>
      </c>
      <c r="D163" s="29">
        <v>10</v>
      </c>
      <c r="E163" s="29">
        <v>10</v>
      </c>
      <c r="F163" s="30">
        <v>39</v>
      </c>
      <c r="G163" s="29">
        <v>39</v>
      </c>
      <c r="H163" s="28" t="s">
        <v>7012</v>
      </c>
      <c r="I163" s="27" t="s">
        <v>4</v>
      </c>
      <c r="J163" s="31" t="s">
        <v>71</v>
      </c>
      <c r="K163" s="27" t="s">
        <v>154</v>
      </c>
      <c r="L163" s="27" t="s">
        <v>155</v>
      </c>
      <c r="M163" s="32" t="str">
        <f>HYPERLINK("http://slimages.macys.com/is/image/MCY/3718866 ")</f>
        <v xml:space="preserve">http://slimages.macys.com/is/image/MCY/3718866 </v>
      </c>
    </row>
    <row r="164" spans="1:13" ht="15.2" customHeight="1" x14ac:dyDescent="0.2">
      <c r="A164" s="26" t="s">
        <v>7013</v>
      </c>
      <c r="B164" s="27" t="s">
        <v>7014</v>
      </c>
      <c r="C164" s="28">
        <v>1</v>
      </c>
      <c r="D164" s="29">
        <v>10</v>
      </c>
      <c r="E164" s="29">
        <v>10</v>
      </c>
      <c r="F164" s="30">
        <v>24.99</v>
      </c>
      <c r="G164" s="29">
        <v>24.99</v>
      </c>
      <c r="H164" s="28" t="s">
        <v>2215</v>
      </c>
      <c r="I164" s="27" t="s">
        <v>1472</v>
      </c>
      <c r="J164" s="31" t="s">
        <v>21</v>
      </c>
      <c r="K164" s="27" t="s">
        <v>224</v>
      </c>
      <c r="L164" s="27" t="s">
        <v>254</v>
      </c>
      <c r="M164" s="32" t="str">
        <f>HYPERLINK("http://slimages.macys.com/is/image/MCY/3821795 ")</f>
        <v xml:space="preserve">http://slimages.macys.com/is/image/MCY/3821795 </v>
      </c>
    </row>
    <row r="165" spans="1:13" ht="15.2" customHeight="1" x14ac:dyDescent="0.2">
      <c r="A165" s="26" t="s">
        <v>2220</v>
      </c>
      <c r="B165" s="27" t="s">
        <v>2221</v>
      </c>
      <c r="C165" s="28">
        <v>1</v>
      </c>
      <c r="D165" s="29">
        <v>10</v>
      </c>
      <c r="E165" s="29">
        <v>10</v>
      </c>
      <c r="F165" s="30">
        <v>24.99</v>
      </c>
      <c r="G165" s="29">
        <v>24.99</v>
      </c>
      <c r="H165" s="28" t="s">
        <v>270</v>
      </c>
      <c r="I165" s="27" t="s">
        <v>4</v>
      </c>
      <c r="J165" s="31" t="s">
        <v>40</v>
      </c>
      <c r="K165" s="27" t="s">
        <v>224</v>
      </c>
      <c r="L165" s="27" t="s">
        <v>260</v>
      </c>
      <c r="M165" s="32" t="str">
        <f>HYPERLINK("http://slimages.macys.com/is/image/MCY/3931167 ")</f>
        <v xml:space="preserve">http://slimages.macys.com/is/image/MCY/3931167 </v>
      </c>
    </row>
    <row r="166" spans="1:13" ht="15.2" customHeight="1" x14ac:dyDescent="0.2">
      <c r="A166" s="26" t="s">
        <v>2213</v>
      </c>
      <c r="B166" s="27" t="s">
        <v>2214</v>
      </c>
      <c r="C166" s="28">
        <v>1</v>
      </c>
      <c r="D166" s="29">
        <v>10</v>
      </c>
      <c r="E166" s="29">
        <v>10</v>
      </c>
      <c r="F166" s="30">
        <v>24.99</v>
      </c>
      <c r="G166" s="29">
        <v>24.99</v>
      </c>
      <c r="H166" s="28" t="s">
        <v>2215</v>
      </c>
      <c r="I166" s="27" t="s">
        <v>248</v>
      </c>
      <c r="J166" s="31" t="s">
        <v>71</v>
      </c>
      <c r="K166" s="27" t="s">
        <v>224</v>
      </c>
      <c r="L166" s="27" t="s">
        <v>254</v>
      </c>
      <c r="M166" s="32" t="str">
        <f>HYPERLINK("http://slimages.macys.com/is/image/MCY/3821795 ")</f>
        <v xml:space="preserve">http://slimages.macys.com/is/image/MCY/3821795 </v>
      </c>
    </row>
    <row r="167" spans="1:13" ht="15.2" customHeight="1" x14ac:dyDescent="0.2">
      <c r="A167" s="26" t="s">
        <v>7015</v>
      </c>
      <c r="B167" s="27" t="s">
        <v>7016</v>
      </c>
      <c r="C167" s="28">
        <v>1</v>
      </c>
      <c r="D167" s="29">
        <v>10</v>
      </c>
      <c r="E167" s="29">
        <v>10</v>
      </c>
      <c r="F167" s="30">
        <v>24.99</v>
      </c>
      <c r="G167" s="29">
        <v>24.99</v>
      </c>
      <c r="H167" s="28">
        <v>59810</v>
      </c>
      <c r="I167" s="27" t="s">
        <v>127</v>
      </c>
      <c r="J167" s="31" t="s">
        <v>40</v>
      </c>
      <c r="K167" s="27" t="s">
        <v>224</v>
      </c>
      <c r="L167" s="27" t="s">
        <v>254</v>
      </c>
      <c r="M167" s="32" t="str">
        <f>HYPERLINK("http://slimages.macys.com/is/image/MCY/3826688 ")</f>
        <v xml:space="preserve">http://slimages.macys.com/is/image/MCY/3826688 </v>
      </c>
    </row>
    <row r="168" spans="1:13" ht="15.2" customHeight="1" x14ac:dyDescent="0.2">
      <c r="A168" s="26" t="s">
        <v>7017</v>
      </c>
      <c r="B168" s="27" t="s">
        <v>7018</v>
      </c>
      <c r="C168" s="28">
        <v>1</v>
      </c>
      <c r="D168" s="29">
        <v>9.8000000000000007</v>
      </c>
      <c r="E168" s="29">
        <v>9.8000000000000007</v>
      </c>
      <c r="F168" s="30">
        <v>29</v>
      </c>
      <c r="G168" s="29">
        <v>29</v>
      </c>
      <c r="H168" s="28" t="s">
        <v>7019</v>
      </c>
      <c r="I168" s="27" t="s">
        <v>1</v>
      </c>
      <c r="J168" s="31" t="s">
        <v>5</v>
      </c>
      <c r="K168" s="27" t="s">
        <v>42</v>
      </c>
      <c r="L168" s="27" t="s">
        <v>43</v>
      </c>
      <c r="M168" s="32" t="str">
        <f>HYPERLINK("http://slimages.macys.com/is/image/MCY/3611466 ")</f>
        <v xml:space="preserve">http://slimages.macys.com/is/image/MCY/3611466 </v>
      </c>
    </row>
    <row r="169" spans="1:13" ht="15.2" customHeight="1" x14ac:dyDescent="0.2">
      <c r="A169" s="26" t="s">
        <v>1816</v>
      </c>
      <c r="B169" s="27" t="s">
        <v>1817</v>
      </c>
      <c r="C169" s="28">
        <v>1</v>
      </c>
      <c r="D169" s="29">
        <v>9.65</v>
      </c>
      <c r="E169" s="29">
        <v>9.65</v>
      </c>
      <c r="F169" s="30">
        <v>27.99</v>
      </c>
      <c r="G169" s="29">
        <v>27.99</v>
      </c>
      <c r="H169" s="28" t="s">
        <v>279</v>
      </c>
      <c r="I169" s="27" t="s">
        <v>280</v>
      </c>
      <c r="J169" s="31" t="s">
        <v>21</v>
      </c>
      <c r="K169" s="27" t="s">
        <v>224</v>
      </c>
      <c r="L169" s="27" t="s">
        <v>237</v>
      </c>
      <c r="M169" s="32" t="str">
        <f>HYPERLINK("http://slimages.macys.com/is/image/MCY/3820978 ")</f>
        <v xml:space="preserve">http://slimages.macys.com/is/image/MCY/3820978 </v>
      </c>
    </row>
    <row r="170" spans="1:13" ht="15.2" customHeight="1" x14ac:dyDescent="0.2">
      <c r="A170" s="26" t="s">
        <v>7020</v>
      </c>
      <c r="B170" s="27" t="s">
        <v>7021</v>
      </c>
      <c r="C170" s="28">
        <v>1</v>
      </c>
      <c r="D170" s="29">
        <v>9.5</v>
      </c>
      <c r="E170" s="29">
        <v>9.5</v>
      </c>
      <c r="F170" s="30">
        <v>19.989999999999998</v>
      </c>
      <c r="G170" s="29">
        <v>19.989999999999998</v>
      </c>
      <c r="H170" s="28" t="s">
        <v>6040</v>
      </c>
      <c r="I170" s="27" t="s">
        <v>280</v>
      </c>
      <c r="J170" s="31" t="s">
        <v>40</v>
      </c>
      <c r="K170" s="27" t="s">
        <v>196</v>
      </c>
      <c r="L170" s="27" t="s">
        <v>226</v>
      </c>
      <c r="M170" s="32" t="str">
        <f>HYPERLINK("http://slimages.macys.com/is/image/MCY/3233147 ")</f>
        <v xml:space="preserve">http://slimages.macys.com/is/image/MCY/3233147 </v>
      </c>
    </row>
    <row r="171" spans="1:13" ht="15.2" customHeight="1" x14ac:dyDescent="0.2">
      <c r="A171" s="26" t="s">
        <v>2229</v>
      </c>
      <c r="B171" s="27" t="s">
        <v>2230</v>
      </c>
      <c r="C171" s="28">
        <v>1</v>
      </c>
      <c r="D171" s="29">
        <v>9.25</v>
      </c>
      <c r="E171" s="29">
        <v>9.25</v>
      </c>
      <c r="F171" s="30">
        <v>19.989999999999998</v>
      </c>
      <c r="G171" s="29">
        <v>19.989999999999998</v>
      </c>
      <c r="H171" s="28" t="s">
        <v>2231</v>
      </c>
      <c r="I171" s="27" t="s">
        <v>271</v>
      </c>
      <c r="J171" s="31" t="s">
        <v>5</v>
      </c>
      <c r="K171" s="27" t="s">
        <v>282</v>
      </c>
      <c r="L171" s="27" t="s">
        <v>283</v>
      </c>
      <c r="M171" s="32" t="str">
        <f>HYPERLINK("http://slimages.macys.com/is/image/MCY/3832193 ")</f>
        <v xml:space="preserve">http://slimages.macys.com/is/image/MCY/3832193 </v>
      </c>
    </row>
    <row r="172" spans="1:13" ht="15.2" customHeight="1" x14ac:dyDescent="0.2">
      <c r="A172" s="26" t="s">
        <v>2932</v>
      </c>
      <c r="B172" s="27" t="s">
        <v>2933</v>
      </c>
      <c r="C172" s="28">
        <v>4</v>
      </c>
      <c r="D172" s="29">
        <v>9.25</v>
      </c>
      <c r="E172" s="29">
        <v>37</v>
      </c>
      <c r="F172" s="30">
        <v>19.989999999999998</v>
      </c>
      <c r="G172" s="29">
        <v>79.959999999999994</v>
      </c>
      <c r="H172" s="28" t="s">
        <v>2934</v>
      </c>
      <c r="I172" s="27" t="s">
        <v>22</v>
      </c>
      <c r="J172" s="31" t="s">
        <v>52</v>
      </c>
      <c r="K172" s="27" t="s">
        <v>282</v>
      </c>
      <c r="L172" s="27" t="s">
        <v>283</v>
      </c>
      <c r="M172" s="32" t="str">
        <f>HYPERLINK("http://slimages.macys.com/is/image/MCY/3875951 ")</f>
        <v xml:space="preserve">http://slimages.macys.com/is/image/MCY/3875951 </v>
      </c>
    </row>
    <row r="173" spans="1:13" ht="15.2" customHeight="1" x14ac:dyDescent="0.2">
      <c r="A173" s="26" t="s">
        <v>7022</v>
      </c>
      <c r="B173" s="27" t="s">
        <v>7023</v>
      </c>
      <c r="C173" s="28">
        <v>1</v>
      </c>
      <c r="D173" s="29">
        <v>9.25</v>
      </c>
      <c r="E173" s="29">
        <v>9.25</v>
      </c>
      <c r="F173" s="30">
        <v>19.989999999999998</v>
      </c>
      <c r="G173" s="29">
        <v>19.989999999999998</v>
      </c>
      <c r="H173" s="28" t="s">
        <v>2231</v>
      </c>
      <c r="I173" s="27" t="s">
        <v>271</v>
      </c>
      <c r="J173" s="31" t="s">
        <v>52</v>
      </c>
      <c r="K173" s="27" t="s">
        <v>282</v>
      </c>
      <c r="L173" s="27" t="s">
        <v>283</v>
      </c>
      <c r="M173" s="32" t="str">
        <f>HYPERLINK("http://slimages.macys.com/is/image/MCY/3832193 ")</f>
        <v xml:space="preserve">http://slimages.macys.com/is/image/MCY/3832193 </v>
      </c>
    </row>
    <row r="174" spans="1:13" ht="15.2" customHeight="1" x14ac:dyDescent="0.2">
      <c r="A174" s="26" t="s">
        <v>2935</v>
      </c>
      <c r="B174" s="27" t="s">
        <v>2936</v>
      </c>
      <c r="C174" s="28">
        <v>1</v>
      </c>
      <c r="D174" s="29">
        <v>9.25</v>
      </c>
      <c r="E174" s="29">
        <v>9.25</v>
      </c>
      <c r="F174" s="30">
        <v>19.989999999999998</v>
      </c>
      <c r="G174" s="29">
        <v>19.989999999999998</v>
      </c>
      <c r="H174" s="28" t="s">
        <v>2934</v>
      </c>
      <c r="I174" s="27" t="s">
        <v>22</v>
      </c>
      <c r="J174" s="31" t="s">
        <v>5</v>
      </c>
      <c r="K174" s="27" t="s">
        <v>282</v>
      </c>
      <c r="L174" s="27" t="s">
        <v>283</v>
      </c>
      <c r="M174" s="32" t="str">
        <f>HYPERLINK("http://slimages.macys.com/is/image/MCY/3875951 ")</f>
        <v xml:space="preserve">http://slimages.macys.com/is/image/MCY/3875951 </v>
      </c>
    </row>
    <row r="175" spans="1:13" ht="15.2" customHeight="1" x14ac:dyDescent="0.2">
      <c r="A175" s="26" t="s">
        <v>7024</v>
      </c>
      <c r="B175" s="27" t="s">
        <v>7025</v>
      </c>
      <c r="C175" s="28">
        <v>1</v>
      </c>
      <c r="D175" s="29">
        <v>9.25</v>
      </c>
      <c r="E175" s="29">
        <v>9.25</v>
      </c>
      <c r="F175" s="30">
        <v>19.989999999999998</v>
      </c>
      <c r="G175" s="29">
        <v>19.989999999999998</v>
      </c>
      <c r="H175" s="28">
        <v>60444960</v>
      </c>
      <c r="I175" s="27" t="s">
        <v>4</v>
      </c>
      <c r="J175" s="31" t="s">
        <v>21</v>
      </c>
      <c r="K175" s="27" t="s">
        <v>208</v>
      </c>
      <c r="L175" s="27" t="s">
        <v>255</v>
      </c>
      <c r="M175" s="32" t="str">
        <f>HYPERLINK("http://slimages.macys.com/is/image/MCY/3835715 ")</f>
        <v xml:space="preserve">http://slimages.macys.com/is/image/MCY/3835715 </v>
      </c>
    </row>
    <row r="176" spans="1:13" ht="15.2" customHeight="1" x14ac:dyDescent="0.2">
      <c r="A176" s="26" t="s">
        <v>6219</v>
      </c>
      <c r="B176" s="27" t="s">
        <v>6220</v>
      </c>
      <c r="C176" s="28">
        <v>2</v>
      </c>
      <c r="D176" s="29">
        <v>9.25</v>
      </c>
      <c r="E176" s="29">
        <v>18.5</v>
      </c>
      <c r="F176" s="30">
        <v>19.989999999999998</v>
      </c>
      <c r="G176" s="29">
        <v>39.979999999999997</v>
      </c>
      <c r="H176" s="28" t="s">
        <v>2934</v>
      </c>
      <c r="I176" s="27" t="s">
        <v>22</v>
      </c>
      <c r="J176" s="31" t="s">
        <v>21</v>
      </c>
      <c r="K176" s="27" t="s">
        <v>282</v>
      </c>
      <c r="L176" s="27" t="s">
        <v>283</v>
      </c>
      <c r="M176" s="32" t="str">
        <f>HYPERLINK("http://slimages.macys.com/is/image/MCY/3875951 ")</f>
        <v xml:space="preserve">http://slimages.macys.com/is/image/MCY/3875951 </v>
      </c>
    </row>
    <row r="177" spans="1:13" ht="15.2" customHeight="1" x14ac:dyDescent="0.2">
      <c r="A177" s="26" t="s">
        <v>7026</v>
      </c>
      <c r="B177" s="27" t="s">
        <v>7027</v>
      </c>
      <c r="C177" s="28">
        <v>2</v>
      </c>
      <c r="D177" s="29">
        <v>9.24</v>
      </c>
      <c r="E177" s="29">
        <v>18.48</v>
      </c>
      <c r="F177" s="30">
        <v>21.99</v>
      </c>
      <c r="G177" s="29">
        <v>43.98</v>
      </c>
      <c r="H177" s="28" t="s">
        <v>1340</v>
      </c>
      <c r="I177" s="27" t="s">
        <v>4</v>
      </c>
      <c r="J177" s="31" t="s">
        <v>5</v>
      </c>
      <c r="K177" s="27" t="s">
        <v>159</v>
      </c>
      <c r="L177" s="27" t="s">
        <v>160</v>
      </c>
      <c r="M177" s="32" t="str">
        <f>HYPERLINK("http://slimages.macys.com/is/image/MCY/3738496 ")</f>
        <v xml:space="preserve">http://slimages.macys.com/is/image/MCY/3738496 </v>
      </c>
    </row>
    <row r="178" spans="1:13" ht="15.2" customHeight="1" x14ac:dyDescent="0.2">
      <c r="A178" s="26" t="s">
        <v>7028</v>
      </c>
      <c r="B178" s="27" t="s">
        <v>7029</v>
      </c>
      <c r="C178" s="28">
        <v>1</v>
      </c>
      <c r="D178" s="29">
        <v>9.24</v>
      </c>
      <c r="E178" s="29">
        <v>9.24</v>
      </c>
      <c r="F178" s="30">
        <v>21.99</v>
      </c>
      <c r="G178" s="29">
        <v>21.99</v>
      </c>
      <c r="H178" s="28" t="s">
        <v>5075</v>
      </c>
      <c r="I178" s="27" t="s">
        <v>4</v>
      </c>
      <c r="J178" s="31" t="s">
        <v>5</v>
      </c>
      <c r="K178" s="27" t="s">
        <v>159</v>
      </c>
      <c r="L178" s="27" t="s">
        <v>160</v>
      </c>
      <c r="M178" s="32" t="str">
        <f>HYPERLINK("http://slimages.macys.com/is/image/MCY/3738488 ")</f>
        <v xml:space="preserve">http://slimages.macys.com/is/image/MCY/3738488 </v>
      </c>
    </row>
    <row r="179" spans="1:13" ht="15.2" customHeight="1" x14ac:dyDescent="0.2">
      <c r="A179" s="26" t="s">
        <v>3350</v>
      </c>
      <c r="B179" s="27" t="s">
        <v>3351</v>
      </c>
      <c r="C179" s="28">
        <v>1</v>
      </c>
      <c r="D179" s="29">
        <v>9.24</v>
      </c>
      <c r="E179" s="29">
        <v>9.24</v>
      </c>
      <c r="F179" s="30">
        <v>21.99</v>
      </c>
      <c r="G179" s="29">
        <v>21.99</v>
      </c>
      <c r="H179" s="28" t="s">
        <v>1340</v>
      </c>
      <c r="I179" s="27" t="s">
        <v>4</v>
      </c>
      <c r="J179" s="31" t="s">
        <v>21</v>
      </c>
      <c r="K179" s="27" t="s">
        <v>159</v>
      </c>
      <c r="L179" s="27" t="s">
        <v>160</v>
      </c>
      <c r="M179" s="32" t="str">
        <f>HYPERLINK("http://slimages.macys.com/is/image/MCY/3738496 ")</f>
        <v xml:space="preserve">http://slimages.macys.com/is/image/MCY/3738496 </v>
      </c>
    </row>
    <row r="180" spans="1:13" ht="15.2" customHeight="1" x14ac:dyDescent="0.2">
      <c r="A180" s="26" t="s">
        <v>7030</v>
      </c>
      <c r="B180" s="27" t="s">
        <v>7031</v>
      </c>
      <c r="C180" s="28">
        <v>1</v>
      </c>
      <c r="D180" s="29">
        <v>9.2200000000000006</v>
      </c>
      <c r="E180" s="29">
        <v>9.2200000000000006</v>
      </c>
      <c r="F180" s="30">
        <v>21.99</v>
      </c>
      <c r="G180" s="29">
        <v>21.99</v>
      </c>
      <c r="H180" s="28" t="s">
        <v>812</v>
      </c>
      <c r="I180" s="27" t="s">
        <v>36</v>
      </c>
      <c r="J180" s="31" t="s">
        <v>21</v>
      </c>
      <c r="K180" s="27" t="s">
        <v>159</v>
      </c>
      <c r="L180" s="27" t="s">
        <v>160</v>
      </c>
      <c r="M180" s="32" t="str">
        <f>HYPERLINK("http://slimages.macys.com/is/image/MCY/3857711 ")</f>
        <v xml:space="preserve">http://slimages.macys.com/is/image/MCY/3857711 </v>
      </c>
    </row>
    <row r="181" spans="1:13" ht="15.2" customHeight="1" x14ac:dyDescent="0.2">
      <c r="A181" s="26" t="s">
        <v>7032</v>
      </c>
      <c r="B181" s="27" t="s">
        <v>7033</v>
      </c>
      <c r="C181" s="28">
        <v>1</v>
      </c>
      <c r="D181" s="29">
        <v>9.2200000000000006</v>
      </c>
      <c r="E181" s="29">
        <v>9.2200000000000006</v>
      </c>
      <c r="F181" s="30">
        <v>21.99</v>
      </c>
      <c r="G181" s="29">
        <v>21.99</v>
      </c>
      <c r="H181" s="28" t="s">
        <v>812</v>
      </c>
      <c r="I181" s="27" t="s">
        <v>36</v>
      </c>
      <c r="J181" s="31" t="s">
        <v>40</v>
      </c>
      <c r="K181" s="27" t="s">
        <v>159</v>
      </c>
      <c r="L181" s="27" t="s">
        <v>160</v>
      </c>
      <c r="M181" s="32" t="str">
        <f>HYPERLINK("http://slimages.macys.com/is/image/MCY/3857711 ")</f>
        <v xml:space="preserve">http://slimages.macys.com/is/image/MCY/3857711 </v>
      </c>
    </row>
    <row r="182" spans="1:13" ht="15.2" customHeight="1" x14ac:dyDescent="0.2">
      <c r="A182" s="26" t="s">
        <v>7034</v>
      </c>
      <c r="B182" s="27" t="s">
        <v>7035</v>
      </c>
      <c r="C182" s="28">
        <v>2</v>
      </c>
      <c r="D182" s="29">
        <v>9.2200000000000006</v>
      </c>
      <c r="E182" s="29">
        <v>18.440000000000001</v>
      </c>
      <c r="F182" s="30">
        <v>21.99</v>
      </c>
      <c r="G182" s="29">
        <v>43.98</v>
      </c>
      <c r="H182" s="28" t="s">
        <v>812</v>
      </c>
      <c r="I182" s="27" t="s">
        <v>36</v>
      </c>
      <c r="J182" s="31" t="s">
        <v>5</v>
      </c>
      <c r="K182" s="27" t="s">
        <v>159</v>
      </c>
      <c r="L182" s="27" t="s">
        <v>160</v>
      </c>
      <c r="M182" s="32" t="str">
        <f>HYPERLINK("http://slimages.macys.com/is/image/MCY/3857711 ")</f>
        <v xml:space="preserve">http://slimages.macys.com/is/image/MCY/3857711 </v>
      </c>
    </row>
    <row r="183" spans="1:13" ht="15.2" customHeight="1" x14ac:dyDescent="0.2">
      <c r="A183" s="26" t="s">
        <v>7036</v>
      </c>
      <c r="B183" s="27" t="s">
        <v>7037</v>
      </c>
      <c r="C183" s="28">
        <v>1</v>
      </c>
      <c r="D183" s="29">
        <v>9.2200000000000006</v>
      </c>
      <c r="E183" s="29">
        <v>9.2200000000000006</v>
      </c>
      <c r="F183" s="30">
        <v>21.99</v>
      </c>
      <c r="G183" s="29">
        <v>21.99</v>
      </c>
      <c r="H183" s="28" t="s">
        <v>812</v>
      </c>
      <c r="I183" s="27" t="s">
        <v>36</v>
      </c>
      <c r="J183" s="31" t="s">
        <v>52</v>
      </c>
      <c r="K183" s="27" t="s">
        <v>159</v>
      </c>
      <c r="L183" s="27" t="s">
        <v>160</v>
      </c>
      <c r="M183" s="32" t="str">
        <f>HYPERLINK("http://slimages.macys.com/is/image/MCY/3857711 ")</f>
        <v xml:space="preserve">http://slimages.macys.com/is/image/MCY/3857711 </v>
      </c>
    </row>
    <row r="184" spans="1:13" ht="15.2" customHeight="1" x14ac:dyDescent="0.2">
      <c r="A184" s="26" t="s">
        <v>1341</v>
      </c>
      <c r="B184" s="27" t="s">
        <v>1342</v>
      </c>
      <c r="C184" s="28">
        <v>1</v>
      </c>
      <c r="D184" s="29">
        <v>9.2200000000000006</v>
      </c>
      <c r="E184" s="29">
        <v>9.2200000000000006</v>
      </c>
      <c r="F184" s="30">
        <v>21.99</v>
      </c>
      <c r="G184" s="29">
        <v>21.99</v>
      </c>
      <c r="H184" s="28" t="s">
        <v>812</v>
      </c>
      <c r="I184" s="27" t="s">
        <v>4</v>
      </c>
      <c r="J184" s="31" t="s">
        <v>71</v>
      </c>
      <c r="K184" s="27" t="s">
        <v>159</v>
      </c>
      <c r="L184" s="27" t="s">
        <v>160</v>
      </c>
      <c r="M184" s="32" t="str">
        <f>HYPERLINK("http://slimages.macys.com/is/image/MCY/3857711 ")</f>
        <v xml:space="preserve">http://slimages.macys.com/is/image/MCY/3857711 </v>
      </c>
    </row>
    <row r="185" spans="1:13" ht="15.2" customHeight="1" x14ac:dyDescent="0.2">
      <c r="A185" s="26" t="s">
        <v>2651</v>
      </c>
      <c r="B185" s="27" t="s">
        <v>2652</v>
      </c>
      <c r="C185" s="28">
        <v>1</v>
      </c>
      <c r="D185" s="29">
        <v>9.1999999999999993</v>
      </c>
      <c r="E185" s="29">
        <v>9.1999999999999993</v>
      </c>
      <c r="F185" s="30">
        <v>21.99</v>
      </c>
      <c r="G185" s="29">
        <v>21.99</v>
      </c>
      <c r="H185" s="28" t="s">
        <v>1348</v>
      </c>
      <c r="I185" s="27" t="s">
        <v>36</v>
      </c>
      <c r="J185" s="31" t="s">
        <v>21</v>
      </c>
      <c r="K185" s="27" t="s">
        <v>159</v>
      </c>
      <c r="L185" s="27" t="s">
        <v>160</v>
      </c>
      <c r="M185" s="32" t="str">
        <f>HYPERLINK("http://slimages.macys.com/is/image/MCY/3857655 ")</f>
        <v xml:space="preserve">http://slimages.macys.com/is/image/MCY/3857655 </v>
      </c>
    </row>
    <row r="186" spans="1:13" ht="15.2" customHeight="1" x14ac:dyDescent="0.2">
      <c r="A186" s="26" t="s">
        <v>7038</v>
      </c>
      <c r="B186" s="27" t="s">
        <v>7039</v>
      </c>
      <c r="C186" s="28">
        <v>1</v>
      </c>
      <c r="D186" s="29">
        <v>9.15</v>
      </c>
      <c r="E186" s="29">
        <v>9.15</v>
      </c>
      <c r="F186" s="30">
        <v>21.99</v>
      </c>
      <c r="G186" s="29">
        <v>21.99</v>
      </c>
      <c r="H186" s="28" t="s">
        <v>3365</v>
      </c>
      <c r="I186" s="27" t="s">
        <v>103</v>
      </c>
      <c r="J186" s="31" t="s">
        <v>5</v>
      </c>
      <c r="K186" s="27" t="s">
        <v>159</v>
      </c>
      <c r="L186" s="27" t="s">
        <v>160</v>
      </c>
      <c r="M186" s="32" t="str">
        <f>HYPERLINK("http://slimages.macys.com/is/image/MCY/3536154 ")</f>
        <v xml:space="preserve">http://slimages.macys.com/is/image/MCY/3536154 </v>
      </c>
    </row>
    <row r="187" spans="1:13" ht="15.2" customHeight="1" x14ac:dyDescent="0.2">
      <c r="A187" s="26" t="s">
        <v>7040</v>
      </c>
      <c r="B187" s="27" t="s">
        <v>7041</v>
      </c>
      <c r="C187" s="28">
        <v>1</v>
      </c>
      <c r="D187" s="29">
        <v>9.1</v>
      </c>
      <c r="E187" s="29">
        <v>9.1</v>
      </c>
      <c r="F187" s="30">
        <v>19.989999999999998</v>
      </c>
      <c r="G187" s="29">
        <v>19.989999999999998</v>
      </c>
      <c r="H187" s="28" t="s">
        <v>305</v>
      </c>
      <c r="I187" s="27" t="s">
        <v>306</v>
      </c>
      <c r="J187" s="31" t="s">
        <v>40</v>
      </c>
      <c r="K187" s="27" t="s">
        <v>224</v>
      </c>
      <c r="L187" s="27" t="s">
        <v>276</v>
      </c>
      <c r="M187" s="32" t="str">
        <f>HYPERLINK("http://slimages.macys.com/is/image/MCY/3821780 ")</f>
        <v xml:space="preserve">http://slimages.macys.com/is/image/MCY/3821780 </v>
      </c>
    </row>
    <row r="188" spans="1:13" ht="15.2" customHeight="1" x14ac:dyDescent="0.2">
      <c r="A188" s="26" t="s">
        <v>1847</v>
      </c>
      <c r="B188" s="27" t="s">
        <v>1848</v>
      </c>
      <c r="C188" s="28">
        <v>1</v>
      </c>
      <c r="D188" s="29">
        <v>9.1</v>
      </c>
      <c r="E188" s="29">
        <v>9.1</v>
      </c>
      <c r="F188" s="30">
        <v>19.989999999999998</v>
      </c>
      <c r="G188" s="29">
        <v>19.989999999999998</v>
      </c>
      <c r="H188" s="28" t="s">
        <v>305</v>
      </c>
      <c r="I188" s="27" t="s">
        <v>189</v>
      </c>
      <c r="J188" s="31" t="s">
        <v>5</v>
      </c>
      <c r="K188" s="27" t="s">
        <v>224</v>
      </c>
      <c r="L188" s="27" t="s">
        <v>276</v>
      </c>
      <c r="M188" s="32" t="str">
        <f>HYPERLINK("http://slimages.macys.com/is/image/MCY/3821780 ")</f>
        <v xml:space="preserve">http://slimages.macys.com/is/image/MCY/3821780 </v>
      </c>
    </row>
    <row r="189" spans="1:13" ht="15.2" customHeight="1" x14ac:dyDescent="0.2">
      <c r="A189" s="26" t="s">
        <v>3376</v>
      </c>
      <c r="B189" s="27" t="s">
        <v>3377</v>
      </c>
      <c r="C189" s="28">
        <v>1</v>
      </c>
      <c r="D189" s="29">
        <v>9.1</v>
      </c>
      <c r="E189" s="29">
        <v>9.1</v>
      </c>
      <c r="F189" s="30">
        <v>19.989999999999998</v>
      </c>
      <c r="G189" s="29">
        <v>19.989999999999998</v>
      </c>
      <c r="H189" s="28" t="s">
        <v>305</v>
      </c>
      <c r="I189" s="27" t="s">
        <v>1311</v>
      </c>
      <c r="J189" s="31" t="s">
        <v>71</v>
      </c>
      <c r="K189" s="27" t="s">
        <v>224</v>
      </c>
      <c r="L189" s="27" t="s">
        <v>276</v>
      </c>
      <c r="M189" s="32" t="str">
        <f>HYPERLINK("http://slimages.macys.com/is/image/MCY/3820952 ")</f>
        <v xml:space="preserve">http://slimages.macys.com/is/image/MCY/3820952 </v>
      </c>
    </row>
    <row r="190" spans="1:13" ht="15.2" customHeight="1" x14ac:dyDescent="0.2">
      <c r="A190" s="26" t="s">
        <v>1356</v>
      </c>
      <c r="B190" s="27" t="s">
        <v>1357</v>
      </c>
      <c r="C190" s="28">
        <v>2</v>
      </c>
      <c r="D190" s="29">
        <v>9</v>
      </c>
      <c r="E190" s="29">
        <v>18</v>
      </c>
      <c r="F190" s="30">
        <v>19.989999999999998</v>
      </c>
      <c r="G190" s="29">
        <v>39.979999999999997</v>
      </c>
      <c r="H190" s="28" t="s">
        <v>311</v>
      </c>
      <c r="I190" s="27" t="s">
        <v>215</v>
      </c>
      <c r="J190" s="31" t="s">
        <v>21</v>
      </c>
      <c r="K190" s="27" t="s">
        <v>196</v>
      </c>
      <c r="L190" s="27" t="s">
        <v>239</v>
      </c>
      <c r="M190" s="32" t="str">
        <f>HYPERLINK("http://slimages.macys.com/is/image/MCY/3890895 ")</f>
        <v xml:space="preserve">http://slimages.macys.com/is/image/MCY/3890895 </v>
      </c>
    </row>
    <row r="191" spans="1:13" ht="15.2" customHeight="1" x14ac:dyDescent="0.2">
      <c r="A191" s="26" t="s">
        <v>7042</v>
      </c>
      <c r="B191" s="27" t="s">
        <v>7043</v>
      </c>
      <c r="C191" s="28">
        <v>1</v>
      </c>
      <c r="D191" s="29">
        <v>9</v>
      </c>
      <c r="E191" s="29">
        <v>9</v>
      </c>
      <c r="F191" s="30">
        <v>19.989999999999998</v>
      </c>
      <c r="G191" s="29">
        <v>19.989999999999998</v>
      </c>
      <c r="H191" s="28" t="s">
        <v>311</v>
      </c>
      <c r="I191" s="27" t="s">
        <v>10</v>
      </c>
      <c r="J191" s="31" t="s">
        <v>40</v>
      </c>
      <c r="K191" s="27" t="s">
        <v>196</v>
      </c>
      <c r="L191" s="27" t="s">
        <v>239</v>
      </c>
      <c r="M191" s="32" t="str">
        <f>HYPERLINK("http://slimages.macys.com/is/image/MCY/3890895 ")</f>
        <v xml:space="preserve">http://slimages.macys.com/is/image/MCY/3890895 </v>
      </c>
    </row>
    <row r="192" spans="1:13" ht="15.2" customHeight="1" x14ac:dyDescent="0.2">
      <c r="A192" s="26" t="s">
        <v>313</v>
      </c>
      <c r="B192" s="27" t="s">
        <v>314</v>
      </c>
      <c r="C192" s="28">
        <v>1</v>
      </c>
      <c r="D192" s="29">
        <v>9</v>
      </c>
      <c r="E192" s="29">
        <v>9</v>
      </c>
      <c r="F192" s="30">
        <v>19.989999999999998</v>
      </c>
      <c r="G192" s="29">
        <v>19.989999999999998</v>
      </c>
      <c r="H192" s="28" t="s">
        <v>311</v>
      </c>
      <c r="I192" s="27" t="s">
        <v>215</v>
      </c>
      <c r="J192" s="31" t="s">
        <v>40</v>
      </c>
      <c r="K192" s="27" t="s">
        <v>196</v>
      </c>
      <c r="L192" s="27" t="s">
        <v>239</v>
      </c>
      <c r="M192" s="32" t="str">
        <f>HYPERLINK("http://slimages.macys.com/is/image/MCY/3890895 ")</f>
        <v xml:space="preserve">http://slimages.macys.com/is/image/MCY/3890895 </v>
      </c>
    </row>
    <row r="193" spans="1:13" ht="15.2" customHeight="1" x14ac:dyDescent="0.2">
      <c r="A193" s="26" t="s">
        <v>7044</v>
      </c>
      <c r="B193" s="27" t="s">
        <v>7045</v>
      </c>
      <c r="C193" s="28">
        <v>1</v>
      </c>
      <c r="D193" s="29">
        <v>9</v>
      </c>
      <c r="E193" s="29">
        <v>9</v>
      </c>
      <c r="F193" s="30">
        <v>18.989999999999998</v>
      </c>
      <c r="G193" s="29">
        <v>18.989999999999998</v>
      </c>
      <c r="H193" s="28" t="s">
        <v>7046</v>
      </c>
      <c r="I193" s="27" t="s">
        <v>94</v>
      </c>
      <c r="J193" s="31" t="s">
        <v>40</v>
      </c>
      <c r="K193" s="27" t="s">
        <v>208</v>
      </c>
      <c r="L193" s="27" t="s">
        <v>197</v>
      </c>
      <c r="M193" s="32" t="str">
        <f>HYPERLINK("http://slimages.macys.com/is/image/MCY/3687949 ")</f>
        <v xml:space="preserve">http://slimages.macys.com/is/image/MCY/3687949 </v>
      </c>
    </row>
    <row r="194" spans="1:13" ht="15.2" customHeight="1" x14ac:dyDescent="0.2">
      <c r="A194" s="26" t="s">
        <v>7047</v>
      </c>
      <c r="B194" s="27" t="s">
        <v>7048</v>
      </c>
      <c r="C194" s="28">
        <v>1</v>
      </c>
      <c r="D194" s="29">
        <v>8.75</v>
      </c>
      <c r="E194" s="29">
        <v>8.75</v>
      </c>
      <c r="F194" s="30">
        <v>19.989999999999998</v>
      </c>
      <c r="G194" s="29">
        <v>19.989999999999998</v>
      </c>
      <c r="H194" s="28">
        <v>60433875</v>
      </c>
      <c r="I194" s="27" t="s">
        <v>4</v>
      </c>
      <c r="J194" s="31" t="s">
        <v>21</v>
      </c>
      <c r="K194" s="27" t="s">
        <v>224</v>
      </c>
      <c r="L194" s="27" t="s">
        <v>255</v>
      </c>
      <c r="M194" s="32" t="str">
        <f>HYPERLINK("http://slimages.macys.com/is/image/MCY/3915853 ")</f>
        <v xml:space="preserve">http://slimages.macys.com/is/image/MCY/3915853 </v>
      </c>
    </row>
    <row r="195" spans="1:13" ht="15.2" customHeight="1" x14ac:dyDescent="0.2">
      <c r="A195" s="26" t="s">
        <v>7049</v>
      </c>
      <c r="B195" s="27" t="s">
        <v>7050</v>
      </c>
      <c r="C195" s="28">
        <v>2</v>
      </c>
      <c r="D195" s="29">
        <v>8.75</v>
      </c>
      <c r="E195" s="29">
        <v>17.5</v>
      </c>
      <c r="F195" s="30">
        <v>19.989999999999998</v>
      </c>
      <c r="G195" s="29">
        <v>39.979999999999997</v>
      </c>
      <c r="H195" s="28">
        <v>60433875</v>
      </c>
      <c r="I195" s="27" t="s">
        <v>4</v>
      </c>
      <c r="J195" s="31" t="s">
        <v>52</v>
      </c>
      <c r="K195" s="27" t="s">
        <v>224</v>
      </c>
      <c r="L195" s="27" t="s">
        <v>255</v>
      </c>
      <c r="M195" s="32" t="str">
        <f>HYPERLINK("http://slimages.macys.com/is/image/MCY/3915853 ")</f>
        <v xml:space="preserve">http://slimages.macys.com/is/image/MCY/3915853 </v>
      </c>
    </row>
    <row r="196" spans="1:13" ht="15.2" customHeight="1" x14ac:dyDescent="0.2">
      <c r="A196" s="26" t="s">
        <v>5439</v>
      </c>
      <c r="B196" s="27" t="s">
        <v>5440</v>
      </c>
      <c r="C196" s="28">
        <v>1</v>
      </c>
      <c r="D196" s="29">
        <v>8.75</v>
      </c>
      <c r="E196" s="29">
        <v>8.75</v>
      </c>
      <c r="F196" s="30">
        <v>19.989999999999998</v>
      </c>
      <c r="G196" s="29">
        <v>19.989999999999998</v>
      </c>
      <c r="H196" s="28">
        <v>60433875</v>
      </c>
      <c r="I196" s="27" t="s">
        <v>4</v>
      </c>
      <c r="J196" s="31" t="s">
        <v>71</v>
      </c>
      <c r="K196" s="27" t="s">
        <v>224</v>
      </c>
      <c r="L196" s="27" t="s">
        <v>255</v>
      </c>
      <c r="M196" s="32" t="str">
        <f>HYPERLINK("http://slimages.macys.com/is/image/MCY/3915853 ")</f>
        <v xml:space="preserve">http://slimages.macys.com/is/image/MCY/3915853 </v>
      </c>
    </row>
    <row r="197" spans="1:13" ht="15.2" customHeight="1" x14ac:dyDescent="0.2">
      <c r="A197" s="26" t="s">
        <v>7051</v>
      </c>
      <c r="B197" s="27" t="s">
        <v>7052</v>
      </c>
      <c r="C197" s="28">
        <v>1</v>
      </c>
      <c r="D197" s="29">
        <v>8.65</v>
      </c>
      <c r="E197" s="29">
        <v>8.65</v>
      </c>
      <c r="F197" s="30">
        <v>19.989999999999998</v>
      </c>
      <c r="G197" s="29">
        <v>19.989999999999998</v>
      </c>
      <c r="H197" s="28" t="s">
        <v>7053</v>
      </c>
      <c r="I197" s="27" t="s">
        <v>94</v>
      </c>
      <c r="J197" s="31" t="s">
        <v>52</v>
      </c>
      <c r="K197" s="27" t="s">
        <v>196</v>
      </c>
      <c r="L197" s="27" t="s">
        <v>226</v>
      </c>
      <c r="M197" s="32" t="str">
        <f>HYPERLINK("http://slimages.macys.com/is/image/MCY/3399821 ")</f>
        <v xml:space="preserve">http://slimages.macys.com/is/image/MCY/3399821 </v>
      </c>
    </row>
    <row r="198" spans="1:13" ht="15.2" customHeight="1" x14ac:dyDescent="0.2">
      <c r="A198" s="26" t="s">
        <v>7054</v>
      </c>
      <c r="B198" s="27" t="s">
        <v>7055</v>
      </c>
      <c r="C198" s="28">
        <v>1</v>
      </c>
      <c r="D198" s="29">
        <v>8.5</v>
      </c>
      <c r="E198" s="29">
        <v>8.5</v>
      </c>
      <c r="F198" s="30">
        <v>19.989999999999998</v>
      </c>
      <c r="G198" s="29">
        <v>19.989999999999998</v>
      </c>
      <c r="H198" s="28" t="s">
        <v>334</v>
      </c>
      <c r="I198" s="27" t="s">
        <v>189</v>
      </c>
      <c r="J198" s="31" t="s">
        <v>40</v>
      </c>
      <c r="K198" s="27" t="s">
        <v>196</v>
      </c>
      <c r="L198" s="27" t="s">
        <v>239</v>
      </c>
      <c r="M198" s="32" t="str">
        <f>HYPERLINK("http://slimages.macys.com/is/image/MCY/3890886 ")</f>
        <v xml:space="preserve">http://slimages.macys.com/is/image/MCY/3890886 </v>
      </c>
    </row>
    <row r="199" spans="1:13" ht="15.2" customHeight="1" x14ac:dyDescent="0.2">
      <c r="A199" s="26" t="s">
        <v>7056</v>
      </c>
      <c r="B199" s="27" t="s">
        <v>7057</v>
      </c>
      <c r="C199" s="28">
        <v>1</v>
      </c>
      <c r="D199" s="29">
        <v>8.5</v>
      </c>
      <c r="E199" s="29">
        <v>8.5</v>
      </c>
      <c r="F199" s="30">
        <v>19.989999999999998</v>
      </c>
      <c r="G199" s="29">
        <v>19.989999999999998</v>
      </c>
      <c r="H199" s="28" t="s">
        <v>2261</v>
      </c>
      <c r="I199" s="27" t="s">
        <v>274</v>
      </c>
      <c r="J199" s="31" t="s">
        <v>52</v>
      </c>
      <c r="K199" s="27" t="s">
        <v>196</v>
      </c>
      <c r="L199" s="27" t="s">
        <v>239</v>
      </c>
      <c r="M199" s="32" t="str">
        <f>HYPERLINK("http://slimages.macys.com/is/image/MCY/3890914 ")</f>
        <v xml:space="preserve">http://slimages.macys.com/is/image/MCY/3890914 </v>
      </c>
    </row>
    <row r="200" spans="1:13" ht="15.2" customHeight="1" x14ac:dyDescent="0.2">
      <c r="A200" s="26" t="s">
        <v>7058</v>
      </c>
      <c r="B200" s="27" t="s">
        <v>7059</v>
      </c>
      <c r="C200" s="28">
        <v>1</v>
      </c>
      <c r="D200" s="29">
        <v>8.5</v>
      </c>
      <c r="E200" s="29">
        <v>8.5</v>
      </c>
      <c r="F200" s="30">
        <v>19.989999999999998</v>
      </c>
      <c r="G200" s="29">
        <v>19.989999999999998</v>
      </c>
      <c r="H200" s="28" t="s">
        <v>321</v>
      </c>
      <c r="I200" s="27" t="s">
        <v>333</v>
      </c>
      <c r="J200" s="31" t="s">
        <v>71</v>
      </c>
      <c r="K200" s="27" t="s">
        <v>196</v>
      </c>
      <c r="L200" s="27" t="s">
        <v>322</v>
      </c>
      <c r="M200" s="32" t="str">
        <f>HYPERLINK("http://slimages.macys.com/is/image/MCY/3910788 ")</f>
        <v xml:space="preserve">http://slimages.macys.com/is/image/MCY/3910788 </v>
      </c>
    </row>
    <row r="201" spans="1:13" ht="15.2" customHeight="1" x14ac:dyDescent="0.2">
      <c r="A201" s="26" t="s">
        <v>7060</v>
      </c>
      <c r="B201" s="27" t="s">
        <v>7061</v>
      </c>
      <c r="C201" s="28">
        <v>1</v>
      </c>
      <c r="D201" s="29">
        <v>8.5</v>
      </c>
      <c r="E201" s="29">
        <v>8.5</v>
      </c>
      <c r="F201" s="30">
        <v>19.989999999999998</v>
      </c>
      <c r="G201" s="29">
        <v>19.989999999999998</v>
      </c>
      <c r="H201" s="28" t="s">
        <v>321</v>
      </c>
      <c r="I201" s="27" t="s">
        <v>4</v>
      </c>
      <c r="J201" s="31" t="s">
        <v>71</v>
      </c>
      <c r="K201" s="27" t="s">
        <v>196</v>
      </c>
      <c r="L201" s="27" t="s">
        <v>322</v>
      </c>
      <c r="M201" s="32" t="str">
        <f>HYPERLINK("http://slimages.macys.com/is/image/MCY/3910788 ")</f>
        <v xml:space="preserve">http://slimages.macys.com/is/image/MCY/3910788 </v>
      </c>
    </row>
    <row r="202" spans="1:13" ht="15.2" customHeight="1" x14ac:dyDescent="0.2">
      <c r="A202" s="26" t="s">
        <v>7062</v>
      </c>
      <c r="B202" s="27" t="s">
        <v>7063</v>
      </c>
      <c r="C202" s="28">
        <v>1</v>
      </c>
      <c r="D202" s="29">
        <v>8.5</v>
      </c>
      <c r="E202" s="29">
        <v>8.5</v>
      </c>
      <c r="F202" s="30">
        <v>19.989999999999998</v>
      </c>
      <c r="G202" s="29">
        <v>19.989999999999998</v>
      </c>
      <c r="H202" s="28" t="s">
        <v>1862</v>
      </c>
      <c r="I202" s="27" t="s">
        <v>29</v>
      </c>
      <c r="J202" s="31" t="s">
        <v>52</v>
      </c>
      <c r="K202" s="27" t="s">
        <v>282</v>
      </c>
      <c r="L202" s="27" t="s">
        <v>322</v>
      </c>
      <c r="M202" s="32" t="str">
        <f>HYPERLINK("http://slimages.macys.com/is/image/MCY/3931084 ")</f>
        <v xml:space="preserve">http://slimages.macys.com/is/image/MCY/3931084 </v>
      </c>
    </row>
    <row r="203" spans="1:13" ht="15.2" customHeight="1" x14ac:dyDescent="0.2">
      <c r="A203" s="26" t="s">
        <v>7064</v>
      </c>
      <c r="B203" s="27" t="s">
        <v>7065</v>
      </c>
      <c r="C203" s="28">
        <v>1</v>
      </c>
      <c r="D203" s="29">
        <v>8.5</v>
      </c>
      <c r="E203" s="29">
        <v>8.5</v>
      </c>
      <c r="F203" s="30">
        <v>19.989999999999998</v>
      </c>
      <c r="G203" s="29">
        <v>19.989999999999998</v>
      </c>
      <c r="H203" s="28">
        <v>60433871</v>
      </c>
      <c r="I203" s="27" t="s">
        <v>215</v>
      </c>
      <c r="J203" s="31" t="s">
        <v>5</v>
      </c>
      <c r="K203" s="27" t="s">
        <v>224</v>
      </c>
      <c r="L203" s="27" t="s">
        <v>255</v>
      </c>
      <c r="M203" s="32" t="str">
        <f>HYPERLINK("http://slimages.macys.com/is/image/MCY/3910875 ")</f>
        <v xml:space="preserve">http://slimages.macys.com/is/image/MCY/3910875 </v>
      </c>
    </row>
    <row r="204" spans="1:13" ht="15.2" customHeight="1" x14ac:dyDescent="0.2">
      <c r="A204" s="26" t="s">
        <v>7066</v>
      </c>
      <c r="B204" s="27" t="s">
        <v>7067</v>
      </c>
      <c r="C204" s="28">
        <v>1</v>
      </c>
      <c r="D204" s="29">
        <v>8.5</v>
      </c>
      <c r="E204" s="29">
        <v>8.5</v>
      </c>
      <c r="F204" s="30">
        <v>19.989999999999998</v>
      </c>
      <c r="G204" s="29">
        <v>19.989999999999998</v>
      </c>
      <c r="H204" s="28" t="s">
        <v>321</v>
      </c>
      <c r="I204" s="27" t="s">
        <v>280</v>
      </c>
      <c r="J204" s="31" t="s">
        <v>71</v>
      </c>
      <c r="K204" s="27" t="s">
        <v>196</v>
      </c>
      <c r="L204" s="27" t="s">
        <v>322</v>
      </c>
      <c r="M204" s="32" t="str">
        <f>HYPERLINK("http://slimages.macys.com/is/image/MCY/3910788 ")</f>
        <v xml:space="preserve">http://slimages.macys.com/is/image/MCY/3910788 </v>
      </c>
    </row>
    <row r="205" spans="1:13" ht="15.2" customHeight="1" x14ac:dyDescent="0.2">
      <c r="A205" s="26" t="s">
        <v>2264</v>
      </c>
      <c r="B205" s="27" t="s">
        <v>2265</v>
      </c>
      <c r="C205" s="28">
        <v>1</v>
      </c>
      <c r="D205" s="29">
        <v>8.5</v>
      </c>
      <c r="E205" s="29">
        <v>8.5</v>
      </c>
      <c r="F205" s="30">
        <v>19.989999999999998</v>
      </c>
      <c r="G205" s="29">
        <v>19.989999999999998</v>
      </c>
      <c r="H205" s="28" t="s">
        <v>321</v>
      </c>
      <c r="I205" s="27" t="s">
        <v>4</v>
      </c>
      <c r="J205" s="31" t="s">
        <v>21</v>
      </c>
      <c r="K205" s="27" t="s">
        <v>196</v>
      </c>
      <c r="L205" s="27" t="s">
        <v>322</v>
      </c>
      <c r="M205" s="32" t="str">
        <f>HYPERLINK("http://slimages.macys.com/is/image/MCY/3910788 ")</f>
        <v xml:space="preserve">http://slimages.macys.com/is/image/MCY/3910788 </v>
      </c>
    </row>
    <row r="206" spans="1:13" ht="15.2" customHeight="1" x14ac:dyDescent="0.2">
      <c r="A206" s="26" t="s">
        <v>7068</v>
      </c>
      <c r="B206" s="27" t="s">
        <v>7069</v>
      </c>
      <c r="C206" s="28">
        <v>1</v>
      </c>
      <c r="D206" s="29">
        <v>8.5</v>
      </c>
      <c r="E206" s="29">
        <v>8.5</v>
      </c>
      <c r="F206" s="30">
        <v>19.989999999999998</v>
      </c>
      <c r="G206" s="29">
        <v>19.989999999999998</v>
      </c>
      <c r="H206" s="28" t="s">
        <v>321</v>
      </c>
      <c r="I206" s="27" t="s">
        <v>280</v>
      </c>
      <c r="J206" s="31" t="s">
        <v>5</v>
      </c>
      <c r="K206" s="27" t="s">
        <v>196</v>
      </c>
      <c r="L206" s="27" t="s">
        <v>322</v>
      </c>
      <c r="M206" s="32" t="str">
        <f>HYPERLINK("http://slimages.macys.com/is/image/MCY/3910788 ")</f>
        <v xml:space="preserve">http://slimages.macys.com/is/image/MCY/3910788 </v>
      </c>
    </row>
    <row r="207" spans="1:13" ht="15.2" customHeight="1" x14ac:dyDescent="0.2">
      <c r="A207" s="26" t="s">
        <v>1370</v>
      </c>
      <c r="B207" s="27" t="s">
        <v>1371</v>
      </c>
      <c r="C207" s="28">
        <v>1</v>
      </c>
      <c r="D207" s="29">
        <v>8.5</v>
      </c>
      <c r="E207" s="29">
        <v>8.5</v>
      </c>
      <c r="F207" s="30">
        <v>19.989999999999998</v>
      </c>
      <c r="G207" s="29">
        <v>19.989999999999998</v>
      </c>
      <c r="H207" s="28" t="s">
        <v>323</v>
      </c>
      <c r="I207" s="27" t="s">
        <v>189</v>
      </c>
      <c r="J207" s="31" t="s">
        <v>40</v>
      </c>
      <c r="K207" s="27" t="s">
        <v>196</v>
      </c>
      <c r="L207" s="27" t="s">
        <v>239</v>
      </c>
      <c r="M207" s="32" t="str">
        <f>HYPERLINK("http://slimages.macys.com/is/image/MCY/3890900 ")</f>
        <v xml:space="preserve">http://slimages.macys.com/is/image/MCY/3890900 </v>
      </c>
    </row>
    <row r="208" spans="1:13" ht="15.2" customHeight="1" x14ac:dyDescent="0.2">
      <c r="A208" s="26" t="s">
        <v>7070</v>
      </c>
      <c r="B208" s="27" t="s">
        <v>7071</v>
      </c>
      <c r="C208" s="28">
        <v>1</v>
      </c>
      <c r="D208" s="29">
        <v>8.5</v>
      </c>
      <c r="E208" s="29">
        <v>8.5</v>
      </c>
      <c r="F208" s="30">
        <v>19.989999999999998</v>
      </c>
      <c r="G208" s="29">
        <v>19.989999999999998</v>
      </c>
      <c r="H208" s="28" t="s">
        <v>827</v>
      </c>
      <c r="I208" s="27" t="s">
        <v>4</v>
      </c>
      <c r="J208" s="31" t="s">
        <v>5</v>
      </c>
      <c r="K208" s="27" t="s">
        <v>196</v>
      </c>
      <c r="L208" s="27" t="s">
        <v>260</v>
      </c>
      <c r="M208" s="32" t="str">
        <f>HYPERLINK("http://slimages.macys.com/is/image/MCY/3910806 ")</f>
        <v xml:space="preserve">http://slimages.macys.com/is/image/MCY/3910806 </v>
      </c>
    </row>
    <row r="209" spans="1:13" ht="15.2" customHeight="1" x14ac:dyDescent="0.2">
      <c r="A209" s="26" t="s">
        <v>7072</v>
      </c>
      <c r="B209" s="27" t="s">
        <v>7073</v>
      </c>
      <c r="C209" s="28">
        <v>1</v>
      </c>
      <c r="D209" s="29">
        <v>8.4</v>
      </c>
      <c r="E209" s="29">
        <v>8.4</v>
      </c>
      <c r="F209" s="30">
        <v>19.989999999999998</v>
      </c>
      <c r="G209" s="29">
        <v>19.989999999999998</v>
      </c>
      <c r="H209" s="28" t="s">
        <v>4637</v>
      </c>
      <c r="I209" s="27" t="s">
        <v>4</v>
      </c>
      <c r="J209" s="31" t="s">
        <v>21</v>
      </c>
      <c r="K209" s="27" t="s">
        <v>159</v>
      </c>
      <c r="L209" s="27" t="s">
        <v>160</v>
      </c>
      <c r="M209" s="32" t="str">
        <f>HYPERLINK("http://slimages.macys.com/is/image/MCY/3450470 ")</f>
        <v xml:space="preserve">http://slimages.macys.com/is/image/MCY/3450470 </v>
      </c>
    </row>
    <row r="210" spans="1:13" ht="15.2" customHeight="1" x14ac:dyDescent="0.2">
      <c r="A210" s="26" t="s">
        <v>1391</v>
      </c>
      <c r="B210" s="27" t="s">
        <v>1392</v>
      </c>
      <c r="C210" s="28">
        <v>1</v>
      </c>
      <c r="D210" s="29">
        <v>8.25</v>
      </c>
      <c r="E210" s="29">
        <v>8.25</v>
      </c>
      <c r="F210" s="30">
        <v>19.989999999999998</v>
      </c>
      <c r="G210" s="29">
        <v>19.989999999999998</v>
      </c>
      <c r="H210" s="28" t="s">
        <v>1393</v>
      </c>
      <c r="I210" s="27" t="s">
        <v>248</v>
      </c>
      <c r="J210" s="31" t="s">
        <v>5</v>
      </c>
      <c r="K210" s="27" t="s">
        <v>196</v>
      </c>
      <c r="L210" s="27" t="s">
        <v>225</v>
      </c>
      <c r="M210" s="32" t="str">
        <f>HYPERLINK("http://slimages.macys.com/is/image/MCY/3910904 ")</f>
        <v xml:space="preserve">http://slimages.macys.com/is/image/MCY/3910904 </v>
      </c>
    </row>
    <row r="211" spans="1:13" ht="15.2" customHeight="1" x14ac:dyDescent="0.2">
      <c r="A211" s="26" t="s">
        <v>7074</v>
      </c>
      <c r="B211" s="27" t="s">
        <v>7075</v>
      </c>
      <c r="C211" s="28">
        <v>1</v>
      </c>
      <c r="D211" s="29">
        <v>8.25</v>
      </c>
      <c r="E211" s="29">
        <v>8.25</v>
      </c>
      <c r="F211" s="30">
        <v>19.989999999999998</v>
      </c>
      <c r="G211" s="29">
        <v>19.989999999999998</v>
      </c>
      <c r="H211" s="28" t="s">
        <v>3879</v>
      </c>
      <c r="I211" s="27" t="s">
        <v>333</v>
      </c>
      <c r="J211" s="31" t="s">
        <v>40</v>
      </c>
      <c r="K211" s="27" t="s">
        <v>196</v>
      </c>
      <c r="L211" s="27" t="s">
        <v>322</v>
      </c>
      <c r="M211" s="32" t="str">
        <f>HYPERLINK("http://slimages.macys.com/is/image/MCY/3645183 ")</f>
        <v xml:space="preserve">http://slimages.macys.com/is/image/MCY/3645183 </v>
      </c>
    </row>
    <row r="212" spans="1:13" ht="15.2" customHeight="1" x14ac:dyDescent="0.2">
      <c r="A212" s="26" t="s">
        <v>7076</v>
      </c>
      <c r="B212" s="27" t="s">
        <v>7077</v>
      </c>
      <c r="C212" s="28">
        <v>2</v>
      </c>
      <c r="D212" s="29">
        <v>8.25</v>
      </c>
      <c r="E212" s="29">
        <v>16.5</v>
      </c>
      <c r="F212" s="30">
        <v>19.989999999999998</v>
      </c>
      <c r="G212" s="29">
        <v>39.979999999999997</v>
      </c>
      <c r="H212" s="28" t="s">
        <v>2291</v>
      </c>
      <c r="I212" s="27" t="s">
        <v>357</v>
      </c>
      <c r="J212" s="31" t="s">
        <v>40</v>
      </c>
      <c r="K212" s="27" t="s">
        <v>196</v>
      </c>
      <c r="L212" s="27" t="s">
        <v>225</v>
      </c>
      <c r="M212" s="32" t="str">
        <f>HYPERLINK("http://slimages.macys.com/is/image/MCY/3875563 ")</f>
        <v xml:space="preserve">http://slimages.macys.com/is/image/MCY/3875563 </v>
      </c>
    </row>
    <row r="213" spans="1:13" ht="15.2" customHeight="1" x14ac:dyDescent="0.2">
      <c r="A213" s="26" t="s">
        <v>7078</v>
      </c>
      <c r="B213" s="27" t="s">
        <v>7079</v>
      </c>
      <c r="C213" s="28">
        <v>1</v>
      </c>
      <c r="D213" s="29">
        <v>8.25</v>
      </c>
      <c r="E213" s="29">
        <v>8.25</v>
      </c>
      <c r="F213" s="30">
        <v>19.989999999999998</v>
      </c>
      <c r="G213" s="29">
        <v>19.989999999999998</v>
      </c>
      <c r="H213" s="28" t="s">
        <v>1393</v>
      </c>
      <c r="I213" s="27" t="s">
        <v>248</v>
      </c>
      <c r="J213" s="31" t="s">
        <v>52</v>
      </c>
      <c r="K213" s="27" t="s">
        <v>196</v>
      </c>
      <c r="L213" s="27" t="s">
        <v>225</v>
      </c>
      <c r="M213" s="32" t="str">
        <f>HYPERLINK("http://slimages.macys.com/is/image/MCY/3910904 ")</f>
        <v xml:space="preserve">http://slimages.macys.com/is/image/MCY/3910904 </v>
      </c>
    </row>
    <row r="214" spans="1:13" ht="15.2" customHeight="1" x14ac:dyDescent="0.2">
      <c r="A214" s="26" t="s">
        <v>7080</v>
      </c>
      <c r="B214" s="27" t="s">
        <v>7081</v>
      </c>
      <c r="C214" s="28">
        <v>1</v>
      </c>
      <c r="D214" s="29">
        <v>8.1</v>
      </c>
      <c r="E214" s="29">
        <v>8.1</v>
      </c>
      <c r="F214" s="30">
        <v>19.989999999999998</v>
      </c>
      <c r="G214" s="29">
        <v>19.989999999999998</v>
      </c>
      <c r="H214" s="28">
        <v>60449400</v>
      </c>
      <c r="I214" s="27" t="s">
        <v>39</v>
      </c>
      <c r="J214" s="31" t="s">
        <v>21</v>
      </c>
      <c r="K214" s="27" t="s">
        <v>208</v>
      </c>
      <c r="L214" s="27" t="s">
        <v>255</v>
      </c>
      <c r="M214" s="32" t="str">
        <f>HYPERLINK("http://slimages.macys.com/is/image/MCY/3940667 ")</f>
        <v xml:space="preserve">http://slimages.macys.com/is/image/MCY/3940667 </v>
      </c>
    </row>
    <row r="215" spans="1:13" ht="15.2" customHeight="1" x14ac:dyDescent="0.2">
      <c r="A215" s="26" t="s">
        <v>346</v>
      </c>
      <c r="B215" s="27" t="s">
        <v>347</v>
      </c>
      <c r="C215" s="28">
        <v>1</v>
      </c>
      <c r="D215" s="29">
        <v>8.1</v>
      </c>
      <c r="E215" s="29">
        <v>8.1</v>
      </c>
      <c r="F215" s="30">
        <v>19.989999999999998</v>
      </c>
      <c r="G215" s="29">
        <v>19.989999999999998</v>
      </c>
      <c r="H215" s="28">
        <v>60449400</v>
      </c>
      <c r="I215" s="27" t="s">
        <v>343</v>
      </c>
      <c r="J215" s="31" t="s">
        <v>5</v>
      </c>
      <c r="K215" s="27" t="s">
        <v>208</v>
      </c>
      <c r="L215" s="27" t="s">
        <v>255</v>
      </c>
      <c r="M215" s="32" t="str">
        <f>HYPERLINK("http://slimages.macys.com/is/image/MCY/3940667 ")</f>
        <v xml:space="preserve">http://slimages.macys.com/is/image/MCY/3940667 </v>
      </c>
    </row>
    <row r="216" spans="1:13" ht="15.2" customHeight="1" x14ac:dyDescent="0.2">
      <c r="A216" s="26" t="s">
        <v>853</v>
      </c>
      <c r="B216" s="27" t="s">
        <v>854</v>
      </c>
      <c r="C216" s="28">
        <v>1</v>
      </c>
      <c r="D216" s="29">
        <v>8</v>
      </c>
      <c r="E216" s="29">
        <v>8</v>
      </c>
      <c r="F216" s="30">
        <v>19.989999999999998</v>
      </c>
      <c r="G216" s="29">
        <v>19.989999999999998</v>
      </c>
      <c r="H216" s="28" t="s">
        <v>364</v>
      </c>
      <c r="I216" s="27" t="s">
        <v>280</v>
      </c>
      <c r="J216" s="31" t="s">
        <v>21</v>
      </c>
      <c r="K216" s="27" t="s">
        <v>282</v>
      </c>
      <c r="L216" s="27" t="s">
        <v>358</v>
      </c>
      <c r="M216" s="32" t="str">
        <f>HYPERLINK("http://slimages.macys.com/is/image/MCY/3931077 ")</f>
        <v xml:space="preserve">http://slimages.macys.com/is/image/MCY/3931077 </v>
      </c>
    </row>
    <row r="217" spans="1:13" ht="15.2" customHeight="1" x14ac:dyDescent="0.2">
      <c r="A217" s="26" t="s">
        <v>7082</v>
      </c>
      <c r="B217" s="27" t="s">
        <v>7083</v>
      </c>
      <c r="C217" s="28">
        <v>1</v>
      </c>
      <c r="D217" s="29">
        <v>8</v>
      </c>
      <c r="E217" s="29">
        <v>8</v>
      </c>
      <c r="F217" s="30">
        <v>19.989999999999998</v>
      </c>
      <c r="G217" s="29">
        <v>19.989999999999998</v>
      </c>
      <c r="H217" s="28" t="s">
        <v>2309</v>
      </c>
      <c r="I217" s="27" t="s">
        <v>238</v>
      </c>
      <c r="J217" s="31" t="s">
        <v>5</v>
      </c>
      <c r="K217" s="27" t="s">
        <v>196</v>
      </c>
      <c r="L217" s="27" t="s">
        <v>239</v>
      </c>
      <c r="M217" s="32" t="str">
        <f>HYPERLINK("http://slimages.macys.com/is/image/MCY/3719772 ")</f>
        <v xml:space="preserve">http://slimages.macys.com/is/image/MCY/3719772 </v>
      </c>
    </row>
    <row r="218" spans="1:13" ht="15.2" customHeight="1" x14ac:dyDescent="0.2">
      <c r="A218" s="26" t="s">
        <v>7084</v>
      </c>
      <c r="B218" s="27" t="s">
        <v>7085</v>
      </c>
      <c r="C218" s="28">
        <v>1</v>
      </c>
      <c r="D218" s="29">
        <v>8</v>
      </c>
      <c r="E218" s="29">
        <v>8</v>
      </c>
      <c r="F218" s="30">
        <v>19.989999999999998</v>
      </c>
      <c r="G218" s="29">
        <v>19.989999999999998</v>
      </c>
      <c r="H218" s="28" t="s">
        <v>1362</v>
      </c>
      <c r="I218" s="27" t="s">
        <v>189</v>
      </c>
      <c r="J218" s="31" t="s">
        <v>40</v>
      </c>
      <c r="K218" s="27" t="s">
        <v>224</v>
      </c>
      <c r="L218" s="27" t="s">
        <v>276</v>
      </c>
      <c r="M218" s="32" t="str">
        <f>HYPERLINK("http://slimages.macys.com/is/image/MCY/3821763 ")</f>
        <v xml:space="preserve">http://slimages.macys.com/is/image/MCY/3821763 </v>
      </c>
    </row>
    <row r="219" spans="1:13" ht="15.2" customHeight="1" x14ac:dyDescent="0.2">
      <c r="A219" s="26" t="s">
        <v>844</v>
      </c>
      <c r="B219" s="27" t="s">
        <v>845</v>
      </c>
      <c r="C219" s="28">
        <v>1</v>
      </c>
      <c r="D219" s="29">
        <v>8</v>
      </c>
      <c r="E219" s="29">
        <v>8</v>
      </c>
      <c r="F219" s="30">
        <v>19.989999999999998</v>
      </c>
      <c r="G219" s="29">
        <v>19.989999999999998</v>
      </c>
      <c r="H219" s="28" t="s">
        <v>827</v>
      </c>
      <c r="I219" s="27" t="s">
        <v>280</v>
      </c>
      <c r="J219" s="31" t="s">
        <v>52</v>
      </c>
      <c r="K219" s="27" t="s">
        <v>196</v>
      </c>
      <c r="L219" s="27" t="s">
        <v>260</v>
      </c>
      <c r="M219" s="32" t="str">
        <f>HYPERLINK("http://slimages.macys.com/is/image/MCY/3910796 ")</f>
        <v xml:space="preserve">http://slimages.macys.com/is/image/MCY/3910796 </v>
      </c>
    </row>
    <row r="220" spans="1:13" ht="15.2" customHeight="1" x14ac:dyDescent="0.2">
      <c r="A220" s="26" t="s">
        <v>7086</v>
      </c>
      <c r="B220" s="27" t="s">
        <v>7087</v>
      </c>
      <c r="C220" s="28">
        <v>1</v>
      </c>
      <c r="D220" s="29">
        <v>8</v>
      </c>
      <c r="E220" s="29">
        <v>8</v>
      </c>
      <c r="F220" s="30">
        <v>19.989999999999998</v>
      </c>
      <c r="G220" s="29">
        <v>19.989999999999998</v>
      </c>
      <c r="H220" s="28" t="s">
        <v>1888</v>
      </c>
      <c r="I220" s="27" t="s">
        <v>10</v>
      </c>
      <c r="J220" s="31" t="s">
        <v>71</v>
      </c>
      <c r="K220" s="27" t="s">
        <v>196</v>
      </c>
      <c r="L220" s="27" t="s">
        <v>239</v>
      </c>
      <c r="M220" s="32" t="str">
        <f>HYPERLINK("http://slimages.macys.com/is/image/MCY/3853021 ")</f>
        <v xml:space="preserve">http://slimages.macys.com/is/image/MCY/3853021 </v>
      </c>
    </row>
    <row r="221" spans="1:13" ht="15.2" customHeight="1" x14ac:dyDescent="0.2">
      <c r="A221" s="26" t="s">
        <v>365</v>
      </c>
      <c r="B221" s="27" t="s">
        <v>366</v>
      </c>
      <c r="C221" s="28">
        <v>1</v>
      </c>
      <c r="D221" s="29">
        <v>8</v>
      </c>
      <c r="E221" s="29">
        <v>8</v>
      </c>
      <c r="F221" s="30">
        <v>19.989999999999998</v>
      </c>
      <c r="G221" s="29">
        <v>19.989999999999998</v>
      </c>
      <c r="H221" s="28" t="s">
        <v>361</v>
      </c>
      <c r="I221" s="27" t="s">
        <v>215</v>
      </c>
      <c r="J221" s="31" t="s">
        <v>71</v>
      </c>
      <c r="K221" s="27" t="s">
        <v>282</v>
      </c>
      <c r="L221" s="27" t="s">
        <v>358</v>
      </c>
      <c r="M221" s="32" t="str">
        <f>HYPERLINK("http://slimages.macys.com/is/image/MCY/3931075 ")</f>
        <v xml:space="preserve">http://slimages.macys.com/is/image/MCY/3931075 </v>
      </c>
    </row>
    <row r="222" spans="1:13" ht="15.2" customHeight="1" x14ac:dyDescent="0.2">
      <c r="A222" s="26" t="s">
        <v>2316</v>
      </c>
      <c r="B222" s="27" t="s">
        <v>2317</v>
      </c>
      <c r="C222" s="28">
        <v>1</v>
      </c>
      <c r="D222" s="29">
        <v>8</v>
      </c>
      <c r="E222" s="29">
        <v>8</v>
      </c>
      <c r="F222" s="30">
        <v>19.989999999999998</v>
      </c>
      <c r="G222" s="29">
        <v>19.989999999999998</v>
      </c>
      <c r="H222" s="28" t="s">
        <v>1362</v>
      </c>
      <c r="I222" s="27" t="s">
        <v>661</v>
      </c>
      <c r="J222" s="31" t="s">
        <v>40</v>
      </c>
      <c r="K222" s="27" t="s">
        <v>224</v>
      </c>
      <c r="L222" s="27" t="s">
        <v>276</v>
      </c>
      <c r="M222" s="32" t="str">
        <f>HYPERLINK("http://slimages.macys.com/is/image/MCY/3814584 ")</f>
        <v xml:space="preserve">http://slimages.macys.com/is/image/MCY/3814584 </v>
      </c>
    </row>
    <row r="223" spans="1:13" ht="15.2" customHeight="1" x14ac:dyDescent="0.2">
      <c r="A223" s="26" t="s">
        <v>7088</v>
      </c>
      <c r="B223" s="27" t="s">
        <v>7089</v>
      </c>
      <c r="C223" s="28">
        <v>1</v>
      </c>
      <c r="D223" s="29">
        <v>7.9</v>
      </c>
      <c r="E223" s="29">
        <v>7.9</v>
      </c>
      <c r="F223" s="30">
        <v>19.989999999999998</v>
      </c>
      <c r="G223" s="29">
        <v>19.989999999999998</v>
      </c>
      <c r="H223" s="28" t="s">
        <v>7090</v>
      </c>
      <c r="I223" s="27" t="s">
        <v>59</v>
      </c>
      <c r="J223" s="31" t="s">
        <v>5</v>
      </c>
      <c r="K223" s="27" t="s">
        <v>196</v>
      </c>
      <c r="L223" s="27" t="s">
        <v>239</v>
      </c>
      <c r="M223" s="32" t="str">
        <f>HYPERLINK("http://slimages.macys.com/is/image/MCY/3497515 ")</f>
        <v xml:space="preserve">http://slimages.macys.com/is/image/MCY/3497515 </v>
      </c>
    </row>
    <row r="224" spans="1:13" ht="15.2" customHeight="1" x14ac:dyDescent="0.2">
      <c r="A224" s="26" t="s">
        <v>2325</v>
      </c>
      <c r="B224" s="27" t="s">
        <v>2326</v>
      </c>
      <c r="C224" s="28">
        <v>1</v>
      </c>
      <c r="D224" s="29">
        <v>7.82</v>
      </c>
      <c r="E224" s="29">
        <v>7.82</v>
      </c>
      <c r="F224" s="30">
        <v>16.989999999999998</v>
      </c>
      <c r="G224" s="29">
        <v>16.989999999999998</v>
      </c>
      <c r="H224" s="28">
        <v>60450149</v>
      </c>
      <c r="I224" s="27" t="s">
        <v>33</v>
      </c>
      <c r="J224" s="31" t="s">
        <v>5</v>
      </c>
      <c r="K224" s="27" t="s">
        <v>208</v>
      </c>
      <c r="L224" s="27" t="s">
        <v>255</v>
      </c>
      <c r="M224" s="32" t="str">
        <f>HYPERLINK("http://slimages.macys.com/is/image/MCY/3955026 ")</f>
        <v xml:space="preserve">http://slimages.macys.com/is/image/MCY/3955026 </v>
      </c>
    </row>
    <row r="225" spans="1:13" ht="15.2" customHeight="1" x14ac:dyDescent="0.2">
      <c r="A225" s="26" t="s">
        <v>7091</v>
      </c>
      <c r="B225" s="27" t="s">
        <v>7092</v>
      </c>
      <c r="C225" s="28">
        <v>1</v>
      </c>
      <c r="D225" s="29">
        <v>7.82</v>
      </c>
      <c r="E225" s="29">
        <v>7.82</v>
      </c>
      <c r="F225" s="30">
        <v>16.989999999999998</v>
      </c>
      <c r="G225" s="29">
        <v>16.989999999999998</v>
      </c>
      <c r="H225" s="28">
        <v>60450149</v>
      </c>
      <c r="I225" s="27" t="s">
        <v>33</v>
      </c>
      <c r="J225" s="31" t="s">
        <v>71</v>
      </c>
      <c r="K225" s="27" t="s">
        <v>208</v>
      </c>
      <c r="L225" s="27" t="s">
        <v>255</v>
      </c>
      <c r="M225" s="32" t="str">
        <f>HYPERLINK("http://slimages.macys.com/is/image/MCY/3955026 ")</f>
        <v xml:space="preserve">http://slimages.macys.com/is/image/MCY/3955026 </v>
      </c>
    </row>
    <row r="226" spans="1:13" ht="15.2" customHeight="1" x14ac:dyDescent="0.2">
      <c r="A226" s="26" t="s">
        <v>7093</v>
      </c>
      <c r="B226" s="27" t="s">
        <v>7094</v>
      </c>
      <c r="C226" s="28">
        <v>1</v>
      </c>
      <c r="D226" s="29">
        <v>7.82</v>
      </c>
      <c r="E226" s="29">
        <v>7.82</v>
      </c>
      <c r="F226" s="30">
        <v>16.989999999999998</v>
      </c>
      <c r="G226" s="29">
        <v>16.989999999999998</v>
      </c>
      <c r="H226" s="28">
        <v>60450149</v>
      </c>
      <c r="I226" s="27" t="s">
        <v>33</v>
      </c>
      <c r="J226" s="31" t="s">
        <v>40</v>
      </c>
      <c r="K226" s="27" t="s">
        <v>208</v>
      </c>
      <c r="L226" s="27" t="s">
        <v>255</v>
      </c>
      <c r="M226" s="32" t="str">
        <f>HYPERLINK("http://slimages.macys.com/is/image/MCY/3955026 ")</f>
        <v xml:space="preserve">http://slimages.macys.com/is/image/MCY/3955026 </v>
      </c>
    </row>
    <row r="227" spans="1:13" ht="15.2" customHeight="1" x14ac:dyDescent="0.2">
      <c r="A227" s="26" t="s">
        <v>3898</v>
      </c>
      <c r="B227" s="27" t="s">
        <v>3899</v>
      </c>
      <c r="C227" s="28">
        <v>1</v>
      </c>
      <c r="D227" s="29">
        <v>7.82</v>
      </c>
      <c r="E227" s="29">
        <v>7.82</v>
      </c>
      <c r="F227" s="30">
        <v>16.989999999999998</v>
      </c>
      <c r="G227" s="29">
        <v>16.989999999999998</v>
      </c>
      <c r="H227" s="28">
        <v>60450149</v>
      </c>
      <c r="I227" s="27" t="s">
        <v>33</v>
      </c>
      <c r="J227" s="31" t="s">
        <v>21</v>
      </c>
      <c r="K227" s="27" t="s">
        <v>208</v>
      </c>
      <c r="L227" s="27" t="s">
        <v>255</v>
      </c>
      <c r="M227" s="32" t="str">
        <f>HYPERLINK("http://slimages.macys.com/is/image/MCY/3955026 ")</f>
        <v xml:space="preserve">http://slimages.macys.com/is/image/MCY/3955026 </v>
      </c>
    </row>
    <row r="228" spans="1:13" ht="15.2" customHeight="1" x14ac:dyDescent="0.2">
      <c r="A228" s="26" t="s">
        <v>7095</v>
      </c>
      <c r="B228" s="27" t="s">
        <v>7096</v>
      </c>
      <c r="C228" s="28">
        <v>1</v>
      </c>
      <c r="D228" s="29">
        <v>7.5</v>
      </c>
      <c r="E228" s="29">
        <v>7.5</v>
      </c>
      <c r="F228" s="30">
        <v>12.99</v>
      </c>
      <c r="G228" s="29">
        <v>12.99</v>
      </c>
      <c r="H228" s="28" t="s">
        <v>7097</v>
      </c>
      <c r="I228" s="27" t="s">
        <v>2496</v>
      </c>
      <c r="J228" s="31" t="s">
        <v>21</v>
      </c>
      <c r="K228" s="27" t="s">
        <v>282</v>
      </c>
      <c r="L228" s="27" t="s">
        <v>225</v>
      </c>
      <c r="M228" s="32" t="str">
        <f>HYPERLINK("http://slimages.macys.com/is/image/MCY/3409396 ")</f>
        <v xml:space="preserve">http://slimages.macys.com/is/image/MCY/3409396 </v>
      </c>
    </row>
    <row r="229" spans="1:13" ht="15.2" customHeight="1" x14ac:dyDescent="0.2">
      <c r="A229" s="26" t="s">
        <v>3434</v>
      </c>
      <c r="B229" s="27" t="s">
        <v>3435</v>
      </c>
      <c r="C229" s="28">
        <v>1</v>
      </c>
      <c r="D229" s="29">
        <v>7.5</v>
      </c>
      <c r="E229" s="29">
        <v>7.5</v>
      </c>
      <c r="F229" s="30">
        <v>19.989999999999998</v>
      </c>
      <c r="G229" s="29">
        <v>19.989999999999998</v>
      </c>
      <c r="H229" s="28" t="s">
        <v>1900</v>
      </c>
      <c r="I229" s="27" t="s">
        <v>4</v>
      </c>
      <c r="J229" s="31" t="s">
        <v>5</v>
      </c>
      <c r="K229" s="27" t="s">
        <v>196</v>
      </c>
      <c r="L229" s="27" t="s">
        <v>225</v>
      </c>
      <c r="M229" s="32" t="str">
        <f>HYPERLINK("http://slimages.macys.com/is/image/MCY/3953461 ")</f>
        <v xml:space="preserve">http://slimages.macys.com/is/image/MCY/3953461 </v>
      </c>
    </row>
    <row r="230" spans="1:13" ht="15.2" customHeight="1" x14ac:dyDescent="0.2">
      <c r="A230" s="26" t="s">
        <v>7098</v>
      </c>
      <c r="B230" s="27" t="s">
        <v>7099</v>
      </c>
      <c r="C230" s="28">
        <v>1</v>
      </c>
      <c r="D230" s="29">
        <v>7.5</v>
      </c>
      <c r="E230" s="29">
        <v>7.5</v>
      </c>
      <c r="F230" s="30">
        <v>19.989999999999998</v>
      </c>
      <c r="G230" s="29">
        <v>19.989999999999998</v>
      </c>
      <c r="H230" s="28" t="s">
        <v>7100</v>
      </c>
      <c r="I230" s="27" t="s">
        <v>4</v>
      </c>
      <c r="J230" s="31" t="s">
        <v>21</v>
      </c>
      <c r="K230" s="27" t="s">
        <v>196</v>
      </c>
      <c r="L230" s="27" t="s">
        <v>804</v>
      </c>
      <c r="M230" s="32" t="str">
        <f>HYPERLINK("http://slimages.macys.com/is/image/MCY/3283206 ")</f>
        <v xml:space="preserve">http://slimages.macys.com/is/image/MCY/3283206 </v>
      </c>
    </row>
    <row r="231" spans="1:13" ht="15.2" customHeight="1" x14ac:dyDescent="0.2">
      <c r="A231" s="26" t="s">
        <v>2347</v>
      </c>
      <c r="B231" s="27" t="s">
        <v>2348</v>
      </c>
      <c r="C231" s="28">
        <v>1</v>
      </c>
      <c r="D231" s="29">
        <v>7.5</v>
      </c>
      <c r="E231" s="29">
        <v>7.5</v>
      </c>
      <c r="F231" s="30">
        <v>19.989999999999998</v>
      </c>
      <c r="G231" s="29">
        <v>19.989999999999998</v>
      </c>
      <c r="H231" s="28" t="s">
        <v>1900</v>
      </c>
      <c r="I231" s="27" t="s">
        <v>4</v>
      </c>
      <c r="J231" s="31" t="s">
        <v>40</v>
      </c>
      <c r="K231" s="27" t="s">
        <v>196</v>
      </c>
      <c r="L231" s="27" t="s">
        <v>225</v>
      </c>
      <c r="M231" s="32" t="str">
        <f>HYPERLINK("http://slimages.macys.com/is/image/MCY/3953461 ")</f>
        <v xml:space="preserve">http://slimages.macys.com/is/image/MCY/3953461 </v>
      </c>
    </row>
    <row r="232" spans="1:13" ht="15.2" customHeight="1" x14ac:dyDescent="0.2">
      <c r="A232" s="26" t="s">
        <v>7101</v>
      </c>
      <c r="B232" s="27" t="s">
        <v>7102</v>
      </c>
      <c r="C232" s="28">
        <v>1</v>
      </c>
      <c r="D232" s="29">
        <v>7.47</v>
      </c>
      <c r="E232" s="29">
        <v>7.47</v>
      </c>
      <c r="F232" s="30">
        <v>16.989999999999998</v>
      </c>
      <c r="G232" s="29">
        <v>16.989999999999998</v>
      </c>
      <c r="H232" s="28" t="s">
        <v>7103</v>
      </c>
      <c r="I232" s="27" t="s">
        <v>4</v>
      </c>
      <c r="J232" s="31" t="s">
        <v>5</v>
      </c>
      <c r="K232" s="27" t="s">
        <v>53</v>
      </c>
      <c r="L232" s="27" t="s">
        <v>167</v>
      </c>
      <c r="M232" s="32" t="str">
        <f>HYPERLINK("http://slimages.macys.com/is/image/MCY/2862439 ")</f>
        <v xml:space="preserve">http://slimages.macys.com/is/image/MCY/2862439 </v>
      </c>
    </row>
    <row r="233" spans="1:13" ht="15.2" customHeight="1" x14ac:dyDescent="0.2">
      <c r="A233" s="26" t="s">
        <v>7104</v>
      </c>
      <c r="B233" s="27" t="s">
        <v>7105</v>
      </c>
      <c r="C233" s="28">
        <v>3</v>
      </c>
      <c r="D233" s="29">
        <v>7</v>
      </c>
      <c r="E233" s="29">
        <v>21</v>
      </c>
      <c r="F233" s="30">
        <v>19.989999999999998</v>
      </c>
      <c r="G233" s="29">
        <v>59.97</v>
      </c>
      <c r="H233" s="28" t="s">
        <v>380</v>
      </c>
      <c r="I233" s="27" t="s">
        <v>274</v>
      </c>
      <c r="J233" s="31" t="s">
        <v>40</v>
      </c>
      <c r="K233" s="27" t="s">
        <v>196</v>
      </c>
      <c r="L233" s="27" t="s">
        <v>260</v>
      </c>
      <c r="M233" s="32" t="str">
        <f>HYPERLINK("http://slimages.macys.com/is/image/MCY/3910801 ")</f>
        <v xml:space="preserve">http://slimages.macys.com/is/image/MCY/3910801 </v>
      </c>
    </row>
    <row r="234" spans="1:13" ht="15.2" customHeight="1" x14ac:dyDescent="0.2">
      <c r="A234" s="26" t="s">
        <v>7106</v>
      </c>
      <c r="B234" s="27" t="s">
        <v>7107</v>
      </c>
      <c r="C234" s="28">
        <v>1</v>
      </c>
      <c r="D234" s="29">
        <v>7</v>
      </c>
      <c r="E234" s="29">
        <v>7</v>
      </c>
      <c r="F234" s="30">
        <v>19.989999999999998</v>
      </c>
      <c r="G234" s="29">
        <v>19.989999999999998</v>
      </c>
      <c r="H234" s="28" t="s">
        <v>869</v>
      </c>
      <c r="I234" s="27" t="s">
        <v>4</v>
      </c>
      <c r="J234" s="31" t="s">
        <v>71</v>
      </c>
      <c r="K234" s="27" t="s">
        <v>196</v>
      </c>
      <c r="L234" s="27" t="s">
        <v>336</v>
      </c>
      <c r="M234" s="32" t="str">
        <f>HYPERLINK("http://slimages.macys.com/is/image/MCY/3779634 ")</f>
        <v xml:space="preserve">http://slimages.macys.com/is/image/MCY/3779634 </v>
      </c>
    </row>
    <row r="235" spans="1:13" ht="15.2" customHeight="1" x14ac:dyDescent="0.2">
      <c r="A235" s="26" t="s">
        <v>7108</v>
      </c>
      <c r="B235" s="27" t="s">
        <v>7109</v>
      </c>
      <c r="C235" s="28">
        <v>1</v>
      </c>
      <c r="D235" s="29">
        <v>7</v>
      </c>
      <c r="E235" s="29">
        <v>7</v>
      </c>
      <c r="F235" s="30">
        <v>19.989999999999998</v>
      </c>
      <c r="G235" s="29">
        <v>19.989999999999998</v>
      </c>
      <c r="H235" s="28" t="s">
        <v>1906</v>
      </c>
      <c r="I235" s="27" t="s">
        <v>280</v>
      </c>
      <c r="J235" s="31" t="s">
        <v>71</v>
      </c>
      <c r="K235" s="27" t="s">
        <v>282</v>
      </c>
      <c r="L235" s="27" t="s">
        <v>358</v>
      </c>
      <c r="M235" s="32" t="str">
        <f>HYPERLINK("http://slimages.macys.com/is/image/MCY/3773685 ")</f>
        <v xml:space="preserve">http://slimages.macys.com/is/image/MCY/3773685 </v>
      </c>
    </row>
    <row r="236" spans="1:13" ht="15.2" customHeight="1" x14ac:dyDescent="0.2">
      <c r="A236" s="26" t="s">
        <v>7110</v>
      </c>
      <c r="B236" s="27" t="s">
        <v>7111</v>
      </c>
      <c r="C236" s="28">
        <v>1</v>
      </c>
      <c r="D236" s="29">
        <v>6.75</v>
      </c>
      <c r="E236" s="29">
        <v>6.75</v>
      </c>
      <c r="F236" s="30">
        <v>14.99</v>
      </c>
      <c r="G236" s="29">
        <v>14.99</v>
      </c>
      <c r="H236" s="28">
        <v>60444950</v>
      </c>
      <c r="I236" s="27" t="s">
        <v>75</v>
      </c>
      <c r="J236" s="31" t="s">
        <v>71</v>
      </c>
      <c r="K236" s="27" t="s">
        <v>208</v>
      </c>
      <c r="L236" s="27" t="s">
        <v>255</v>
      </c>
      <c r="M236" s="32" t="str">
        <f>HYPERLINK("http://slimages.macys.com/is/image/MCY/3927794 ")</f>
        <v xml:space="preserve">http://slimages.macys.com/is/image/MCY/3927794 </v>
      </c>
    </row>
    <row r="237" spans="1:13" ht="15.2" customHeight="1" x14ac:dyDescent="0.2">
      <c r="A237" s="26" t="s">
        <v>1442</v>
      </c>
      <c r="B237" s="27" t="s">
        <v>1443</v>
      </c>
      <c r="C237" s="28">
        <v>1</v>
      </c>
      <c r="D237" s="29">
        <v>6.75</v>
      </c>
      <c r="E237" s="29">
        <v>6.75</v>
      </c>
      <c r="F237" s="30">
        <v>12.99</v>
      </c>
      <c r="G237" s="29">
        <v>12.99</v>
      </c>
      <c r="H237" s="28" t="s">
        <v>874</v>
      </c>
      <c r="I237" s="27" t="s">
        <v>59</v>
      </c>
      <c r="J237" s="31" t="s">
        <v>5</v>
      </c>
      <c r="K237" s="27" t="s">
        <v>282</v>
      </c>
      <c r="L237" s="27" t="s">
        <v>225</v>
      </c>
      <c r="M237" s="32" t="str">
        <f>HYPERLINK("http://slimages.macys.com/is/image/MCY/3905659 ")</f>
        <v xml:space="preserve">http://slimages.macys.com/is/image/MCY/3905659 </v>
      </c>
    </row>
    <row r="238" spans="1:13" ht="15.2" customHeight="1" x14ac:dyDescent="0.2">
      <c r="A238" s="26" t="s">
        <v>1440</v>
      </c>
      <c r="B238" s="27" t="s">
        <v>1441</v>
      </c>
      <c r="C238" s="28">
        <v>1</v>
      </c>
      <c r="D238" s="29">
        <v>6.75</v>
      </c>
      <c r="E238" s="29">
        <v>6.75</v>
      </c>
      <c r="F238" s="30">
        <v>12.99</v>
      </c>
      <c r="G238" s="29">
        <v>12.99</v>
      </c>
      <c r="H238" s="28" t="s">
        <v>874</v>
      </c>
      <c r="I238" s="27" t="s">
        <v>59</v>
      </c>
      <c r="J238" s="31" t="s">
        <v>52</v>
      </c>
      <c r="K238" s="27" t="s">
        <v>282</v>
      </c>
      <c r="L238" s="27" t="s">
        <v>225</v>
      </c>
      <c r="M238" s="32" t="str">
        <f>HYPERLINK("http://slimages.macys.com/is/image/MCY/3905659 ")</f>
        <v xml:space="preserve">http://slimages.macys.com/is/image/MCY/3905659 </v>
      </c>
    </row>
    <row r="239" spans="1:13" ht="15.2" customHeight="1" x14ac:dyDescent="0.2">
      <c r="A239" s="26" t="s">
        <v>7112</v>
      </c>
      <c r="B239" s="27" t="s">
        <v>7113</v>
      </c>
      <c r="C239" s="28">
        <v>1</v>
      </c>
      <c r="D239" s="29">
        <v>6.7</v>
      </c>
      <c r="E239" s="29">
        <v>6.7</v>
      </c>
      <c r="F239" s="30">
        <v>16.989999999999998</v>
      </c>
      <c r="G239" s="29">
        <v>16.989999999999998</v>
      </c>
      <c r="H239" s="28" t="s">
        <v>391</v>
      </c>
      <c r="I239" s="27" t="s">
        <v>215</v>
      </c>
      <c r="J239" s="31" t="s">
        <v>40</v>
      </c>
      <c r="K239" s="27" t="s">
        <v>208</v>
      </c>
      <c r="L239" s="27" t="s">
        <v>197</v>
      </c>
      <c r="M239" s="32" t="str">
        <f>HYPERLINK("http://slimages.macys.com/is/image/MCY/3733822 ")</f>
        <v xml:space="preserve">http://slimages.macys.com/is/image/MCY/3733822 </v>
      </c>
    </row>
    <row r="240" spans="1:13" ht="15.2" customHeight="1" x14ac:dyDescent="0.2">
      <c r="A240" s="26" t="s">
        <v>7114</v>
      </c>
      <c r="B240" s="27" t="s">
        <v>7115</v>
      </c>
      <c r="C240" s="28">
        <v>1</v>
      </c>
      <c r="D240" s="29">
        <v>6.5</v>
      </c>
      <c r="E240" s="29">
        <v>6.5</v>
      </c>
      <c r="F240" s="30">
        <v>16.989999999999998</v>
      </c>
      <c r="G240" s="29">
        <v>16.989999999999998</v>
      </c>
      <c r="H240" s="28">
        <v>80295695</v>
      </c>
      <c r="I240" s="27" t="s">
        <v>4</v>
      </c>
      <c r="J240" s="31" t="s">
        <v>40</v>
      </c>
      <c r="K240" s="27" t="s">
        <v>208</v>
      </c>
      <c r="L240" s="27" t="s">
        <v>255</v>
      </c>
      <c r="M240" s="32" t="str">
        <f>HYPERLINK("http://slimages.macys.com/is/image/MCY/3295797 ")</f>
        <v xml:space="preserve">http://slimages.macys.com/is/image/MCY/3295797 </v>
      </c>
    </row>
    <row r="241" spans="1:13" ht="15.2" customHeight="1" x14ac:dyDescent="0.2">
      <c r="A241" s="26" t="s">
        <v>7116</v>
      </c>
      <c r="B241" s="27" t="s">
        <v>7117</v>
      </c>
      <c r="C241" s="28">
        <v>1</v>
      </c>
      <c r="D241" s="29">
        <v>6.5</v>
      </c>
      <c r="E241" s="29">
        <v>6.5</v>
      </c>
      <c r="F241" s="30">
        <v>12.99</v>
      </c>
      <c r="G241" s="29">
        <v>12.99</v>
      </c>
      <c r="H241" s="28" t="s">
        <v>5474</v>
      </c>
      <c r="I241" s="27" t="s">
        <v>189</v>
      </c>
      <c r="J241" s="31" t="s">
        <v>52</v>
      </c>
      <c r="K241" s="27" t="s">
        <v>282</v>
      </c>
      <c r="L241" s="27" t="s">
        <v>327</v>
      </c>
      <c r="M241" s="32" t="str">
        <f>HYPERLINK("http://slimages.macys.com/is/image/MCY/3773733 ")</f>
        <v xml:space="preserve">http://slimages.macys.com/is/image/MCY/3773733 </v>
      </c>
    </row>
    <row r="242" spans="1:13" ht="15.2" customHeight="1" x14ac:dyDescent="0.2">
      <c r="A242" s="26" t="s">
        <v>7118</v>
      </c>
      <c r="B242" s="27" t="s">
        <v>7119</v>
      </c>
      <c r="C242" s="28">
        <v>1</v>
      </c>
      <c r="D242" s="29">
        <v>6.5</v>
      </c>
      <c r="E242" s="29">
        <v>6.5</v>
      </c>
      <c r="F242" s="30">
        <v>13.99</v>
      </c>
      <c r="G242" s="29">
        <v>13.99</v>
      </c>
      <c r="H242" s="28" t="s">
        <v>7120</v>
      </c>
      <c r="I242" s="27" t="s">
        <v>10</v>
      </c>
      <c r="J242" s="31" t="s">
        <v>40</v>
      </c>
      <c r="K242" s="27" t="s">
        <v>282</v>
      </c>
      <c r="L242" s="27" t="s">
        <v>260</v>
      </c>
      <c r="M242" s="32" t="str">
        <f>HYPERLINK("http://slimages.macys.com/is/image/MCY/3774748 ")</f>
        <v xml:space="preserve">http://slimages.macys.com/is/image/MCY/3774748 </v>
      </c>
    </row>
    <row r="243" spans="1:13" ht="15.2" customHeight="1" x14ac:dyDescent="0.2">
      <c r="A243" s="26" t="s">
        <v>7121</v>
      </c>
      <c r="B243" s="27" t="s">
        <v>7122</v>
      </c>
      <c r="C243" s="28">
        <v>1</v>
      </c>
      <c r="D243" s="29">
        <v>6.36</v>
      </c>
      <c r="E243" s="29">
        <v>6.36</v>
      </c>
      <c r="F243" s="30">
        <v>14.99</v>
      </c>
      <c r="G243" s="29">
        <v>14.99</v>
      </c>
      <c r="H243" s="28" t="s">
        <v>7123</v>
      </c>
      <c r="I243" s="27" t="s">
        <v>4</v>
      </c>
      <c r="J243" s="31" t="s">
        <v>52</v>
      </c>
      <c r="K243" s="27" t="s">
        <v>159</v>
      </c>
      <c r="L243" s="27" t="s">
        <v>160</v>
      </c>
      <c r="M243" s="32" t="str">
        <f>HYPERLINK("http://slimages.macys.com/is/image/MCY/3266181 ")</f>
        <v xml:space="preserve">http://slimages.macys.com/is/image/MCY/3266181 </v>
      </c>
    </row>
    <row r="244" spans="1:13" ht="15.2" customHeight="1" x14ac:dyDescent="0.2">
      <c r="A244" s="26" t="s">
        <v>7124</v>
      </c>
      <c r="B244" s="27" t="s">
        <v>7125</v>
      </c>
      <c r="C244" s="28">
        <v>1</v>
      </c>
      <c r="D244" s="29">
        <v>6.35</v>
      </c>
      <c r="E244" s="29">
        <v>6.35</v>
      </c>
      <c r="F244" s="30">
        <v>13.99</v>
      </c>
      <c r="G244" s="29">
        <v>13.99</v>
      </c>
      <c r="H244" s="28" t="s">
        <v>7126</v>
      </c>
      <c r="I244" s="27" t="s">
        <v>215</v>
      </c>
      <c r="J244" s="31" t="s">
        <v>52</v>
      </c>
      <c r="K244" s="27" t="s">
        <v>282</v>
      </c>
      <c r="L244" s="27" t="s">
        <v>312</v>
      </c>
      <c r="M244" s="32" t="str">
        <f>HYPERLINK("http://slimages.macys.com/is/image/MCY/3894729 ")</f>
        <v xml:space="preserve">http://slimages.macys.com/is/image/MCY/3894729 </v>
      </c>
    </row>
    <row r="245" spans="1:13" ht="15.2" customHeight="1" x14ac:dyDescent="0.2">
      <c r="A245" s="26" t="s">
        <v>7127</v>
      </c>
      <c r="B245" s="27" t="s">
        <v>7128</v>
      </c>
      <c r="C245" s="28">
        <v>1</v>
      </c>
      <c r="D245" s="29">
        <v>6.35</v>
      </c>
      <c r="E245" s="29">
        <v>6.35</v>
      </c>
      <c r="F245" s="30">
        <v>12.99</v>
      </c>
      <c r="G245" s="29">
        <v>12.99</v>
      </c>
      <c r="H245" s="28" t="s">
        <v>7129</v>
      </c>
      <c r="I245" s="27" t="s">
        <v>4</v>
      </c>
      <c r="J245" s="31" t="s">
        <v>71</v>
      </c>
      <c r="K245" s="27" t="s">
        <v>282</v>
      </c>
      <c r="L245" s="27" t="s">
        <v>349</v>
      </c>
      <c r="M245" s="32" t="str">
        <f>HYPERLINK("http://slimages.macys.com/is/image/MCY/3336039 ")</f>
        <v xml:space="preserve">http://slimages.macys.com/is/image/MCY/3336039 </v>
      </c>
    </row>
    <row r="246" spans="1:13" ht="15.2" customHeight="1" x14ac:dyDescent="0.2">
      <c r="A246" s="26" t="s">
        <v>2680</v>
      </c>
      <c r="B246" s="27" t="s">
        <v>2681</v>
      </c>
      <c r="C246" s="28">
        <v>1</v>
      </c>
      <c r="D246" s="29">
        <v>6.3</v>
      </c>
      <c r="E246" s="29">
        <v>6.3</v>
      </c>
      <c r="F246" s="30">
        <v>14.99</v>
      </c>
      <c r="G246" s="29">
        <v>14.99</v>
      </c>
      <c r="H246" s="28" t="s">
        <v>2679</v>
      </c>
      <c r="I246" s="27" t="s">
        <v>4</v>
      </c>
      <c r="J246" s="31" t="s">
        <v>71</v>
      </c>
      <c r="K246" s="27" t="s">
        <v>159</v>
      </c>
      <c r="L246" s="27" t="s">
        <v>160</v>
      </c>
      <c r="M246" s="32" t="str">
        <f>HYPERLINK("http://slimages.macys.com/is/image/MCY/3876250 ")</f>
        <v xml:space="preserve">http://slimages.macys.com/is/image/MCY/3876250 </v>
      </c>
    </row>
    <row r="247" spans="1:13" ht="15.2" customHeight="1" x14ac:dyDescent="0.2">
      <c r="A247" s="26" t="s">
        <v>7130</v>
      </c>
      <c r="B247" s="27" t="s">
        <v>7131</v>
      </c>
      <c r="C247" s="28">
        <v>1</v>
      </c>
      <c r="D247" s="29">
        <v>6.3</v>
      </c>
      <c r="E247" s="29">
        <v>6.3</v>
      </c>
      <c r="F247" s="30">
        <v>14.99</v>
      </c>
      <c r="G247" s="29">
        <v>14.99</v>
      </c>
      <c r="H247" s="28" t="s">
        <v>7132</v>
      </c>
      <c r="I247" s="27" t="s">
        <v>36</v>
      </c>
      <c r="J247" s="31" t="s">
        <v>71</v>
      </c>
      <c r="K247" s="27" t="s">
        <v>159</v>
      </c>
      <c r="L247" s="27" t="s">
        <v>376</v>
      </c>
      <c r="M247" s="32" t="str">
        <f>HYPERLINK("http://slimages.macys.com/is/image/MCY/3781231 ")</f>
        <v xml:space="preserve">http://slimages.macys.com/is/image/MCY/3781231 </v>
      </c>
    </row>
    <row r="248" spans="1:13" ht="15.2" customHeight="1" x14ac:dyDescent="0.2">
      <c r="A248" s="26" t="s">
        <v>1927</v>
      </c>
      <c r="B248" s="27" t="s">
        <v>1928</v>
      </c>
      <c r="C248" s="28">
        <v>1</v>
      </c>
      <c r="D248" s="29">
        <v>6.3</v>
      </c>
      <c r="E248" s="29">
        <v>6.3</v>
      </c>
      <c r="F248" s="30">
        <v>14.99</v>
      </c>
      <c r="G248" s="29">
        <v>14.99</v>
      </c>
      <c r="H248" s="28" t="s">
        <v>1925</v>
      </c>
      <c r="I248" s="27" t="s">
        <v>82</v>
      </c>
      <c r="J248" s="31" t="s">
        <v>40</v>
      </c>
      <c r="K248" s="27" t="s">
        <v>159</v>
      </c>
      <c r="L248" s="27" t="s">
        <v>160</v>
      </c>
      <c r="M248" s="32" t="str">
        <f>HYPERLINK("http://slimages.macys.com/is/image/MCY/3953479 ")</f>
        <v xml:space="preserve">http://slimages.macys.com/is/image/MCY/3953479 </v>
      </c>
    </row>
    <row r="249" spans="1:13" ht="15.2" customHeight="1" x14ac:dyDescent="0.2">
      <c r="A249" s="26" t="s">
        <v>7133</v>
      </c>
      <c r="B249" s="27" t="s">
        <v>7134</v>
      </c>
      <c r="C249" s="28">
        <v>1</v>
      </c>
      <c r="D249" s="29">
        <v>6.3</v>
      </c>
      <c r="E249" s="29">
        <v>6.3</v>
      </c>
      <c r="F249" s="30">
        <v>14.99</v>
      </c>
      <c r="G249" s="29">
        <v>14.99</v>
      </c>
      <c r="H249" s="28" t="s">
        <v>7135</v>
      </c>
      <c r="I249" s="27" t="s">
        <v>333</v>
      </c>
      <c r="J249" s="31" t="s">
        <v>40</v>
      </c>
      <c r="K249" s="27" t="s">
        <v>159</v>
      </c>
      <c r="L249" s="27" t="s">
        <v>160</v>
      </c>
      <c r="M249" s="32" t="str">
        <f>HYPERLINK("http://slimages.macys.com/is/image/MCY/3597272 ")</f>
        <v xml:space="preserve">http://slimages.macys.com/is/image/MCY/3597272 </v>
      </c>
    </row>
    <row r="250" spans="1:13" ht="15.2" customHeight="1" x14ac:dyDescent="0.2">
      <c r="A250" s="26" t="s">
        <v>6091</v>
      </c>
      <c r="B250" s="27" t="s">
        <v>6092</v>
      </c>
      <c r="C250" s="28">
        <v>1</v>
      </c>
      <c r="D250" s="29">
        <v>6.25</v>
      </c>
      <c r="E250" s="29">
        <v>6.25</v>
      </c>
      <c r="F250" s="30">
        <v>12.99</v>
      </c>
      <c r="G250" s="29">
        <v>12.99</v>
      </c>
      <c r="H250" s="28" t="s">
        <v>2373</v>
      </c>
      <c r="I250" s="27" t="s">
        <v>82</v>
      </c>
      <c r="J250" s="31" t="s">
        <v>5</v>
      </c>
      <c r="K250" s="27" t="s">
        <v>282</v>
      </c>
      <c r="L250" s="27" t="s">
        <v>283</v>
      </c>
      <c r="M250" s="32" t="str">
        <f>HYPERLINK("http://slimages.macys.com/is/image/MCY/3773475 ")</f>
        <v xml:space="preserve">http://slimages.macys.com/is/image/MCY/3773475 </v>
      </c>
    </row>
    <row r="251" spans="1:13" ht="15.2" customHeight="1" x14ac:dyDescent="0.2">
      <c r="A251" s="26" t="s">
        <v>7136</v>
      </c>
      <c r="B251" s="27" t="s">
        <v>7137</v>
      </c>
      <c r="C251" s="28">
        <v>1</v>
      </c>
      <c r="D251" s="29">
        <v>6.25</v>
      </c>
      <c r="E251" s="29">
        <v>6.25</v>
      </c>
      <c r="F251" s="30">
        <v>13.99</v>
      </c>
      <c r="G251" s="29">
        <v>13.99</v>
      </c>
      <c r="H251" s="28" t="s">
        <v>883</v>
      </c>
      <c r="I251" s="27" t="s">
        <v>36</v>
      </c>
      <c r="J251" s="31" t="s">
        <v>71</v>
      </c>
      <c r="K251" s="27" t="s">
        <v>282</v>
      </c>
      <c r="L251" s="27" t="s">
        <v>260</v>
      </c>
      <c r="M251" s="32" t="str">
        <f>HYPERLINK("http://slimages.macys.com/is/image/MCY/3910841 ")</f>
        <v xml:space="preserve">http://slimages.macys.com/is/image/MCY/3910841 </v>
      </c>
    </row>
    <row r="252" spans="1:13" ht="15.2" customHeight="1" x14ac:dyDescent="0.2">
      <c r="A252" s="26" t="s">
        <v>7138</v>
      </c>
      <c r="B252" s="27" t="s">
        <v>7139</v>
      </c>
      <c r="C252" s="28">
        <v>1</v>
      </c>
      <c r="D252" s="29">
        <v>6.25</v>
      </c>
      <c r="E252" s="29">
        <v>6.25</v>
      </c>
      <c r="F252" s="30">
        <v>19.989999999999998</v>
      </c>
      <c r="G252" s="29">
        <v>19.989999999999998</v>
      </c>
      <c r="H252" s="28" t="s">
        <v>1471</v>
      </c>
      <c r="I252" s="27" t="s">
        <v>4</v>
      </c>
      <c r="J252" s="31" t="s">
        <v>71</v>
      </c>
      <c r="K252" s="27" t="s">
        <v>196</v>
      </c>
      <c r="L252" s="27" t="s">
        <v>239</v>
      </c>
      <c r="M252" s="32" t="str">
        <f>HYPERLINK("http://slimages.macys.com/is/image/MCY/3671543 ")</f>
        <v xml:space="preserve">http://slimages.macys.com/is/image/MCY/3671543 </v>
      </c>
    </row>
    <row r="253" spans="1:13" ht="15.2" customHeight="1" x14ac:dyDescent="0.2">
      <c r="A253" s="26" t="s">
        <v>7140</v>
      </c>
      <c r="B253" s="27" t="s">
        <v>7141</v>
      </c>
      <c r="C253" s="28">
        <v>1</v>
      </c>
      <c r="D253" s="29">
        <v>6.25</v>
      </c>
      <c r="E253" s="29">
        <v>6.25</v>
      </c>
      <c r="F253" s="30">
        <v>16.989999999999998</v>
      </c>
      <c r="G253" s="29">
        <v>16.989999999999998</v>
      </c>
      <c r="H253" s="28" t="s">
        <v>7142</v>
      </c>
      <c r="I253" s="27" t="s">
        <v>4</v>
      </c>
      <c r="J253" s="31" t="s">
        <v>52</v>
      </c>
      <c r="K253" s="27" t="s">
        <v>196</v>
      </c>
      <c r="L253" s="27" t="s">
        <v>225</v>
      </c>
      <c r="M253" s="32" t="str">
        <f>HYPERLINK("http://slimages.macys.com/is/image/MCY/3721365 ")</f>
        <v xml:space="preserve">http://slimages.macys.com/is/image/MCY/3721365 </v>
      </c>
    </row>
    <row r="254" spans="1:13" ht="15.2" customHeight="1" x14ac:dyDescent="0.2">
      <c r="A254" s="26" t="s">
        <v>7143</v>
      </c>
      <c r="B254" s="27" t="s">
        <v>7144</v>
      </c>
      <c r="C254" s="28">
        <v>1</v>
      </c>
      <c r="D254" s="29">
        <v>6.25</v>
      </c>
      <c r="E254" s="29">
        <v>6.25</v>
      </c>
      <c r="F254" s="30">
        <v>12.99</v>
      </c>
      <c r="G254" s="29">
        <v>12.99</v>
      </c>
      <c r="H254" s="28" t="s">
        <v>2372</v>
      </c>
      <c r="I254" s="27" t="s">
        <v>10</v>
      </c>
      <c r="J254" s="31" t="s">
        <v>71</v>
      </c>
      <c r="K254" s="27" t="s">
        <v>282</v>
      </c>
      <c r="L254" s="27" t="s">
        <v>283</v>
      </c>
      <c r="M254" s="32" t="str">
        <f>HYPERLINK("http://slimages.macys.com/is/image/MCY/3821010 ")</f>
        <v xml:space="preserve">http://slimages.macys.com/is/image/MCY/3821010 </v>
      </c>
    </row>
    <row r="255" spans="1:13" ht="15.2" customHeight="1" x14ac:dyDescent="0.2">
      <c r="A255" s="26" t="s">
        <v>7145</v>
      </c>
      <c r="B255" s="27" t="s">
        <v>7146</v>
      </c>
      <c r="C255" s="28">
        <v>1</v>
      </c>
      <c r="D255" s="29">
        <v>6.25</v>
      </c>
      <c r="E255" s="29">
        <v>6.25</v>
      </c>
      <c r="F255" s="30">
        <v>12.99</v>
      </c>
      <c r="G255" s="29">
        <v>12.99</v>
      </c>
      <c r="H255" s="28" t="s">
        <v>2372</v>
      </c>
      <c r="I255" s="27" t="s">
        <v>10</v>
      </c>
      <c r="J255" s="31" t="s">
        <v>52</v>
      </c>
      <c r="K255" s="27" t="s">
        <v>282</v>
      </c>
      <c r="L255" s="27" t="s">
        <v>283</v>
      </c>
      <c r="M255" s="32" t="str">
        <f>HYPERLINK("http://slimages.macys.com/is/image/MCY/3821010 ")</f>
        <v xml:space="preserve">http://slimages.macys.com/is/image/MCY/3821010 </v>
      </c>
    </row>
    <row r="256" spans="1:13" ht="15.2" customHeight="1" x14ac:dyDescent="0.2">
      <c r="A256" s="26" t="s">
        <v>7147</v>
      </c>
      <c r="B256" s="27" t="s">
        <v>7148</v>
      </c>
      <c r="C256" s="28">
        <v>1</v>
      </c>
      <c r="D256" s="29">
        <v>6.25</v>
      </c>
      <c r="E256" s="29">
        <v>6.25</v>
      </c>
      <c r="F256" s="30">
        <v>14.99</v>
      </c>
      <c r="G256" s="29">
        <v>14.99</v>
      </c>
      <c r="H256" s="28" t="s">
        <v>7149</v>
      </c>
      <c r="I256" s="27" t="s">
        <v>103</v>
      </c>
      <c r="J256" s="31" t="s">
        <v>5</v>
      </c>
      <c r="K256" s="27" t="s">
        <v>159</v>
      </c>
      <c r="L256" s="27" t="s">
        <v>160</v>
      </c>
      <c r="M256" s="32" t="str">
        <f>HYPERLINK("http://slimages.macys.com/is/image/MCY/3536156 ")</f>
        <v xml:space="preserve">http://slimages.macys.com/is/image/MCY/3536156 </v>
      </c>
    </row>
    <row r="257" spans="1:13" ht="15.2" customHeight="1" x14ac:dyDescent="0.2">
      <c r="A257" s="26" t="s">
        <v>7150</v>
      </c>
      <c r="B257" s="27" t="s">
        <v>7151</v>
      </c>
      <c r="C257" s="28">
        <v>1</v>
      </c>
      <c r="D257" s="29">
        <v>6.15</v>
      </c>
      <c r="E257" s="29">
        <v>6.15</v>
      </c>
      <c r="F257" s="30">
        <v>13.99</v>
      </c>
      <c r="G257" s="29">
        <v>13.99</v>
      </c>
      <c r="H257" s="28" t="s">
        <v>407</v>
      </c>
      <c r="I257" s="27" t="s">
        <v>4</v>
      </c>
      <c r="J257" s="31" t="s">
        <v>71</v>
      </c>
      <c r="K257" s="27" t="s">
        <v>282</v>
      </c>
      <c r="L257" s="27" t="s">
        <v>260</v>
      </c>
      <c r="M257" s="32" t="str">
        <f>HYPERLINK("http://slimages.macys.com/is/image/MCY/3910835 ")</f>
        <v xml:space="preserve">http://slimages.macys.com/is/image/MCY/3910835 </v>
      </c>
    </row>
    <row r="258" spans="1:13" ht="15.2" customHeight="1" x14ac:dyDescent="0.2">
      <c r="A258" s="26" t="s">
        <v>7152</v>
      </c>
      <c r="B258" s="27" t="s">
        <v>7153</v>
      </c>
      <c r="C258" s="28">
        <v>1</v>
      </c>
      <c r="D258" s="29">
        <v>6.15</v>
      </c>
      <c r="E258" s="29">
        <v>6.15</v>
      </c>
      <c r="F258" s="30">
        <v>13.99</v>
      </c>
      <c r="G258" s="29">
        <v>13.99</v>
      </c>
      <c r="H258" s="28" t="s">
        <v>407</v>
      </c>
      <c r="I258" s="27" t="s">
        <v>4</v>
      </c>
      <c r="J258" s="31" t="s">
        <v>5</v>
      </c>
      <c r="K258" s="27" t="s">
        <v>282</v>
      </c>
      <c r="L258" s="27" t="s">
        <v>260</v>
      </c>
      <c r="M258" s="32" t="str">
        <f>HYPERLINK("http://slimages.macys.com/is/image/MCY/3910835 ")</f>
        <v xml:space="preserve">http://slimages.macys.com/is/image/MCY/3910835 </v>
      </c>
    </row>
    <row r="259" spans="1:13" ht="15.2" customHeight="1" x14ac:dyDescent="0.2">
      <c r="A259" s="26" t="s">
        <v>7154</v>
      </c>
      <c r="B259" s="27" t="s">
        <v>7155</v>
      </c>
      <c r="C259" s="28">
        <v>1</v>
      </c>
      <c r="D259" s="29">
        <v>6.1</v>
      </c>
      <c r="E259" s="29">
        <v>6.1</v>
      </c>
      <c r="F259" s="30">
        <v>15.99</v>
      </c>
      <c r="G259" s="29">
        <v>15.99</v>
      </c>
      <c r="H259" s="28" t="s">
        <v>1484</v>
      </c>
      <c r="I259" s="27" t="s">
        <v>26</v>
      </c>
      <c r="J259" s="31" t="s">
        <v>40</v>
      </c>
      <c r="K259" s="27" t="s">
        <v>70</v>
      </c>
      <c r="L259" s="27" t="s">
        <v>260</v>
      </c>
      <c r="M259" s="32" t="str">
        <f>HYPERLINK("http://slimages.macys.com/is/image/MCY/3947255 ")</f>
        <v xml:space="preserve">http://slimages.macys.com/is/image/MCY/3947255 </v>
      </c>
    </row>
    <row r="260" spans="1:13" ht="15.2" customHeight="1" x14ac:dyDescent="0.2">
      <c r="A260" s="26" t="s">
        <v>7156</v>
      </c>
      <c r="B260" s="27" t="s">
        <v>7157</v>
      </c>
      <c r="C260" s="28">
        <v>1</v>
      </c>
      <c r="D260" s="29">
        <v>6</v>
      </c>
      <c r="E260" s="29">
        <v>6</v>
      </c>
      <c r="F260" s="30">
        <v>16.989999999999998</v>
      </c>
      <c r="G260" s="29">
        <v>16.989999999999998</v>
      </c>
      <c r="H260" s="28" t="s">
        <v>7158</v>
      </c>
      <c r="I260" s="27" t="s">
        <v>10</v>
      </c>
      <c r="J260" s="31" t="s">
        <v>21</v>
      </c>
      <c r="K260" s="27" t="s">
        <v>200</v>
      </c>
      <c r="L260" s="27" t="s">
        <v>5450</v>
      </c>
      <c r="M260" s="32" t="str">
        <f>HYPERLINK("http://slimages.macys.com/is/image/MCY/3796857 ")</f>
        <v xml:space="preserve">http://slimages.macys.com/is/image/MCY/3796857 </v>
      </c>
    </row>
    <row r="261" spans="1:13" ht="15.2" customHeight="1" x14ac:dyDescent="0.2">
      <c r="A261" s="26" t="s">
        <v>7159</v>
      </c>
      <c r="B261" s="27" t="s">
        <v>7160</v>
      </c>
      <c r="C261" s="28">
        <v>1</v>
      </c>
      <c r="D261" s="29">
        <v>6</v>
      </c>
      <c r="E261" s="29">
        <v>6</v>
      </c>
      <c r="F261" s="30">
        <v>13.99</v>
      </c>
      <c r="G261" s="29">
        <v>13.99</v>
      </c>
      <c r="H261" s="28" t="s">
        <v>407</v>
      </c>
      <c r="I261" s="27" t="s">
        <v>271</v>
      </c>
      <c r="J261" s="31" t="s">
        <v>40</v>
      </c>
      <c r="K261" s="27" t="s">
        <v>282</v>
      </c>
      <c r="L261" s="27" t="s">
        <v>260</v>
      </c>
      <c r="M261" s="32" t="str">
        <f>HYPERLINK("http://slimages.macys.com/is/image/MCY/3910835 ")</f>
        <v xml:space="preserve">http://slimages.macys.com/is/image/MCY/3910835 </v>
      </c>
    </row>
    <row r="262" spans="1:13" ht="15.2" customHeight="1" x14ac:dyDescent="0.2">
      <c r="A262" s="26" t="s">
        <v>7161</v>
      </c>
      <c r="B262" s="27" t="s">
        <v>7162</v>
      </c>
      <c r="C262" s="28">
        <v>1</v>
      </c>
      <c r="D262" s="29">
        <v>6</v>
      </c>
      <c r="E262" s="29">
        <v>6</v>
      </c>
      <c r="F262" s="30">
        <v>13.99</v>
      </c>
      <c r="G262" s="29">
        <v>13.99</v>
      </c>
      <c r="H262" s="28" t="s">
        <v>407</v>
      </c>
      <c r="I262" s="27" t="s">
        <v>4</v>
      </c>
      <c r="J262" s="31" t="s">
        <v>71</v>
      </c>
      <c r="K262" s="27" t="s">
        <v>282</v>
      </c>
      <c r="L262" s="27" t="s">
        <v>260</v>
      </c>
      <c r="M262" s="32" t="str">
        <f>HYPERLINK("http://slimages.macys.com/is/image/MCY/3886683 ")</f>
        <v xml:space="preserve">http://slimages.macys.com/is/image/MCY/3886683 </v>
      </c>
    </row>
    <row r="263" spans="1:13" ht="15.2" customHeight="1" x14ac:dyDescent="0.2">
      <c r="A263" s="26" t="s">
        <v>404</v>
      </c>
      <c r="B263" s="27" t="s">
        <v>405</v>
      </c>
      <c r="C263" s="28">
        <v>1</v>
      </c>
      <c r="D263" s="29">
        <v>6</v>
      </c>
      <c r="E263" s="29">
        <v>6</v>
      </c>
      <c r="F263" s="30">
        <v>12.99</v>
      </c>
      <c r="G263" s="29">
        <v>12.99</v>
      </c>
      <c r="H263" s="28" t="s">
        <v>406</v>
      </c>
      <c r="I263" s="27" t="s">
        <v>82</v>
      </c>
      <c r="J263" s="31" t="s">
        <v>40</v>
      </c>
      <c r="K263" s="27" t="s">
        <v>282</v>
      </c>
      <c r="L263" s="27" t="s">
        <v>283</v>
      </c>
      <c r="M263" s="32" t="str">
        <f>HYPERLINK("http://slimages.macys.com/is/image/MCY/3910983 ")</f>
        <v xml:space="preserve">http://slimages.macys.com/is/image/MCY/3910983 </v>
      </c>
    </row>
    <row r="264" spans="1:13" ht="15.2" customHeight="1" x14ac:dyDescent="0.2">
      <c r="A264" s="26" t="s">
        <v>7163</v>
      </c>
      <c r="B264" s="27" t="s">
        <v>7164</v>
      </c>
      <c r="C264" s="28">
        <v>1</v>
      </c>
      <c r="D264" s="29">
        <v>6</v>
      </c>
      <c r="E264" s="29">
        <v>6</v>
      </c>
      <c r="F264" s="30">
        <v>12.99</v>
      </c>
      <c r="G264" s="29">
        <v>12.99</v>
      </c>
      <c r="H264" s="28">
        <v>95221479</v>
      </c>
      <c r="I264" s="27" t="s">
        <v>4</v>
      </c>
      <c r="J264" s="31" t="s">
        <v>71</v>
      </c>
      <c r="K264" s="27" t="s">
        <v>282</v>
      </c>
      <c r="L264" s="27" t="s">
        <v>386</v>
      </c>
      <c r="M264" s="32" t="str">
        <f>HYPERLINK("http://slimages.macys.com/is/image/MCY/3487505 ")</f>
        <v xml:space="preserve">http://slimages.macys.com/is/image/MCY/3487505 </v>
      </c>
    </row>
    <row r="265" spans="1:13" ht="15.2" customHeight="1" x14ac:dyDescent="0.2">
      <c r="A265" s="26" t="s">
        <v>1935</v>
      </c>
      <c r="B265" s="27" t="s">
        <v>1936</v>
      </c>
      <c r="C265" s="28">
        <v>1</v>
      </c>
      <c r="D265" s="29">
        <v>6</v>
      </c>
      <c r="E265" s="29">
        <v>6</v>
      </c>
      <c r="F265" s="30">
        <v>12.99</v>
      </c>
      <c r="G265" s="29">
        <v>12.99</v>
      </c>
      <c r="H265" s="28" t="s">
        <v>1502</v>
      </c>
      <c r="I265" s="27" t="s">
        <v>82</v>
      </c>
      <c r="J265" s="31" t="s">
        <v>21</v>
      </c>
      <c r="K265" s="27" t="s">
        <v>282</v>
      </c>
      <c r="L265" s="27" t="s">
        <v>283</v>
      </c>
      <c r="M265" s="32" t="str">
        <f>HYPERLINK("http://slimages.macys.com/is/image/MCY/3910978 ")</f>
        <v xml:space="preserve">http://slimages.macys.com/is/image/MCY/3910978 </v>
      </c>
    </row>
    <row r="266" spans="1:13" ht="15.2" customHeight="1" x14ac:dyDescent="0.2">
      <c r="A266" s="26" t="s">
        <v>7165</v>
      </c>
      <c r="B266" s="27" t="s">
        <v>7166</v>
      </c>
      <c r="C266" s="28">
        <v>1</v>
      </c>
      <c r="D266" s="29">
        <v>6</v>
      </c>
      <c r="E266" s="29">
        <v>6</v>
      </c>
      <c r="F266" s="30">
        <v>13.99</v>
      </c>
      <c r="G266" s="29">
        <v>13.99</v>
      </c>
      <c r="H266" s="28" t="s">
        <v>407</v>
      </c>
      <c r="I266" s="27" t="s">
        <v>26</v>
      </c>
      <c r="J266" s="31" t="s">
        <v>21</v>
      </c>
      <c r="K266" s="27" t="s">
        <v>282</v>
      </c>
      <c r="L266" s="27" t="s">
        <v>260</v>
      </c>
      <c r="M266" s="32" t="str">
        <f>HYPERLINK("http://slimages.macys.com/is/image/MCY/3910835 ")</f>
        <v xml:space="preserve">http://slimages.macys.com/is/image/MCY/3910835 </v>
      </c>
    </row>
    <row r="267" spans="1:13" ht="15.2" customHeight="1" x14ac:dyDescent="0.2">
      <c r="A267" s="26" t="s">
        <v>7167</v>
      </c>
      <c r="B267" s="27" t="s">
        <v>7168</v>
      </c>
      <c r="C267" s="28">
        <v>1</v>
      </c>
      <c r="D267" s="29">
        <v>6</v>
      </c>
      <c r="E267" s="29">
        <v>6</v>
      </c>
      <c r="F267" s="30">
        <v>12.99</v>
      </c>
      <c r="G267" s="29">
        <v>12.99</v>
      </c>
      <c r="H267" s="28" t="s">
        <v>1502</v>
      </c>
      <c r="I267" s="27" t="s">
        <v>82</v>
      </c>
      <c r="J267" s="31" t="s">
        <v>71</v>
      </c>
      <c r="K267" s="27" t="s">
        <v>282</v>
      </c>
      <c r="L267" s="27" t="s">
        <v>283</v>
      </c>
      <c r="M267" s="32" t="str">
        <f>HYPERLINK("http://slimages.macys.com/is/image/MCY/3910978 ")</f>
        <v xml:space="preserve">http://slimages.macys.com/is/image/MCY/3910978 </v>
      </c>
    </row>
    <row r="268" spans="1:13" ht="15.2" customHeight="1" x14ac:dyDescent="0.2">
      <c r="A268" s="26" t="s">
        <v>7169</v>
      </c>
      <c r="B268" s="27" t="s">
        <v>7170</v>
      </c>
      <c r="C268" s="28">
        <v>1</v>
      </c>
      <c r="D268" s="29">
        <v>6</v>
      </c>
      <c r="E268" s="29">
        <v>6</v>
      </c>
      <c r="F268" s="30">
        <v>12.99</v>
      </c>
      <c r="G268" s="29">
        <v>12.99</v>
      </c>
      <c r="H268" s="28" t="s">
        <v>7171</v>
      </c>
      <c r="I268" s="27" t="s">
        <v>4</v>
      </c>
      <c r="J268" s="31" t="s">
        <v>21</v>
      </c>
      <c r="K268" s="27" t="s">
        <v>282</v>
      </c>
      <c r="L268" s="27" t="s">
        <v>283</v>
      </c>
      <c r="M268" s="32" t="str">
        <f>HYPERLINK("http://slimages.macys.com/is/image/MCY/3875954 ")</f>
        <v xml:space="preserve">http://slimages.macys.com/is/image/MCY/3875954 </v>
      </c>
    </row>
    <row r="269" spans="1:13" ht="15.2" customHeight="1" x14ac:dyDescent="0.2">
      <c r="A269" s="26" t="s">
        <v>7172</v>
      </c>
      <c r="B269" s="27" t="s">
        <v>7173</v>
      </c>
      <c r="C269" s="28">
        <v>1</v>
      </c>
      <c r="D269" s="29">
        <v>5.95</v>
      </c>
      <c r="E269" s="29">
        <v>5.95</v>
      </c>
      <c r="F269" s="30">
        <v>12.99</v>
      </c>
      <c r="G269" s="29">
        <v>12.99</v>
      </c>
      <c r="H269" s="28" t="s">
        <v>7174</v>
      </c>
      <c r="I269" s="27" t="s">
        <v>280</v>
      </c>
      <c r="J269" s="31" t="s">
        <v>52</v>
      </c>
      <c r="K269" s="27" t="s">
        <v>282</v>
      </c>
      <c r="L269" s="27" t="s">
        <v>328</v>
      </c>
      <c r="M269" s="32" t="str">
        <f>HYPERLINK("http://slimages.macys.com/is/image/MCY/3455463 ")</f>
        <v xml:space="preserve">http://slimages.macys.com/is/image/MCY/3455463 </v>
      </c>
    </row>
    <row r="270" spans="1:13" ht="15.2" customHeight="1" x14ac:dyDescent="0.2">
      <c r="A270" s="26" t="s">
        <v>7175</v>
      </c>
      <c r="B270" s="27" t="s">
        <v>7176</v>
      </c>
      <c r="C270" s="28">
        <v>1</v>
      </c>
      <c r="D270" s="29">
        <v>5.95</v>
      </c>
      <c r="E270" s="29">
        <v>5.95</v>
      </c>
      <c r="F270" s="30">
        <v>12.99</v>
      </c>
      <c r="G270" s="29">
        <v>12.99</v>
      </c>
      <c r="H270" s="28" t="s">
        <v>7177</v>
      </c>
      <c r="I270" s="27" t="s">
        <v>4</v>
      </c>
      <c r="J270" s="31" t="s">
        <v>21</v>
      </c>
      <c r="K270" s="27" t="s">
        <v>282</v>
      </c>
      <c r="L270" s="27" t="s">
        <v>328</v>
      </c>
      <c r="M270" s="32" t="str">
        <f>HYPERLINK("http://slimages.macys.com/is/image/MCY/2894082 ")</f>
        <v xml:space="preserve">http://slimages.macys.com/is/image/MCY/2894082 </v>
      </c>
    </row>
    <row r="271" spans="1:13" ht="15.2" customHeight="1" x14ac:dyDescent="0.2">
      <c r="A271" s="26" t="s">
        <v>3938</v>
      </c>
      <c r="B271" s="27" t="s">
        <v>3939</v>
      </c>
      <c r="C271" s="28">
        <v>1</v>
      </c>
      <c r="D271" s="29">
        <v>5.95</v>
      </c>
      <c r="E271" s="29">
        <v>5.95</v>
      </c>
      <c r="F271" s="30">
        <v>12.99</v>
      </c>
      <c r="G271" s="29">
        <v>12.99</v>
      </c>
      <c r="H271" s="28" t="s">
        <v>3009</v>
      </c>
      <c r="I271" s="27" t="s">
        <v>357</v>
      </c>
      <c r="J271" s="31" t="s">
        <v>5</v>
      </c>
      <c r="K271" s="27" t="s">
        <v>282</v>
      </c>
      <c r="L271" s="27" t="s">
        <v>358</v>
      </c>
      <c r="M271" s="32" t="str">
        <f>HYPERLINK("http://slimages.macys.com/is/image/MCY/3773354 ")</f>
        <v xml:space="preserve">http://slimages.macys.com/is/image/MCY/3773354 </v>
      </c>
    </row>
    <row r="272" spans="1:13" ht="15.2" customHeight="1" x14ac:dyDescent="0.2">
      <c r="A272" s="26" t="s">
        <v>902</v>
      </c>
      <c r="B272" s="27" t="s">
        <v>903</v>
      </c>
      <c r="C272" s="28">
        <v>1</v>
      </c>
      <c r="D272" s="29">
        <v>5.75</v>
      </c>
      <c r="E272" s="29">
        <v>5.75</v>
      </c>
      <c r="F272" s="30">
        <v>12.99</v>
      </c>
      <c r="G272" s="29">
        <v>12.99</v>
      </c>
      <c r="H272" s="28" t="s">
        <v>428</v>
      </c>
      <c r="I272" s="27" t="s">
        <v>82</v>
      </c>
      <c r="J272" s="31" t="s">
        <v>40</v>
      </c>
      <c r="K272" s="27" t="s">
        <v>282</v>
      </c>
      <c r="L272" s="27" t="s">
        <v>283</v>
      </c>
      <c r="M272" s="32" t="str">
        <f>HYPERLINK("http://slimages.macys.com/is/image/MCY/3773484 ")</f>
        <v xml:space="preserve">http://slimages.macys.com/is/image/MCY/3773484 </v>
      </c>
    </row>
    <row r="273" spans="1:13" ht="15.2" customHeight="1" x14ac:dyDescent="0.2">
      <c r="A273" s="26" t="s">
        <v>907</v>
      </c>
      <c r="B273" s="27" t="s">
        <v>908</v>
      </c>
      <c r="C273" s="28">
        <v>1</v>
      </c>
      <c r="D273" s="29">
        <v>5.75</v>
      </c>
      <c r="E273" s="29">
        <v>5.75</v>
      </c>
      <c r="F273" s="30">
        <v>12.99</v>
      </c>
      <c r="G273" s="29">
        <v>12.99</v>
      </c>
      <c r="H273" s="28" t="s">
        <v>428</v>
      </c>
      <c r="I273" s="27" t="s">
        <v>82</v>
      </c>
      <c r="J273" s="31" t="s">
        <v>21</v>
      </c>
      <c r="K273" s="27" t="s">
        <v>282</v>
      </c>
      <c r="L273" s="27" t="s">
        <v>283</v>
      </c>
      <c r="M273" s="32" t="str">
        <f>HYPERLINK("http://slimages.macys.com/is/image/MCY/3773484 ")</f>
        <v xml:space="preserve">http://slimages.macys.com/is/image/MCY/3773484 </v>
      </c>
    </row>
    <row r="274" spans="1:13" ht="15.2" customHeight="1" x14ac:dyDescent="0.2">
      <c r="A274" s="26" t="s">
        <v>7178</v>
      </c>
      <c r="B274" s="27" t="s">
        <v>7179</v>
      </c>
      <c r="C274" s="28">
        <v>1</v>
      </c>
      <c r="D274" s="29">
        <v>5.65</v>
      </c>
      <c r="E274" s="29">
        <v>5.65</v>
      </c>
      <c r="F274" s="30">
        <v>12.99</v>
      </c>
      <c r="G274" s="29">
        <v>12.99</v>
      </c>
      <c r="H274" s="28" t="s">
        <v>922</v>
      </c>
      <c r="I274" s="27" t="s">
        <v>82</v>
      </c>
      <c r="J274" s="31" t="s">
        <v>71</v>
      </c>
      <c r="K274" s="27" t="s">
        <v>282</v>
      </c>
      <c r="L274" s="27" t="s">
        <v>393</v>
      </c>
      <c r="M274" s="32" t="str">
        <f>HYPERLINK("http://slimages.macys.com/is/image/MCY/3797935 ")</f>
        <v xml:space="preserve">http://slimages.macys.com/is/image/MCY/3797935 </v>
      </c>
    </row>
    <row r="275" spans="1:13" ht="15.2" customHeight="1" x14ac:dyDescent="0.2">
      <c r="A275" s="26" t="s">
        <v>7180</v>
      </c>
      <c r="B275" s="27" t="s">
        <v>7181</v>
      </c>
      <c r="C275" s="28">
        <v>1</v>
      </c>
      <c r="D275" s="29">
        <v>5.5</v>
      </c>
      <c r="E275" s="29">
        <v>5.5</v>
      </c>
      <c r="F275" s="30">
        <v>12.99</v>
      </c>
      <c r="G275" s="29">
        <v>12.99</v>
      </c>
      <c r="H275" s="28" t="s">
        <v>7182</v>
      </c>
      <c r="I275" s="27" t="s">
        <v>36</v>
      </c>
      <c r="J275" s="31" t="s">
        <v>40</v>
      </c>
      <c r="K275" s="27" t="s">
        <v>282</v>
      </c>
      <c r="L275" s="27" t="s">
        <v>393</v>
      </c>
      <c r="M275" s="32" t="str">
        <f>HYPERLINK("http://slimages.macys.com/is/image/MCY/3700177 ")</f>
        <v xml:space="preserve">http://slimages.macys.com/is/image/MCY/3700177 </v>
      </c>
    </row>
    <row r="276" spans="1:13" ht="15.2" customHeight="1" x14ac:dyDescent="0.2">
      <c r="A276" s="26" t="s">
        <v>3942</v>
      </c>
      <c r="B276" s="27" t="s">
        <v>3943</v>
      </c>
      <c r="C276" s="28">
        <v>1</v>
      </c>
      <c r="D276" s="29">
        <v>5.5</v>
      </c>
      <c r="E276" s="29">
        <v>5.5</v>
      </c>
      <c r="F276" s="30">
        <v>16.989999999999998</v>
      </c>
      <c r="G276" s="29">
        <v>16.989999999999998</v>
      </c>
      <c r="H276" s="28" t="s">
        <v>431</v>
      </c>
      <c r="I276" s="27" t="s">
        <v>33</v>
      </c>
      <c r="J276" s="31" t="s">
        <v>40</v>
      </c>
      <c r="K276" s="27" t="s">
        <v>282</v>
      </c>
      <c r="L276" s="27" t="s">
        <v>388</v>
      </c>
      <c r="M276" s="32" t="str">
        <f>HYPERLINK("http://slimages.macys.com/is/image/MCY/3953468 ")</f>
        <v xml:space="preserve">http://slimages.macys.com/is/image/MCY/3953468 </v>
      </c>
    </row>
    <row r="277" spans="1:13" ht="15.2" customHeight="1" x14ac:dyDescent="0.2">
      <c r="A277" s="26" t="s">
        <v>432</v>
      </c>
      <c r="B277" s="27" t="s">
        <v>433</v>
      </c>
      <c r="C277" s="28">
        <v>1</v>
      </c>
      <c r="D277" s="29">
        <v>5.5</v>
      </c>
      <c r="E277" s="29">
        <v>5.5</v>
      </c>
      <c r="F277" s="30">
        <v>16.989999999999998</v>
      </c>
      <c r="G277" s="29">
        <v>16.989999999999998</v>
      </c>
      <c r="H277" s="28" t="s">
        <v>431</v>
      </c>
      <c r="I277" s="27" t="s">
        <v>383</v>
      </c>
      <c r="J277" s="31" t="s">
        <v>21</v>
      </c>
      <c r="K277" s="27" t="s">
        <v>282</v>
      </c>
      <c r="L277" s="27" t="s">
        <v>388</v>
      </c>
      <c r="M277" s="32" t="str">
        <f>HYPERLINK("http://slimages.macys.com/is/image/MCY/3953470 ")</f>
        <v xml:space="preserve">http://slimages.macys.com/is/image/MCY/3953470 </v>
      </c>
    </row>
    <row r="278" spans="1:13" ht="15.2" customHeight="1" x14ac:dyDescent="0.2">
      <c r="A278" s="26" t="s">
        <v>7183</v>
      </c>
      <c r="B278" s="27" t="s">
        <v>7184</v>
      </c>
      <c r="C278" s="28">
        <v>1</v>
      </c>
      <c r="D278" s="29">
        <v>5.5</v>
      </c>
      <c r="E278" s="29">
        <v>5.5</v>
      </c>
      <c r="F278" s="30">
        <v>14.99</v>
      </c>
      <c r="G278" s="29">
        <v>14.99</v>
      </c>
      <c r="H278" s="28">
        <v>60426433</v>
      </c>
      <c r="I278" s="27" t="s">
        <v>1280</v>
      </c>
      <c r="J278" s="31" t="s">
        <v>52</v>
      </c>
      <c r="K278" s="27" t="s">
        <v>208</v>
      </c>
      <c r="L278" s="27" t="s">
        <v>255</v>
      </c>
      <c r="M278" s="32" t="str">
        <f>HYPERLINK("http://slimages.macys.com/is/image/MCY/3501042 ")</f>
        <v xml:space="preserve">http://slimages.macys.com/is/image/MCY/3501042 </v>
      </c>
    </row>
    <row r="279" spans="1:13" ht="15.2" customHeight="1" x14ac:dyDescent="0.2">
      <c r="A279" s="26" t="s">
        <v>7185</v>
      </c>
      <c r="B279" s="27" t="s">
        <v>7186</v>
      </c>
      <c r="C279" s="28">
        <v>1</v>
      </c>
      <c r="D279" s="29">
        <v>5.5</v>
      </c>
      <c r="E279" s="29">
        <v>5.5</v>
      </c>
      <c r="F279" s="30">
        <v>12.99</v>
      </c>
      <c r="G279" s="29">
        <v>12.99</v>
      </c>
      <c r="H279" s="28" t="s">
        <v>439</v>
      </c>
      <c r="I279" s="27" t="s">
        <v>271</v>
      </c>
      <c r="J279" s="31" t="s">
        <v>71</v>
      </c>
      <c r="K279" s="27" t="s">
        <v>282</v>
      </c>
      <c r="L279" s="27" t="s">
        <v>312</v>
      </c>
      <c r="M279" s="32" t="str">
        <f>HYPERLINK("http://slimages.macys.com/is/image/MCY/3875989 ")</f>
        <v xml:space="preserve">http://slimages.macys.com/is/image/MCY/3875989 </v>
      </c>
    </row>
    <row r="280" spans="1:13" ht="15.2" customHeight="1" x14ac:dyDescent="0.2">
      <c r="A280" s="26" t="s">
        <v>1555</v>
      </c>
      <c r="B280" s="27" t="s">
        <v>1556</v>
      </c>
      <c r="C280" s="28">
        <v>1</v>
      </c>
      <c r="D280" s="29">
        <v>5.5</v>
      </c>
      <c r="E280" s="29">
        <v>5.5</v>
      </c>
      <c r="F280" s="30">
        <v>12.99</v>
      </c>
      <c r="G280" s="29">
        <v>12.99</v>
      </c>
      <c r="H280" s="28" t="s">
        <v>1550</v>
      </c>
      <c r="I280" s="27" t="s">
        <v>215</v>
      </c>
      <c r="J280" s="31" t="s">
        <v>5</v>
      </c>
      <c r="K280" s="27" t="s">
        <v>282</v>
      </c>
      <c r="L280" s="27" t="s">
        <v>283</v>
      </c>
      <c r="M280" s="32" t="str">
        <f>HYPERLINK("http://slimages.macys.com/is/image/MCY/3820329 ")</f>
        <v xml:space="preserve">http://slimages.macys.com/is/image/MCY/3820329 </v>
      </c>
    </row>
    <row r="281" spans="1:13" ht="15.2" customHeight="1" x14ac:dyDescent="0.2">
      <c r="A281" s="26" t="s">
        <v>7187</v>
      </c>
      <c r="B281" s="27" t="s">
        <v>7188</v>
      </c>
      <c r="C281" s="28">
        <v>1</v>
      </c>
      <c r="D281" s="29">
        <v>5.5</v>
      </c>
      <c r="E281" s="29">
        <v>5.5</v>
      </c>
      <c r="F281" s="30">
        <v>13.99</v>
      </c>
      <c r="G281" s="29">
        <v>13.99</v>
      </c>
      <c r="H281" s="28" t="s">
        <v>7189</v>
      </c>
      <c r="I281" s="27" t="s">
        <v>8</v>
      </c>
      <c r="J281" s="31" t="s">
        <v>40</v>
      </c>
      <c r="K281" s="27" t="s">
        <v>282</v>
      </c>
      <c r="L281" s="27" t="s">
        <v>260</v>
      </c>
      <c r="M281" s="32" t="str">
        <f>HYPERLINK("http://slimages.macys.com/is/image/MCY/3409388 ")</f>
        <v xml:space="preserve">http://slimages.macys.com/is/image/MCY/3409388 </v>
      </c>
    </row>
    <row r="282" spans="1:13" ht="15.2" customHeight="1" x14ac:dyDescent="0.2">
      <c r="A282" s="26" t="s">
        <v>5491</v>
      </c>
      <c r="B282" s="27" t="s">
        <v>5492</v>
      </c>
      <c r="C282" s="28">
        <v>1</v>
      </c>
      <c r="D282" s="29">
        <v>5.35</v>
      </c>
      <c r="E282" s="29">
        <v>5.35</v>
      </c>
      <c r="F282" s="30">
        <v>12.99</v>
      </c>
      <c r="G282" s="29">
        <v>12.99</v>
      </c>
      <c r="H282" s="28" t="s">
        <v>5172</v>
      </c>
      <c r="I282" s="27" t="s">
        <v>291</v>
      </c>
      <c r="J282" s="31" t="s">
        <v>52</v>
      </c>
      <c r="K282" s="27" t="s">
        <v>159</v>
      </c>
      <c r="L282" s="27" t="s">
        <v>160</v>
      </c>
      <c r="M282" s="32" t="str">
        <f>HYPERLINK("http://slimages.macys.com/is/image/MCY/3451733 ")</f>
        <v xml:space="preserve">http://slimages.macys.com/is/image/MCY/3451733 </v>
      </c>
    </row>
    <row r="283" spans="1:13" ht="15.2" customHeight="1" x14ac:dyDescent="0.2">
      <c r="A283" s="26" t="s">
        <v>7190</v>
      </c>
      <c r="B283" s="27" t="s">
        <v>7191</v>
      </c>
      <c r="C283" s="28">
        <v>1</v>
      </c>
      <c r="D283" s="29">
        <v>4.75</v>
      </c>
      <c r="E283" s="29">
        <v>4.75</v>
      </c>
      <c r="F283" s="30">
        <v>12.99</v>
      </c>
      <c r="G283" s="29">
        <v>12.99</v>
      </c>
      <c r="H283" s="28" t="s">
        <v>7192</v>
      </c>
      <c r="I283" s="27" t="s">
        <v>189</v>
      </c>
      <c r="J283" s="31" t="s">
        <v>40</v>
      </c>
      <c r="K283" s="27" t="s">
        <v>282</v>
      </c>
      <c r="L283" s="27" t="s">
        <v>283</v>
      </c>
      <c r="M283" s="32" t="str">
        <f>HYPERLINK("http://slimages.macys.com/is/image/MCY/3435527 ")</f>
        <v xml:space="preserve">http://slimages.macys.com/is/image/MCY/3435527 </v>
      </c>
    </row>
    <row r="284" spans="1:13" ht="15.2" customHeight="1" x14ac:dyDescent="0.2">
      <c r="A284" s="26" t="s">
        <v>5557</v>
      </c>
      <c r="B284" s="27" t="s">
        <v>5558</v>
      </c>
      <c r="C284" s="28">
        <v>1</v>
      </c>
      <c r="D284" s="29">
        <v>4.6500000000000004</v>
      </c>
      <c r="E284" s="29">
        <v>4.6500000000000004</v>
      </c>
      <c r="F284" s="30">
        <v>10.99</v>
      </c>
      <c r="G284" s="29">
        <v>10.99</v>
      </c>
      <c r="H284" s="28">
        <v>60359814</v>
      </c>
      <c r="I284" s="27" t="s">
        <v>59</v>
      </c>
      <c r="J284" s="31" t="s">
        <v>40</v>
      </c>
      <c r="K284" s="27" t="s">
        <v>282</v>
      </c>
      <c r="L284" s="27" t="s">
        <v>255</v>
      </c>
      <c r="M284" s="32" t="str">
        <f>HYPERLINK("http://slimages.macys.com/is/image/MCY/2308510 ")</f>
        <v xml:space="preserve">http://slimages.macys.com/is/image/MCY/2308510 </v>
      </c>
    </row>
    <row r="285" spans="1:13" ht="15.2" customHeight="1" x14ac:dyDescent="0.2">
      <c r="A285" s="26" t="s">
        <v>7193</v>
      </c>
      <c r="B285" s="27" t="s">
        <v>7194</v>
      </c>
      <c r="C285" s="28">
        <v>1</v>
      </c>
      <c r="D285" s="29">
        <v>4.6500000000000004</v>
      </c>
      <c r="E285" s="29">
        <v>4.6500000000000004</v>
      </c>
      <c r="F285" s="30">
        <v>10.99</v>
      </c>
      <c r="G285" s="29">
        <v>10.99</v>
      </c>
      <c r="H285" s="28">
        <v>60359814</v>
      </c>
      <c r="I285" s="27" t="s">
        <v>22</v>
      </c>
      <c r="J285" s="31" t="s">
        <v>5</v>
      </c>
      <c r="K285" s="27" t="s">
        <v>282</v>
      </c>
      <c r="L285" s="27" t="s">
        <v>255</v>
      </c>
      <c r="M285" s="32" t="str">
        <f>HYPERLINK("http://slimages.macys.com/is/image/MCY/2308510 ")</f>
        <v xml:space="preserve">http://slimages.macys.com/is/image/MCY/2308510 </v>
      </c>
    </row>
    <row r="286" spans="1:13" ht="15.2" customHeight="1" x14ac:dyDescent="0.2">
      <c r="A286" s="26" t="s">
        <v>7195</v>
      </c>
      <c r="B286" s="27" t="s">
        <v>7196</v>
      </c>
      <c r="C286" s="28">
        <v>1</v>
      </c>
      <c r="D286" s="29">
        <v>4.6500000000000004</v>
      </c>
      <c r="E286" s="29">
        <v>4.6500000000000004</v>
      </c>
      <c r="F286" s="30">
        <v>10.99</v>
      </c>
      <c r="G286" s="29">
        <v>10.99</v>
      </c>
      <c r="H286" s="28">
        <v>60359814</v>
      </c>
      <c r="I286" s="27" t="s">
        <v>22</v>
      </c>
      <c r="J286" s="31" t="s">
        <v>65</v>
      </c>
      <c r="K286" s="27" t="s">
        <v>282</v>
      </c>
      <c r="L286" s="27" t="s">
        <v>255</v>
      </c>
      <c r="M286" s="32" t="str">
        <f>HYPERLINK("http://slimages.macys.com/is/image/MCY/2308510 ")</f>
        <v xml:space="preserve">http://slimages.macys.com/is/image/MCY/2308510 </v>
      </c>
    </row>
    <row r="287" spans="1:13" ht="15.2" customHeight="1" x14ac:dyDescent="0.2">
      <c r="A287" s="26" t="s">
        <v>6065</v>
      </c>
      <c r="B287" s="27" t="s">
        <v>6066</v>
      </c>
      <c r="C287" s="28">
        <v>1</v>
      </c>
      <c r="D287" s="29">
        <v>4.6500000000000004</v>
      </c>
      <c r="E287" s="29">
        <v>4.6500000000000004</v>
      </c>
      <c r="F287" s="30">
        <v>10.99</v>
      </c>
      <c r="G287" s="29">
        <v>10.99</v>
      </c>
      <c r="H287" s="28">
        <v>60359814</v>
      </c>
      <c r="I287" s="27" t="s">
        <v>33</v>
      </c>
      <c r="J287" s="31" t="s">
        <v>21</v>
      </c>
      <c r="K287" s="27" t="s">
        <v>282</v>
      </c>
      <c r="L287" s="27" t="s">
        <v>255</v>
      </c>
      <c r="M287" s="32" t="str">
        <f>HYPERLINK("http://slimages.macys.com/is/image/MCY/2308510 ")</f>
        <v xml:space="preserve">http://slimages.macys.com/is/image/MCY/2308510 </v>
      </c>
    </row>
    <row r="288" spans="1:13" ht="15.2" customHeight="1" x14ac:dyDescent="0.2">
      <c r="A288" s="26" t="s">
        <v>7197</v>
      </c>
      <c r="B288" s="27" t="s">
        <v>7198</v>
      </c>
      <c r="C288" s="28">
        <v>1</v>
      </c>
      <c r="D288" s="29">
        <v>4.3499999999999996</v>
      </c>
      <c r="E288" s="29">
        <v>4.3499999999999996</v>
      </c>
      <c r="F288" s="30">
        <v>13.99</v>
      </c>
      <c r="G288" s="29">
        <v>13.99</v>
      </c>
      <c r="H288" s="28" t="s">
        <v>948</v>
      </c>
      <c r="I288" s="27" t="s">
        <v>82</v>
      </c>
      <c r="J288" s="31" t="s">
        <v>52</v>
      </c>
      <c r="K288" s="27" t="s">
        <v>282</v>
      </c>
      <c r="L288" s="27" t="s">
        <v>325</v>
      </c>
      <c r="M288" s="32" t="str">
        <f>HYPERLINK("http://slimages.macys.com/is/image/MCY/3931147 ")</f>
        <v xml:space="preserve">http://slimages.macys.com/is/image/MCY/3931147 </v>
      </c>
    </row>
    <row r="289" spans="1:13" ht="15.2" customHeight="1" x14ac:dyDescent="0.2">
      <c r="A289" s="26" t="s">
        <v>7199</v>
      </c>
      <c r="B289" s="27" t="s">
        <v>7200</v>
      </c>
      <c r="C289" s="28">
        <v>1</v>
      </c>
      <c r="D289" s="29">
        <v>4.1500000000000004</v>
      </c>
      <c r="E289" s="29">
        <v>4.1500000000000004</v>
      </c>
      <c r="F289" s="30">
        <v>7.99</v>
      </c>
      <c r="G289" s="29">
        <v>7.99</v>
      </c>
      <c r="H289" s="28">
        <v>60418818</v>
      </c>
      <c r="I289" s="27" t="s">
        <v>244</v>
      </c>
      <c r="J289" s="31" t="s">
        <v>21</v>
      </c>
      <c r="K289" s="27" t="s">
        <v>282</v>
      </c>
      <c r="L289" s="27" t="s">
        <v>255</v>
      </c>
      <c r="M289" s="32" t="str">
        <f>HYPERLINK("http://slimages.macys.com/is/image/MCY/3953457 ")</f>
        <v xml:space="preserve">http://slimages.macys.com/is/image/MCY/3953457 </v>
      </c>
    </row>
    <row r="290" spans="1:13" ht="15.2" customHeight="1" x14ac:dyDescent="0.2">
      <c r="A290" s="26" t="s">
        <v>7201</v>
      </c>
      <c r="B290" s="27" t="s">
        <v>7202</v>
      </c>
      <c r="C290" s="28">
        <v>1</v>
      </c>
      <c r="D290" s="29">
        <v>4.1500000000000004</v>
      </c>
      <c r="E290" s="29">
        <v>4.1500000000000004</v>
      </c>
      <c r="F290" s="30">
        <v>7.99</v>
      </c>
      <c r="G290" s="29">
        <v>7.99</v>
      </c>
      <c r="H290" s="28">
        <v>60418818</v>
      </c>
      <c r="I290" s="27" t="s">
        <v>59</v>
      </c>
      <c r="J290" s="31" t="s">
        <v>21</v>
      </c>
      <c r="K290" s="27" t="s">
        <v>282</v>
      </c>
      <c r="L290" s="27" t="s">
        <v>255</v>
      </c>
      <c r="M290" s="32" t="str">
        <f>HYPERLINK("http://slimages.macys.com/is/image/MCY/3350875 ")</f>
        <v xml:space="preserve">http://slimages.macys.com/is/image/MCY/3350875 </v>
      </c>
    </row>
    <row r="291" spans="1:13" ht="15.2" customHeight="1" x14ac:dyDescent="0.2">
      <c r="A291" s="26" t="s">
        <v>7203</v>
      </c>
      <c r="B291" s="27" t="s">
        <v>7204</v>
      </c>
      <c r="C291" s="28">
        <v>1</v>
      </c>
      <c r="D291" s="29">
        <v>4.1500000000000004</v>
      </c>
      <c r="E291" s="29">
        <v>4.1500000000000004</v>
      </c>
      <c r="F291" s="30">
        <v>7.99</v>
      </c>
      <c r="G291" s="29">
        <v>7.99</v>
      </c>
      <c r="H291" s="28">
        <v>60418818</v>
      </c>
      <c r="I291" s="27" t="s">
        <v>207</v>
      </c>
      <c r="J291" s="31" t="s">
        <v>21</v>
      </c>
      <c r="K291" s="27" t="s">
        <v>282</v>
      </c>
      <c r="L291" s="27" t="s">
        <v>255</v>
      </c>
      <c r="M291" s="32" t="str">
        <f>HYPERLINK("http://slimages.macys.com/is/image/MCY/3953457 ")</f>
        <v xml:space="preserve">http://slimages.macys.com/is/image/MCY/3953457 </v>
      </c>
    </row>
    <row r="292" spans="1:13" ht="15.2" customHeight="1" x14ac:dyDescent="0.2">
      <c r="A292" s="26" t="s">
        <v>7205</v>
      </c>
      <c r="B292" s="27" t="s">
        <v>7206</v>
      </c>
      <c r="C292" s="28">
        <v>1</v>
      </c>
      <c r="D292" s="29">
        <v>3.75</v>
      </c>
      <c r="E292" s="29">
        <v>3.75</v>
      </c>
      <c r="F292" s="30">
        <v>7.99</v>
      </c>
      <c r="G292" s="29">
        <v>7.99</v>
      </c>
      <c r="H292" s="28">
        <v>60393788</v>
      </c>
      <c r="I292" s="27" t="s">
        <v>59</v>
      </c>
      <c r="J292" s="31" t="s">
        <v>52</v>
      </c>
      <c r="K292" s="27" t="s">
        <v>282</v>
      </c>
      <c r="L292" s="27" t="s">
        <v>255</v>
      </c>
      <c r="M292" s="32" t="str">
        <f>HYPERLINK("http://slimages.macys.com/is/image/MCY/3664384 ")</f>
        <v xml:space="preserve">http://slimages.macys.com/is/image/MCY/3664384 </v>
      </c>
    </row>
    <row r="293" spans="1:13" ht="15.2" customHeight="1" x14ac:dyDescent="0.2">
      <c r="A293" s="26" t="s">
        <v>7207</v>
      </c>
      <c r="B293" s="27" t="s">
        <v>7208</v>
      </c>
      <c r="C293" s="28">
        <v>1</v>
      </c>
      <c r="D293" s="29">
        <v>3.72</v>
      </c>
      <c r="E293" s="29">
        <v>3.72</v>
      </c>
      <c r="F293" s="30">
        <v>7.99</v>
      </c>
      <c r="G293" s="29">
        <v>7.99</v>
      </c>
      <c r="H293" s="28" t="s">
        <v>459</v>
      </c>
      <c r="I293" s="27" t="s">
        <v>949</v>
      </c>
      <c r="J293" s="31" t="s">
        <v>71</v>
      </c>
      <c r="K293" s="27" t="s">
        <v>282</v>
      </c>
      <c r="L293" s="27" t="s">
        <v>325</v>
      </c>
      <c r="M293" s="32" t="str">
        <f>HYPERLINK("http://slimages.macys.com/is/image/MCY/3609979 ")</f>
        <v xml:space="preserve">http://slimages.macys.com/is/image/MCY/3609979 </v>
      </c>
    </row>
    <row r="294" spans="1:13" ht="15.2" customHeight="1" x14ac:dyDescent="0.2">
      <c r="A294" s="26" t="s">
        <v>7209</v>
      </c>
      <c r="B294" s="27" t="s">
        <v>7210</v>
      </c>
      <c r="C294" s="28">
        <v>1</v>
      </c>
      <c r="D294" s="29">
        <v>3.65</v>
      </c>
      <c r="E294" s="29">
        <v>3.65</v>
      </c>
      <c r="F294" s="30">
        <v>12.99</v>
      </c>
      <c r="G294" s="29">
        <v>12.99</v>
      </c>
      <c r="H294" s="28" t="s">
        <v>950</v>
      </c>
      <c r="I294" s="27" t="s">
        <v>29</v>
      </c>
      <c r="J294" s="31" t="s">
        <v>5</v>
      </c>
      <c r="K294" s="27" t="s">
        <v>200</v>
      </c>
      <c r="L294" s="27" t="s">
        <v>325</v>
      </c>
      <c r="M294" s="32" t="str">
        <f>HYPERLINK("http://slimages.macys.com/is/image/MCY/3937123 ")</f>
        <v xml:space="preserve">http://slimages.macys.com/is/image/MCY/3937123 </v>
      </c>
    </row>
    <row r="295" spans="1:13" ht="15.2" customHeight="1" x14ac:dyDescent="0.2">
      <c r="A295" s="26" t="s">
        <v>7211</v>
      </c>
      <c r="B295" s="27" t="s">
        <v>7212</v>
      </c>
      <c r="C295" s="28">
        <v>1</v>
      </c>
      <c r="D295" s="29">
        <v>3.65</v>
      </c>
      <c r="E295" s="29">
        <v>3.65</v>
      </c>
      <c r="F295" s="30">
        <v>12.99</v>
      </c>
      <c r="G295" s="29">
        <v>12.99</v>
      </c>
      <c r="H295" s="28" t="s">
        <v>950</v>
      </c>
      <c r="I295" s="27" t="s">
        <v>215</v>
      </c>
      <c r="J295" s="31" t="s">
        <v>5</v>
      </c>
      <c r="K295" s="27" t="s">
        <v>200</v>
      </c>
      <c r="L295" s="27" t="s">
        <v>325</v>
      </c>
      <c r="M295" s="32" t="str">
        <f>HYPERLINK("http://slimages.macys.com/is/image/MCY/3937191 ")</f>
        <v xml:space="preserve">http://slimages.macys.com/is/image/MCY/3937191 </v>
      </c>
    </row>
    <row r="296" spans="1:13" ht="15.2" customHeight="1" x14ac:dyDescent="0.2">
      <c r="A296" s="26" t="s">
        <v>7213</v>
      </c>
      <c r="B296" s="27" t="s">
        <v>7214</v>
      </c>
      <c r="C296" s="28">
        <v>1</v>
      </c>
      <c r="D296" s="29">
        <v>3.6</v>
      </c>
      <c r="E296" s="29">
        <v>3.6</v>
      </c>
      <c r="F296" s="30">
        <v>7.99</v>
      </c>
      <c r="G296" s="29">
        <v>7.99</v>
      </c>
      <c r="H296" s="28">
        <v>60423445</v>
      </c>
      <c r="I296" s="27" t="s">
        <v>274</v>
      </c>
      <c r="J296" s="31" t="s">
        <v>21</v>
      </c>
      <c r="K296" s="27" t="s">
        <v>282</v>
      </c>
      <c r="L296" s="27" t="s">
        <v>255</v>
      </c>
      <c r="M296" s="32" t="str">
        <f>HYPERLINK("http://slimages.macys.com/is/image/MCY/3283149 ")</f>
        <v xml:space="preserve">http://slimages.macys.com/is/image/MCY/3283149 </v>
      </c>
    </row>
    <row r="297" spans="1:13" ht="15.2" customHeight="1" x14ac:dyDescent="0.2">
      <c r="A297" s="26" t="s">
        <v>951</v>
      </c>
      <c r="B297" s="27" t="s">
        <v>952</v>
      </c>
      <c r="C297" s="28">
        <v>1</v>
      </c>
      <c r="D297" s="29">
        <v>34</v>
      </c>
      <c r="E297" s="29">
        <v>34</v>
      </c>
      <c r="F297" s="30">
        <v>89.5</v>
      </c>
      <c r="G297" s="29">
        <v>89.5</v>
      </c>
      <c r="H297" s="28" t="s">
        <v>464</v>
      </c>
      <c r="I297" s="27" t="s">
        <v>1</v>
      </c>
      <c r="J297" s="31" t="s">
        <v>71</v>
      </c>
      <c r="K297" s="27" t="s">
        <v>17</v>
      </c>
      <c r="L297" s="27" t="s">
        <v>18</v>
      </c>
      <c r="M297" s="32"/>
    </row>
    <row r="298" spans="1:13" ht="15.2" customHeight="1" x14ac:dyDescent="0.2">
      <c r="A298" s="26" t="s">
        <v>7215</v>
      </c>
      <c r="B298" s="27" t="s">
        <v>7216</v>
      </c>
      <c r="C298" s="28">
        <v>1</v>
      </c>
      <c r="D298" s="29">
        <v>31.15</v>
      </c>
      <c r="E298" s="29">
        <v>31.15</v>
      </c>
      <c r="F298" s="30">
        <v>89</v>
      </c>
      <c r="G298" s="29">
        <v>89</v>
      </c>
      <c r="H298" s="28" t="s">
        <v>7217</v>
      </c>
      <c r="I298" s="27" t="s">
        <v>29</v>
      </c>
      <c r="J298" s="31" t="s">
        <v>172</v>
      </c>
      <c r="K298" s="27" t="s">
        <v>654</v>
      </c>
      <c r="L298" s="27" t="s">
        <v>655</v>
      </c>
      <c r="M298" s="32"/>
    </row>
    <row r="299" spans="1:13" ht="15.2" customHeight="1" x14ac:dyDescent="0.2">
      <c r="A299" s="26" t="s">
        <v>7218</v>
      </c>
      <c r="B299" s="27" t="s">
        <v>7219</v>
      </c>
      <c r="C299" s="28">
        <v>1</v>
      </c>
      <c r="D299" s="29">
        <v>31.15</v>
      </c>
      <c r="E299" s="29">
        <v>31.15</v>
      </c>
      <c r="F299" s="30">
        <v>89</v>
      </c>
      <c r="G299" s="29">
        <v>89</v>
      </c>
      <c r="H299" s="28" t="s">
        <v>6637</v>
      </c>
      <c r="I299" s="27" t="s">
        <v>10</v>
      </c>
      <c r="J299" s="31" t="s">
        <v>5</v>
      </c>
      <c r="K299" s="27" t="s">
        <v>654</v>
      </c>
      <c r="L299" s="27" t="s">
        <v>655</v>
      </c>
      <c r="M299" s="32"/>
    </row>
    <row r="300" spans="1:13" ht="15.2" customHeight="1" x14ac:dyDescent="0.2">
      <c r="A300" s="26" t="s">
        <v>7220</v>
      </c>
      <c r="B300" s="27" t="s">
        <v>7221</v>
      </c>
      <c r="C300" s="28">
        <v>1</v>
      </c>
      <c r="D300" s="29">
        <v>30</v>
      </c>
      <c r="E300" s="29">
        <v>30</v>
      </c>
      <c r="F300" s="30">
        <v>79.5</v>
      </c>
      <c r="G300" s="29">
        <v>79.5</v>
      </c>
      <c r="H300" s="28" t="s">
        <v>7222</v>
      </c>
      <c r="I300" s="27" t="s">
        <v>291</v>
      </c>
      <c r="J300" s="31" t="s">
        <v>161</v>
      </c>
      <c r="K300" s="27" t="s">
        <v>17</v>
      </c>
      <c r="L300" s="27" t="s">
        <v>18</v>
      </c>
      <c r="M300" s="32"/>
    </row>
    <row r="301" spans="1:13" ht="15.2" customHeight="1" x14ac:dyDescent="0.2">
      <c r="A301" s="26" t="s">
        <v>7223</v>
      </c>
      <c r="B301" s="27" t="s">
        <v>7224</v>
      </c>
      <c r="C301" s="28">
        <v>1</v>
      </c>
      <c r="D301" s="29">
        <v>29.62</v>
      </c>
      <c r="E301" s="29">
        <v>29.62</v>
      </c>
      <c r="F301" s="30">
        <v>79</v>
      </c>
      <c r="G301" s="29">
        <v>79</v>
      </c>
      <c r="H301" s="28">
        <v>7066071</v>
      </c>
      <c r="I301" s="27" t="s">
        <v>189</v>
      </c>
      <c r="J301" s="31" t="s">
        <v>2420</v>
      </c>
      <c r="K301" s="27" t="s">
        <v>462</v>
      </c>
      <c r="L301" s="27" t="s">
        <v>463</v>
      </c>
      <c r="M301" s="32"/>
    </row>
    <row r="302" spans="1:13" ht="15.2" customHeight="1" x14ac:dyDescent="0.2">
      <c r="A302" s="26" t="s">
        <v>7225</v>
      </c>
      <c r="B302" s="27" t="s">
        <v>7226</v>
      </c>
      <c r="C302" s="28">
        <v>1</v>
      </c>
      <c r="D302" s="29">
        <v>27.65</v>
      </c>
      <c r="E302" s="29">
        <v>27.65</v>
      </c>
      <c r="F302" s="30">
        <v>79</v>
      </c>
      <c r="G302" s="29">
        <v>79</v>
      </c>
      <c r="H302" s="28">
        <v>60396790</v>
      </c>
      <c r="I302" s="27" t="s">
        <v>4</v>
      </c>
      <c r="J302" s="31" t="s">
        <v>40</v>
      </c>
      <c r="K302" s="27" t="s">
        <v>6</v>
      </c>
      <c r="L302" s="27" t="s">
        <v>7</v>
      </c>
      <c r="M302" s="32"/>
    </row>
    <row r="303" spans="1:13" ht="15.2" customHeight="1" x14ac:dyDescent="0.2">
      <c r="A303" s="26" t="s">
        <v>7227</v>
      </c>
      <c r="B303" s="27" t="s">
        <v>7228</v>
      </c>
      <c r="C303" s="28">
        <v>1</v>
      </c>
      <c r="D303" s="29">
        <v>27</v>
      </c>
      <c r="E303" s="29">
        <v>27</v>
      </c>
      <c r="F303" s="30">
        <v>69.5</v>
      </c>
      <c r="G303" s="29">
        <v>69.5</v>
      </c>
      <c r="H303" s="28" t="s">
        <v>1982</v>
      </c>
      <c r="I303" s="27" t="s">
        <v>59</v>
      </c>
      <c r="J303" s="31" t="s">
        <v>1602</v>
      </c>
      <c r="K303" s="27" t="s">
        <v>17</v>
      </c>
      <c r="L303" s="27" t="s">
        <v>18</v>
      </c>
      <c r="M303" s="32"/>
    </row>
    <row r="304" spans="1:13" ht="15.2" customHeight="1" x14ac:dyDescent="0.2">
      <c r="A304" s="26" t="s">
        <v>4655</v>
      </c>
      <c r="B304" s="27" t="s">
        <v>4656</v>
      </c>
      <c r="C304" s="28">
        <v>1</v>
      </c>
      <c r="D304" s="29">
        <v>24.25</v>
      </c>
      <c r="E304" s="29">
        <v>24.25</v>
      </c>
      <c r="F304" s="30">
        <v>69</v>
      </c>
      <c r="G304" s="29">
        <v>69</v>
      </c>
      <c r="H304" s="28" t="s">
        <v>963</v>
      </c>
      <c r="I304" s="27" t="s">
        <v>82</v>
      </c>
      <c r="J304" s="31" t="s">
        <v>40</v>
      </c>
      <c r="K304" s="27" t="s">
        <v>37</v>
      </c>
      <c r="L304" s="27" t="s">
        <v>38</v>
      </c>
      <c r="M304" s="32"/>
    </row>
    <row r="305" spans="1:13" ht="15.2" customHeight="1" x14ac:dyDescent="0.2">
      <c r="A305" s="26" t="s">
        <v>7229</v>
      </c>
      <c r="B305" s="27" t="s">
        <v>7230</v>
      </c>
      <c r="C305" s="28">
        <v>1</v>
      </c>
      <c r="D305" s="29">
        <v>24.15</v>
      </c>
      <c r="E305" s="29">
        <v>24.15</v>
      </c>
      <c r="F305" s="30">
        <v>69</v>
      </c>
      <c r="G305" s="29">
        <v>69</v>
      </c>
      <c r="H305" s="28" t="s">
        <v>7231</v>
      </c>
      <c r="I305" s="27" t="s">
        <v>280</v>
      </c>
      <c r="J305" s="31" t="s">
        <v>71</v>
      </c>
      <c r="K305" s="27" t="s">
        <v>654</v>
      </c>
      <c r="L305" s="27" t="s">
        <v>655</v>
      </c>
      <c r="M305" s="32"/>
    </row>
    <row r="306" spans="1:13" ht="15.2" customHeight="1" x14ac:dyDescent="0.2">
      <c r="A306" s="26" t="s">
        <v>7232</v>
      </c>
      <c r="B306" s="27" t="s">
        <v>7233</v>
      </c>
      <c r="C306" s="28">
        <v>1</v>
      </c>
      <c r="D306" s="29">
        <v>23.75</v>
      </c>
      <c r="E306" s="29">
        <v>23.75</v>
      </c>
      <c r="F306" s="30">
        <v>79</v>
      </c>
      <c r="G306" s="29">
        <v>79</v>
      </c>
      <c r="H306" s="28" t="s">
        <v>7234</v>
      </c>
      <c r="I306" s="27" t="s">
        <v>22</v>
      </c>
      <c r="J306" s="31" t="s">
        <v>210</v>
      </c>
      <c r="K306" s="27" t="s">
        <v>24</v>
      </c>
      <c r="L306" s="27" t="s">
        <v>2806</v>
      </c>
      <c r="M306" s="32"/>
    </row>
    <row r="307" spans="1:13" ht="15.2" customHeight="1" x14ac:dyDescent="0.2">
      <c r="A307" s="26" t="s">
        <v>7235</v>
      </c>
      <c r="B307" s="27" t="s">
        <v>3056</v>
      </c>
      <c r="C307" s="28">
        <v>1</v>
      </c>
      <c r="D307" s="29">
        <v>23</v>
      </c>
      <c r="E307" s="29">
        <v>23</v>
      </c>
      <c r="F307" s="30">
        <v>59.5</v>
      </c>
      <c r="G307" s="29">
        <v>59.5</v>
      </c>
      <c r="H307" s="28" t="s">
        <v>477</v>
      </c>
      <c r="I307" s="27" t="s">
        <v>478</v>
      </c>
      <c r="J307" s="31"/>
      <c r="K307" s="27" t="s">
        <v>17</v>
      </c>
      <c r="L307" s="27" t="s">
        <v>18</v>
      </c>
      <c r="M307" s="32"/>
    </row>
    <row r="308" spans="1:13" ht="15.2" customHeight="1" x14ac:dyDescent="0.2">
      <c r="A308" s="26" t="s">
        <v>7236</v>
      </c>
      <c r="B308" s="27" t="s">
        <v>7237</v>
      </c>
      <c r="C308" s="28">
        <v>1</v>
      </c>
      <c r="D308" s="29">
        <v>23</v>
      </c>
      <c r="E308" s="29">
        <v>23</v>
      </c>
      <c r="F308" s="30">
        <v>59.5</v>
      </c>
      <c r="G308" s="29">
        <v>59.5</v>
      </c>
      <c r="H308" s="28" t="s">
        <v>1606</v>
      </c>
      <c r="I308" s="27" t="s">
        <v>4</v>
      </c>
      <c r="J308" s="31" t="s">
        <v>52</v>
      </c>
      <c r="K308" s="27" t="s">
        <v>17</v>
      </c>
      <c r="L308" s="27" t="s">
        <v>18</v>
      </c>
      <c r="M308" s="32"/>
    </row>
    <row r="309" spans="1:13" ht="15.2" customHeight="1" x14ac:dyDescent="0.2">
      <c r="A309" s="26" t="s">
        <v>7238</v>
      </c>
      <c r="B309" s="27" t="s">
        <v>7239</v>
      </c>
      <c r="C309" s="28">
        <v>1</v>
      </c>
      <c r="D309" s="29">
        <v>23</v>
      </c>
      <c r="E309" s="29">
        <v>23</v>
      </c>
      <c r="F309" s="30">
        <v>59.5</v>
      </c>
      <c r="G309" s="29">
        <v>59.5</v>
      </c>
      <c r="H309" s="28" t="s">
        <v>1606</v>
      </c>
      <c r="I309" s="27" t="s">
        <v>4</v>
      </c>
      <c r="J309" s="31" t="s">
        <v>40</v>
      </c>
      <c r="K309" s="27" t="s">
        <v>17</v>
      </c>
      <c r="L309" s="27" t="s">
        <v>18</v>
      </c>
      <c r="M309" s="32"/>
    </row>
    <row r="310" spans="1:13" ht="15.2" customHeight="1" x14ac:dyDescent="0.2">
      <c r="A310" s="26" t="s">
        <v>3054</v>
      </c>
      <c r="B310" s="27" t="s">
        <v>3055</v>
      </c>
      <c r="C310" s="28">
        <v>1</v>
      </c>
      <c r="D310" s="29">
        <v>23</v>
      </c>
      <c r="E310" s="29">
        <v>23</v>
      </c>
      <c r="F310" s="30">
        <v>59.5</v>
      </c>
      <c r="G310" s="29">
        <v>59.5</v>
      </c>
      <c r="H310" s="28" t="s">
        <v>1606</v>
      </c>
      <c r="I310" s="27" t="s">
        <v>152</v>
      </c>
      <c r="J310" s="31" t="s">
        <v>40</v>
      </c>
      <c r="K310" s="27" t="s">
        <v>17</v>
      </c>
      <c r="L310" s="27" t="s">
        <v>18</v>
      </c>
      <c r="M310" s="32"/>
    </row>
    <row r="311" spans="1:13" ht="15.2" customHeight="1" x14ac:dyDescent="0.2">
      <c r="A311" s="26" t="s">
        <v>1604</v>
      </c>
      <c r="B311" s="27" t="s">
        <v>1605</v>
      </c>
      <c r="C311" s="28">
        <v>1</v>
      </c>
      <c r="D311" s="29">
        <v>23</v>
      </c>
      <c r="E311" s="29">
        <v>23</v>
      </c>
      <c r="F311" s="30">
        <v>59.5</v>
      </c>
      <c r="G311" s="29">
        <v>59.5</v>
      </c>
      <c r="H311" s="28" t="s">
        <v>1606</v>
      </c>
      <c r="I311" s="27" t="s">
        <v>4</v>
      </c>
      <c r="J311" s="31" t="s">
        <v>21</v>
      </c>
      <c r="K311" s="27" t="s">
        <v>17</v>
      </c>
      <c r="L311" s="27" t="s">
        <v>18</v>
      </c>
      <c r="M311" s="32"/>
    </row>
    <row r="312" spans="1:13" ht="15.2" customHeight="1" x14ac:dyDescent="0.2">
      <c r="A312" s="26" t="s">
        <v>2426</v>
      </c>
      <c r="B312" s="27" t="s">
        <v>2427</v>
      </c>
      <c r="C312" s="28">
        <v>1</v>
      </c>
      <c r="D312" s="29">
        <v>22.24</v>
      </c>
      <c r="E312" s="29">
        <v>22.24</v>
      </c>
      <c r="F312" s="30">
        <v>69.5</v>
      </c>
      <c r="G312" s="29">
        <v>69.5</v>
      </c>
      <c r="H312" s="28">
        <v>60431785</v>
      </c>
      <c r="I312" s="27" t="s">
        <v>4</v>
      </c>
      <c r="J312" s="31"/>
      <c r="K312" s="27" t="s">
        <v>6</v>
      </c>
      <c r="L312" s="27" t="s">
        <v>7</v>
      </c>
      <c r="M312" s="32"/>
    </row>
    <row r="313" spans="1:13" ht="15.2" customHeight="1" x14ac:dyDescent="0.2">
      <c r="A313" s="26" t="s">
        <v>7240</v>
      </c>
      <c r="B313" s="27" t="s">
        <v>7241</v>
      </c>
      <c r="C313" s="28">
        <v>1</v>
      </c>
      <c r="D313" s="29">
        <v>22</v>
      </c>
      <c r="E313" s="29">
        <v>22</v>
      </c>
      <c r="F313" s="30">
        <v>69</v>
      </c>
      <c r="G313" s="29">
        <v>69</v>
      </c>
      <c r="H313" s="28" t="s">
        <v>3057</v>
      </c>
      <c r="I313" s="27" t="s">
        <v>22</v>
      </c>
      <c r="J313" s="31" t="s">
        <v>23</v>
      </c>
      <c r="K313" s="27" t="s">
        <v>24</v>
      </c>
      <c r="L313" s="27" t="s">
        <v>1079</v>
      </c>
      <c r="M313" s="32"/>
    </row>
    <row r="314" spans="1:13" ht="15.2" customHeight="1" x14ac:dyDescent="0.2">
      <c r="A314" s="26" t="s">
        <v>2721</v>
      </c>
      <c r="B314" s="27" t="s">
        <v>2722</v>
      </c>
      <c r="C314" s="28">
        <v>1</v>
      </c>
      <c r="D314" s="29">
        <v>22</v>
      </c>
      <c r="E314" s="29">
        <v>22</v>
      </c>
      <c r="F314" s="30">
        <v>69</v>
      </c>
      <c r="G314" s="29">
        <v>69</v>
      </c>
      <c r="H314" s="28" t="s">
        <v>1607</v>
      </c>
      <c r="I314" s="27" t="s">
        <v>468</v>
      </c>
      <c r="J314" s="31" t="s">
        <v>216</v>
      </c>
      <c r="K314" s="27" t="s">
        <v>24</v>
      </c>
      <c r="L314" s="27" t="s">
        <v>25</v>
      </c>
      <c r="M314" s="32"/>
    </row>
    <row r="315" spans="1:13" ht="15.2" customHeight="1" x14ac:dyDescent="0.2">
      <c r="A315" s="26" t="s">
        <v>7242</v>
      </c>
      <c r="B315" s="27" t="s">
        <v>7243</v>
      </c>
      <c r="C315" s="28">
        <v>1</v>
      </c>
      <c r="D315" s="29">
        <v>21.88</v>
      </c>
      <c r="E315" s="29">
        <v>21.88</v>
      </c>
      <c r="F315" s="30">
        <v>59.99</v>
      </c>
      <c r="G315" s="29">
        <v>59.99</v>
      </c>
      <c r="H315" s="28" t="s">
        <v>4380</v>
      </c>
      <c r="I315" s="27" t="s">
        <v>82</v>
      </c>
      <c r="J315" s="31" t="s">
        <v>21</v>
      </c>
      <c r="K315" s="27" t="s">
        <v>41</v>
      </c>
      <c r="L315" s="27" t="s">
        <v>45</v>
      </c>
      <c r="M315" s="32"/>
    </row>
    <row r="316" spans="1:13" ht="15.2" customHeight="1" x14ac:dyDescent="0.2">
      <c r="A316" s="26" t="s">
        <v>5500</v>
      </c>
      <c r="B316" s="27" t="s">
        <v>5501</v>
      </c>
      <c r="C316" s="28">
        <v>1</v>
      </c>
      <c r="D316" s="29">
        <v>21.72</v>
      </c>
      <c r="E316" s="29">
        <v>21.72</v>
      </c>
      <c r="F316" s="30">
        <v>59.5</v>
      </c>
      <c r="G316" s="29">
        <v>59.5</v>
      </c>
      <c r="H316" s="28" t="s">
        <v>479</v>
      </c>
      <c r="I316" s="27" t="s">
        <v>26</v>
      </c>
      <c r="J316" s="31" t="s">
        <v>172</v>
      </c>
      <c r="K316" s="27" t="s">
        <v>41</v>
      </c>
      <c r="L316" s="27" t="s">
        <v>45</v>
      </c>
      <c r="M316" s="32"/>
    </row>
    <row r="317" spans="1:13" ht="15.2" customHeight="1" x14ac:dyDescent="0.2">
      <c r="A317" s="26" t="s">
        <v>7244</v>
      </c>
      <c r="B317" s="27" t="s">
        <v>7245</v>
      </c>
      <c r="C317" s="28">
        <v>1</v>
      </c>
      <c r="D317" s="29">
        <v>21.5</v>
      </c>
      <c r="E317" s="29">
        <v>21.5</v>
      </c>
      <c r="F317" s="30">
        <v>69</v>
      </c>
      <c r="G317" s="29">
        <v>69</v>
      </c>
      <c r="H317" s="28" t="s">
        <v>3060</v>
      </c>
      <c r="I317" s="27" t="s">
        <v>4</v>
      </c>
      <c r="J317" s="31" t="s">
        <v>52</v>
      </c>
      <c r="K317" s="27" t="s">
        <v>24</v>
      </c>
      <c r="L317" s="27" t="s">
        <v>999</v>
      </c>
      <c r="M317" s="32"/>
    </row>
    <row r="318" spans="1:13" ht="15.2" customHeight="1" x14ac:dyDescent="0.2">
      <c r="A318" s="26" t="s">
        <v>3058</v>
      </c>
      <c r="B318" s="27" t="s">
        <v>3059</v>
      </c>
      <c r="C318" s="28">
        <v>1</v>
      </c>
      <c r="D318" s="29">
        <v>21.5</v>
      </c>
      <c r="E318" s="29">
        <v>21.5</v>
      </c>
      <c r="F318" s="30">
        <v>69</v>
      </c>
      <c r="G318" s="29">
        <v>69</v>
      </c>
      <c r="H318" s="28" t="s">
        <v>3060</v>
      </c>
      <c r="I318" s="27" t="s">
        <v>4</v>
      </c>
      <c r="J318" s="31" t="s">
        <v>21</v>
      </c>
      <c r="K318" s="27" t="s">
        <v>24</v>
      </c>
      <c r="L318" s="27" t="s">
        <v>999</v>
      </c>
      <c r="M318" s="32"/>
    </row>
    <row r="319" spans="1:13" ht="15.2" customHeight="1" x14ac:dyDescent="0.2">
      <c r="A319" s="26" t="s">
        <v>7246</v>
      </c>
      <c r="B319" s="27" t="s">
        <v>7247</v>
      </c>
      <c r="C319" s="28">
        <v>1</v>
      </c>
      <c r="D319" s="29">
        <v>21</v>
      </c>
      <c r="E319" s="29">
        <v>21</v>
      </c>
      <c r="F319" s="30">
        <v>69</v>
      </c>
      <c r="G319" s="29">
        <v>69</v>
      </c>
      <c r="H319" s="28" t="s">
        <v>971</v>
      </c>
      <c r="I319" s="27" t="s">
        <v>26</v>
      </c>
      <c r="J319" s="31" t="s">
        <v>205</v>
      </c>
      <c r="K319" s="27" t="s">
        <v>24</v>
      </c>
      <c r="L319" s="27" t="s">
        <v>650</v>
      </c>
      <c r="M319" s="32"/>
    </row>
    <row r="320" spans="1:13" ht="15.2" customHeight="1" x14ac:dyDescent="0.2">
      <c r="A320" s="26" t="s">
        <v>3495</v>
      </c>
      <c r="B320" s="27" t="s">
        <v>3496</v>
      </c>
      <c r="C320" s="28">
        <v>1</v>
      </c>
      <c r="D320" s="29">
        <v>20.85</v>
      </c>
      <c r="E320" s="29">
        <v>20.85</v>
      </c>
      <c r="F320" s="30">
        <v>69.5</v>
      </c>
      <c r="G320" s="29">
        <v>69.5</v>
      </c>
      <c r="H320" s="28">
        <v>60438720</v>
      </c>
      <c r="I320" s="27" t="s">
        <v>4</v>
      </c>
      <c r="J320" s="31" t="s">
        <v>40</v>
      </c>
      <c r="K320" s="27" t="s">
        <v>6</v>
      </c>
      <c r="L320" s="27" t="s">
        <v>7</v>
      </c>
      <c r="M320" s="32"/>
    </row>
    <row r="321" spans="1:13" ht="15.2" customHeight="1" x14ac:dyDescent="0.2">
      <c r="A321" s="26" t="s">
        <v>7248</v>
      </c>
      <c r="B321" s="27" t="s">
        <v>7249</v>
      </c>
      <c r="C321" s="28">
        <v>1</v>
      </c>
      <c r="D321" s="29">
        <v>20.85</v>
      </c>
      <c r="E321" s="29">
        <v>20.85</v>
      </c>
      <c r="F321" s="30">
        <v>69.5</v>
      </c>
      <c r="G321" s="29">
        <v>69.5</v>
      </c>
      <c r="H321" s="28">
        <v>60438720</v>
      </c>
      <c r="I321" s="27" t="s">
        <v>20</v>
      </c>
      <c r="J321" s="31" t="s">
        <v>40</v>
      </c>
      <c r="K321" s="27" t="s">
        <v>6</v>
      </c>
      <c r="L321" s="27" t="s">
        <v>7</v>
      </c>
      <c r="M321" s="32"/>
    </row>
    <row r="322" spans="1:13" ht="15.2" customHeight="1" x14ac:dyDescent="0.2">
      <c r="A322" s="26" t="s">
        <v>7250</v>
      </c>
      <c r="B322" s="27" t="s">
        <v>7251</v>
      </c>
      <c r="C322" s="28">
        <v>1</v>
      </c>
      <c r="D322" s="29">
        <v>20.85</v>
      </c>
      <c r="E322" s="29">
        <v>20.85</v>
      </c>
      <c r="F322" s="30">
        <v>69.5</v>
      </c>
      <c r="G322" s="29">
        <v>69.5</v>
      </c>
      <c r="H322" s="28">
        <v>60438720</v>
      </c>
      <c r="I322" s="27" t="s">
        <v>20</v>
      </c>
      <c r="J322" s="31" t="s">
        <v>71</v>
      </c>
      <c r="K322" s="27" t="s">
        <v>6</v>
      </c>
      <c r="L322" s="27" t="s">
        <v>7</v>
      </c>
      <c r="M322" s="32"/>
    </row>
    <row r="323" spans="1:13" ht="15.2" customHeight="1" x14ac:dyDescent="0.2">
      <c r="A323" s="26" t="s">
        <v>7252</v>
      </c>
      <c r="B323" s="27" t="s">
        <v>7253</v>
      </c>
      <c r="C323" s="28">
        <v>1</v>
      </c>
      <c r="D323" s="29">
        <v>20.65</v>
      </c>
      <c r="E323" s="29">
        <v>20.65</v>
      </c>
      <c r="F323" s="30">
        <v>59</v>
      </c>
      <c r="G323" s="29">
        <v>59</v>
      </c>
      <c r="H323" s="28" t="s">
        <v>7254</v>
      </c>
      <c r="I323" s="27" t="s">
        <v>75</v>
      </c>
      <c r="J323" s="31" t="s">
        <v>71</v>
      </c>
      <c r="K323" s="27" t="s">
        <v>37</v>
      </c>
      <c r="L323" s="27" t="s">
        <v>38</v>
      </c>
      <c r="M323" s="32"/>
    </row>
    <row r="324" spans="1:13" ht="15.2" customHeight="1" x14ac:dyDescent="0.2">
      <c r="A324" s="26" t="s">
        <v>3497</v>
      </c>
      <c r="B324" s="27" t="s">
        <v>3498</v>
      </c>
      <c r="C324" s="28">
        <v>1</v>
      </c>
      <c r="D324" s="29">
        <v>20.52</v>
      </c>
      <c r="E324" s="29">
        <v>20.52</v>
      </c>
      <c r="F324" s="30">
        <v>59.5</v>
      </c>
      <c r="G324" s="29">
        <v>59.5</v>
      </c>
      <c r="H324" s="28" t="s">
        <v>2727</v>
      </c>
      <c r="I324" s="27" t="s">
        <v>26</v>
      </c>
      <c r="J324" s="31" t="s">
        <v>40</v>
      </c>
      <c r="K324" s="27" t="s">
        <v>53</v>
      </c>
      <c r="L324" s="27" t="s">
        <v>167</v>
      </c>
      <c r="M324" s="32"/>
    </row>
    <row r="325" spans="1:13" ht="15.2" customHeight="1" x14ac:dyDescent="0.2">
      <c r="A325" s="26" t="s">
        <v>2728</v>
      </c>
      <c r="B325" s="27" t="s">
        <v>2729</v>
      </c>
      <c r="C325" s="28">
        <v>1</v>
      </c>
      <c r="D325" s="29">
        <v>20.52</v>
      </c>
      <c r="E325" s="29">
        <v>20.52</v>
      </c>
      <c r="F325" s="30">
        <v>59.5</v>
      </c>
      <c r="G325" s="29">
        <v>59.5</v>
      </c>
      <c r="H325" s="28" t="s">
        <v>2727</v>
      </c>
      <c r="I325" s="27" t="s">
        <v>26</v>
      </c>
      <c r="J325" s="31" t="s">
        <v>5</v>
      </c>
      <c r="K325" s="27" t="s">
        <v>53</v>
      </c>
      <c r="L325" s="27" t="s">
        <v>167</v>
      </c>
      <c r="M325" s="32"/>
    </row>
    <row r="326" spans="1:13" ht="15.2" customHeight="1" x14ac:dyDescent="0.2">
      <c r="A326" s="26" t="s">
        <v>7255</v>
      </c>
      <c r="B326" s="27" t="s">
        <v>7256</v>
      </c>
      <c r="C326" s="28">
        <v>1</v>
      </c>
      <c r="D326" s="29">
        <v>20</v>
      </c>
      <c r="E326" s="29">
        <v>20</v>
      </c>
      <c r="F326" s="30">
        <v>59</v>
      </c>
      <c r="G326" s="29">
        <v>59</v>
      </c>
      <c r="H326" s="28" t="s">
        <v>7257</v>
      </c>
      <c r="I326" s="27" t="s">
        <v>4</v>
      </c>
      <c r="J326" s="31" t="s">
        <v>210</v>
      </c>
      <c r="K326" s="27" t="s">
        <v>24</v>
      </c>
      <c r="L326" s="27" t="s">
        <v>999</v>
      </c>
      <c r="M326" s="32"/>
    </row>
    <row r="327" spans="1:13" ht="15.2" customHeight="1" x14ac:dyDescent="0.2">
      <c r="A327" s="26" t="s">
        <v>7258</v>
      </c>
      <c r="B327" s="27" t="s">
        <v>7259</v>
      </c>
      <c r="C327" s="28">
        <v>1</v>
      </c>
      <c r="D327" s="29">
        <v>20</v>
      </c>
      <c r="E327" s="29">
        <v>20</v>
      </c>
      <c r="F327" s="30">
        <v>41.99</v>
      </c>
      <c r="G327" s="29">
        <v>41.99</v>
      </c>
      <c r="H327" s="28" t="s">
        <v>1611</v>
      </c>
      <c r="I327" s="27" t="s">
        <v>4</v>
      </c>
      <c r="J327" s="31" t="s">
        <v>40</v>
      </c>
      <c r="K327" s="27" t="s">
        <v>70</v>
      </c>
      <c r="L327" s="27" t="s">
        <v>999</v>
      </c>
      <c r="M327" s="32"/>
    </row>
    <row r="328" spans="1:13" ht="15.2" customHeight="1" x14ac:dyDescent="0.2">
      <c r="A328" s="26" t="s">
        <v>7260</v>
      </c>
      <c r="B328" s="27" t="s">
        <v>7261</v>
      </c>
      <c r="C328" s="28">
        <v>1</v>
      </c>
      <c r="D328" s="29">
        <v>20</v>
      </c>
      <c r="E328" s="29">
        <v>20</v>
      </c>
      <c r="F328" s="30">
        <v>49.99</v>
      </c>
      <c r="G328" s="29">
        <v>49.99</v>
      </c>
      <c r="H328" s="28" t="s">
        <v>972</v>
      </c>
      <c r="I328" s="27" t="s">
        <v>291</v>
      </c>
      <c r="J328" s="31" t="s">
        <v>23</v>
      </c>
      <c r="K328" s="27" t="s">
        <v>70</v>
      </c>
      <c r="L328" s="27" t="s">
        <v>25</v>
      </c>
      <c r="M328" s="32"/>
    </row>
    <row r="329" spans="1:13" ht="15.2" customHeight="1" x14ac:dyDescent="0.2">
      <c r="A329" s="26" t="s">
        <v>2730</v>
      </c>
      <c r="B329" s="27" t="s">
        <v>1994</v>
      </c>
      <c r="C329" s="28">
        <v>1</v>
      </c>
      <c r="D329" s="29">
        <v>19.8</v>
      </c>
      <c r="E329" s="29">
        <v>19.8</v>
      </c>
      <c r="F329" s="30">
        <v>49.5</v>
      </c>
      <c r="G329" s="29">
        <v>49.5</v>
      </c>
      <c r="H329" s="28" t="s">
        <v>1995</v>
      </c>
      <c r="I329" s="27" t="s">
        <v>59</v>
      </c>
      <c r="J329" s="31" t="s">
        <v>40</v>
      </c>
      <c r="K329" s="27" t="s">
        <v>27</v>
      </c>
      <c r="L329" s="27" t="s">
        <v>28</v>
      </c>
      <c r="M329" s="32"/>
    </row>
    <row r="330" spans="1:13" ht="15.2" customHeight="1" x14ac:dyDescent="0.2">
      <c r="A330" s="26" t="s">
        <v>2428</v>
      </c>
      <c r="B330" s="27" t="s">
        <v>2429</v>
      </c>
      <c r="C330" s="28">
        <v>1</v>
      </c>
      <c r="D330" s="29">
        <v>19</v>
      </c>
      <c r="E330" s="29">
        <v>19</v>
      </c>
      <c r="F330" s="30">
        <v>49.5</v>
      </c>
      <c r="G330" s="29">
        <v>49.5</v>
      </c>
      <c r="H330" s="28" t="s">
        <v>978</v>
      </c>
      <c r="I330" s="27" t="s">
        <v>20</v>
      </c>
      <c r="J330" s="31" t="s">
        <v>5</v>
      </c>
      <c r="K330" s="27" t="s">
        <v>17</v>
      </c>
      <c r="L330" s="27" t="s">
        <v>18</v>
      </c>
      <c r="M330" s="32"/>
    </row>
    <row r="331" spans="1:13" ht="15.2" customHeight="1" x14ac:dyDescent="0.2">
      <c r="A331" s="26" t="s">
        <v>7262</v>
      </c>
      <c r="B331" s="27" t="s">
        <v>7263</v>
      </c>
      <c r="C331" s="28">
        <v>1</v>
      </c>
      <c r="D331" s="29">
        <v>19</v>
      </c>
      <c r="E331" s="29">
        <v>19</v>
      </c>
      <c r="F331" s="30">
        <v>49.5</v>
      </c>
      <c r="G331" s="29">
        <v>49.5</v>
      </c>
      <c r="H331" s="28" t="s">
        <v>7264</v>
      </c>
      <c r="I331" s="27" t="s">
        <v>94</v>
      </c>
      <c r="J331" s="31" t="s">
        <v>71</v>
      </c>
      <c r="K331" s="27" t="s">
        <v>17</v>
      </c>
      <c r="L331" s="27" t="s">
        <v>18</v>
      </c>
      <c r="M331" s="32"/>
    </row>
    <row r="332" spans="1:13" ht="15.2" customHeight="1" x14ac:dyDescent="0.2">
      <c r="A332" s="26" t="s">
        <v>7265</v>
      </c>
      <c r="B332" s="27" t="s">
        <v>7266</v>
      </c>
      <c r="C332" s="28">
        <v>1</v>
      </c>
      <c r="D332" s="29">
        <v>19</v>
      </c>
      <c r="E332" s="29">
        <v>19</v>
      </c>
      <c r="F332" s="30">
        <v>49.5</v>
      </c>
      <c r="G332" s="29">
        <v>49.5</v>
      </c>
      <c r="H332" s="28" t="s">
        <v>978</v>
      </c>
      <c r="I332" s="27" t="s">
        <v>20</v>
      </c>
      <c r="J332" s="31" t="s">
        <v>52</v>
      </c>
      <c r="K332" s="27" t="s">
        <v>17</v>
      </c>
      <c r="L332" s="27" t="s">
        <v>18</v>
      </c>
      <c r="M332" s="32"/>
    </row>
    <row r="333" spans="1:13" ht="15.2" customHeight="1" x14ac:dyDescent="0.2">
      <c r="A333" s="26" t="s">
        <v>7267</v>
      </c>
      <c r="B333" s="27" t="s">
        <v>7268</v>
      </c>
      <c r="C333" s="28">
        <v>1</v>
      </c>
      <c r="D333" s="29">
        <v>19</v>
      </c>
      <c r="E333" s="29">
        <v>19</v>
      </c>
      <c r="F333" s="30">
        <v>49.5</v>
      </c>
      <c r="G333" s="29">
        <v>49.5</v>
      </c>
      <c r="H333" s="28" t="s">
        <v>978</v>
      </c>
      <c r="I333" s="27" t="s">
        <v>20</v>
      </c>
      <c r="J333" s="31" t="s">
        <v>40</v>
      </c>
      <c r="K333" s="27" t="s">
        <v>17</v>
      </c>
      <c r="L333" s="27" t="s">
        <v>18</v>
      </c>
      <c r="M333" s="32"/>
    </row>
    <row r="334" spans="1:13" ht="15.2" customHeight="1" x14ac:dyDescent="0.2">
      <c r="A334" s="26" t="s">
        <v>7269</v>
      </c>
      <c r="B334" s="27" t="s">
        <v>7270</v>
      </c>
      <c r="C334" s="28">
        <v>1</v>
      </c>
      <c r="D334" s="29">
        <v>18.75</v>
      </c>
      <c r="E334" s="29">
        <v>18.75</v>
      </c>
      <c r="F334" s="30">
        <v>46.99</v>
      </c>
      <c r="G334" s="29">
        <v>46.99</v>
      </c>
      <c r="H334" s="28" t="s">
        <v>1617</v>
      </c>
      <c r="I334" s="27" t="s">
        <v>59</v>
      </c>
      <c r="J334" s="31" t="s">
        <v>210</v>
      </c>
      <c r="K334" s="27" t="s">
        <v>70</v>
      </c>
      <c r="L334" s="27" t="s">
        <v>701</v>
      </c>
      <c r="M334" s="32"/>
    </row>
    <row r="335" spans="1:13" ht="15.2" customHeight="1" x14ac:dyDescent="0.2">
      <c r="A335" s="26" t="s">
        <v>981</v>
      </c>
      <c r="B335" s="27" t="s">
        <v>982</v>
      </c>
      <c r="C335" s="28">
        <v>1</v>
      </c>
      <c r="D335" s="29">
        <v>18.420000000000002</v>
      </c>
      <c r="E335" s="29">
        <v>18.420000000000002</v>
      </c>
      <c r="F335" s="30">
        <v>49.5</v>
      </c>
      <c r="G335" s="29">
        <v>49.5</v>
      </c>
      <c r="H335" s="28" t="s">
        <v>983</v>
      </c>
      <c r="I335" s="27" t="s">
        <v>4</v>
      </c>
      <c r="J335" s="31" t="s">
        <v>40</v>
      </c>
      <c r="K335" s="27" t="s">
        <v>53</v>
      </c>
      <c r="L335" s="27" t="s">
        <v>54</v>
      </c>
      <c r="M335" s="32"/>
    </row>
    <row r="336" spans="1:13" ht="15.2" customHeight="1" x14ac:dyDescent="0.2">
      <c r="A336" s="26" t="s">
        <v>4859</v>
      </c>
      <c r="B336" s="27" t="s">
        <v>494</v>
      </c>
      <c r="C336" s="28">
        <v>1</v>
      </c>
      <c r="D336" s="29">
        <v>18.07</v>
      </c>
      <c r="E336" s="29">
        <v>18.07</v>
      </c>
      <c r="F336" s="30">
        <v>49.5</v>
      </c>
      <c r="G336" s="29">
        <v>49.5</v>
      </c>
      <c r="H336" s="28" t="s">
        <v>495</v>
      </c>
      <c r="I336" s="27" t="s">
        <v>82</v>
      </c>
      <c r="J336" s="31" t="s">
        <v>71</v>
      </c>
      <c r="K336" s="27" t="s">
        <v>41</v>
      </c>
      <c r="L336" s="27" t="s">
        <v>45</v>
      </c>
      <c r="M336" s="32"/>
    </row>
    <row r="337" spans="1:13" ht="15.2" customHeight="1" x14ac:dyDescent="0.2">
      <c r="A337" s="26" t="s">
        <v>2000</v>
      </c>
      <c r="B337" s="27" t="s">
        <v>985</v>
      </c>
      <c r="C337" s="28">
        <v>1</v>
      </c>
      <c r="D337" s="29">
        <v>18.04</v>
      </c>
      <c r="E337" s="29">
        <v>18.04</v>
      </c>
      <c r="F337" s="30">
        <v>49.5</v>
      </c>
      <c r="G337" s="29">
        <v>49.5</v>
      </c>
      <c r="H337" s="28" t="s">
        <v>986</v>
      </c>
      <c r="I337" s="27" t="s">
        <v>82</v>
      </c>
      <c r="J337" s="31" t="s">
        <v>21</v>
      </c>
      <c r="K337" s="27" t="s">
        <v>41</v>
      </c>
      <c r="L337" s="27" t="s">
        <v>45</v>
      </c>
      <c r="M337" s="32"/>
    </row>
    <row r="338" spans="1:13" ht="15.2" customHeight="1" x14ac:dyDescent="0.2">
      <c r="A338" s="26" t="s">
        <v>2446</v>
      </c>
      <c r="B338" s="27" t="s">
        <v>2442</v>
      </c>
      <c r="C338" s="28">
        <v>2</v>
      </c>
      <c r="D338" s="29">
        <v>17.72</v>
      </c>
      <c r="E338" s="29">
        <v>35.44</v>
      </c>
      <c r="F338" s="30">
        <v>49.5</v>
      </c>
      <c r="G338" s="29">
        <v>99</v>
      </c>
      <c r="H338" s="28" t="s">
        <v>2443</v>
      </c>
      <c r="I338" s="27" t="s">
        <v>4</v>
      </c>
      <c r="J338" s="31" t="s">
        <v>21</v>
      </c>
      <c r="K338" s="27" t="s">
        <v>53</v>
      </c>
      <c r="L338" s="27" t="s">
        <v>54</v>
      </c>
      <c r="M338" s="32"/>
    </row>
    <row r="339" spans="1:13" ht="15.2" customHeight="1" x14ac:dyDescent="0.2">
      <c r="A339" s="26" t="s">
        <v>7271</v>
      </c>
      <c r="B339" s="27" t="s">
        <v>7272</v>
      </c>
      <c r="C339" s="28">
        <v>1</v>
      </c>
      <c r="D339" s="29">
        <v>17</v>
      </c>
      <c r="E339" s="29">
        <v>17</v>
      </c>
      <c r="F339" s="30">
        <v>59</v>
      </c>
      <c r="G339" s="29">
        <v>59</v>
      </c>
      <c r="H339" s="28" t="s">
        <v>995</v>
      </c>
      <c r="I339" s="27" t="s">
        <v>82</v>
      </c>
      <c r="J339" s="31" t="s">
        <v>71</v>
      </c>
      <c r="K339" s="27" t="s">
        <v>154</v>
      </c>
      <c r="L339" s="27" t="s">
        <v>155</v>
      </c>
      <c r="M339" s="32"/>
    </row>
    <row r="340" spans="1:13" ht="15.2" customHeight="1" x14ac:dyDescent="0.2">
      <c r="A340" s="26" t="s">
        <v>7273</v>
      </c>
      <c r="B340" s="27" t="s">
        <v>7274</v>
      </c>
      <c r="C340" s="28">
        <v>1</v>
      </c>
      <c r="D340" s="29">
        <v>17</v>
      </c>
      <c r="E340" s="29">
        <v>17</v>
      </c>
      <c r="F340" s="30">
        <v>41.99</v>
      </c>
      <c r="G340" s="29">
        <v>41.99</v>
      </c>
      <c r="H340" s="28" t="s">
        <v>7275</v>
      </c>
      <c r="I340" s="27" t="s">
        <v>94</v>
      </c>
      <c r="J340" s="31" t="s">
        <v>5</v>
      </c>
      <c r="K340" s="27" t="s">
        <v>70</v>
      </c>
      <c r="L340" s="27" t="s">
        <v>101</v>
      </c>
      <c r="M340" s="32"/>
    </row>
    <row r="341" spans="1:13" ht="15.2" customHeight="1" x14ac:dyDescent="0.2">
      <c r="A341" s="26" t="s">
        <v>7276</v>
      </c>
      <c r="B341" s="27" t="s">
        <v>7277</v>
      </c>
      <c r="C341" s="28">
        <v>1</v>
      </c>
      <c r="D341" s="29">
        <v>17</v>
      </c>
      <c r="E341" s="29">
        <v>17</v>
      </c>
      <c r="F341" s="30">
        <v>54.99</v>
      </c>
      <c r="G341" s="29">
        <v>54.99</v>
      </c>
      <c r="H341" s="28" t="s">
        <v>4662</v>
      </c>
      <c r="I341" s="27" t="s">
        <v>4</v>
      </c>
      <c r="J341" s="31" t="s">
        <v>21</v>
      </c>
      <c r="K341" s="27" t="s">
        <v>70</v>
      </c>
      <c r="L341" s="27" t="s">
        <v>999</v>
      </c>
      <c r="M341" s="32"/>
    </row>
    <row r="342" spans="1:13" ht="15.2" customHeight="1" x14ac:dyDescent="0.2">
      <c r="A342" s="26" t="s">
        <v>7278</v>
      </c>
      <c r="B342" s="27" t="s">
        <v>7279</v>
      </c>
      <c r="C342" s="28">
        <v>1</v>
      </c>
      <c r="D342" s="29">
        <v>17</v>
      </c>
      <c r="E342" s="29">
        <v>17</v>
      </c>
      <c r="F342" s="30">
        <v>41.99</v>
      </c>
      <c r="G342" s="29">
        <v>41.99</v>
      </c>
      <c r="H342" s="28">
        <v>1163236</v>
      </c>
      <c r="I342" s="27" t="s">
        <v>152</v>
      </c>
      <c r="J342" s="31" t="s">
        <v>21</v>
      </c>
      <c r="K342" s="27" t="s">
        <v>70</v>
      </c>
      <c r="L342" s="27" t="s">
        <v>155</v>
      </c>
      <c r="M342" s="32"/>
    </row>
    <row r="343" spans="1:13" ht="15.2" customHeight="1" x14ac:dyDescent="0.2">
      <c r="A343" s="26" t="s">
        <v>7280</v>
      </c>
      <c r="B343" s="27" t="s">
        <v>7281</v>
      </c>
      <c r="C343" s="28">
        <v>1</v>
      </c>
      <c r="D343" s="29">
        <v>17</v>
      </c>
      <c r="E343" s="29">
        <v>17</v>
      </c>
      <c r="F343" s="30">
        <v>44.5</v>
      </c>
      <c r="G343" s="29">
        <v>44.5</v>
      </c>
      <c r="H343" s="28" t="s">
        <v>7282</v>
      </c>
      <c r="I343" s="27" t="s">
        <v>82</v>
      </c>
      <c r="J343" s="31" t="s">
        <v>71</v>
      </c>
      <c r="K343" s="27" t="s">
        <v>17</v>
      </c>
      <c r="L343" s="27" t="s">
        <v>18</v>
      </c>
      <c r="M343" s="32"/>
    </row>
    <row r="344" spans="1:13" ht="15.2" customHeight="1" x14ac:dyDescent="0.2">
      <c r="A344" s="26" t="s">
        <v>4032</v>
      </c>
      <c r="B344" s="27" t="s">
        <v>4033</v>
      </c>
      <c r="C344" s="28">
        <v>1</v>
      </c>
      <c r="D344" s="29">
        <v>16.91</v>
      </c>
      <c r="E344" s="29">
        <v>16.91</v>
      </c>
      <c r="F344" s="30">
        <v>39.5</v>
      </c>
      <c r="G344" s="29">
        <v>39.5</v>
      </c>
      <c r="H344" s="28" t="s">
        <v>3528</v>
      </c>
      <c r="I344" s="27" t="s">
        <v>4</v>
      </c>
      <c r="J344" s="31" t="s">
        <v>40</v>
      </c>
      <c r="K344" s="27" t="s">
        <v>53</v>
      </c>
      <c r="L344" s="27" t="s">
        <v>54</v>
      </c>
      <c r="M344" s="32"/>
    </row>
    <row r="345" spans="1:13" ht="15.2" customHeight="1" x14ac:dyDescent="0.2">
      <c r="A345" s="26" t="s">
        <v>4666</v>
      </c>
      <c r="B345" s="27" t="s">
        <v>4667</v>
      </c>
      <c r="C345" s="28">
        <v>1</v>
      </c>
      <c r="D345" s="29">
        <v>16.91</v>
      </c>
      <c r="E345" s="29">
        <v>16.91</v>
      </c>
      <c r="F345" s="30">
        <v>39.5</v>
      </c>
      <c r="G345" s="29">
        <v>39.5</v>
      </c>
      <c r="H345" s="28" t="s">
        <v>3528</v>
      </c>
      <c r="I345" s="27" t="s">
        <v>4</v>
      </c>
      <c r="J345" s="31" t="s">
        <v>5</v>
      </c>
      <c r="K345" s="27" t="s">
        <v>53</v>
      </c>
      <c r="L345" s="27" t="s">
        <v>54</v>
      </c>
      <c r="M345" s="32"/>
    </row>
    <row r="346" spans="1:13" ht="15.2" customHeight="1" x14ac:dyDescent="0.2">
      <c r="A346" s="26" t="s">
        <v>7283</v>
      </c>
      <c r="B346" s="27" t="s">
        <v>505</v>
      </c>
      <c r="C346" s="28">
        <v>1</v>
      </c>
      <c r="D346" s="29">
        <v>16.88</v>
      </c>
      <c r="E346" s="29">
        <v>16.88</v>
      </c>
      <c r="F346" s="30">
        <v>49.5</v>
      </c>
      <c r="G346" s="29">
        <v>49.5</v>
      </c>
      <c r="H346" s="28" t="s">
        <v>506</v>
      </c>
      <c r="I346" s="27" t="s">
        <v>2956</v>
      </c>
      <c r="J346" s="31" t="s">
        <v>71</v>
      </c>
      <c r="K346" s="27" t="s">
        <v>53</v>
      </c>
      <c r="L346" s="27" t="s">
        <v>167</v>
      </c>
      <c r="M346" s="32"/>
    </row>
    <row r="347" spans="1:13" ht="15.2" customHeight="1" x14ac:dyDescent="0.2">
      <c r="A347" s="26" t="s">
        <v>3530</v>
      </c>
      <c r="B347" s="27" t="s">
        <v>3531</v>
      </c>
      <c r="C347" s="28">
        <v>1</v>
      </c>
      <c r="D347" s="29">
        <v>16.739999999999998</v>
      </c>
      <c r="E347" s="29">
        <v>16.739999999999998</v>
      </c>
      <c r="F347" s="30">
        <v>49</v>
      </c>
      <c r="G347" s="29">
        <v>49</v>
      </c>
      <c r="H347" s="28" t="s">
        <v>1002</v>
      </c>
      <c r="I347" s="27" t="s">
        <v>291</v>
      </c>
      <c r="J347" s="31" t="s">
        <v>40</v>
      </c>
      <c r="K347" s="27" t="s">
        <v>510</v>
      </c>
      <c r="L347" s="27" t="s">
        <v>511</v>
      </c>
      <c r="M347" s="32"/>
    </row>
    <row r="348" spans="1:13" ht="15.2" customHeight="1" x14ac:dyDescent="0.2">
      <c r="A348" s="26" t="s">
        <v>4038</v>
      </c>
      <c r="B348" s="27" t="s">
        <v>4039</v>
      </c>
      <c r="C348" s="28">
        <v>1</v>
      </c>
      <c r="D348" s="29">
        <v>16.739999999999998</v>
      </c>
      <c r="E348" s="29">
        <v>16.739999999999998</v>
      </c>
      <c r="F348" s="30">
        <v>49</v>
      </c>
      <c r="G348" s="29">
        <v>49</v>
      </c>
      <c r="H348" s="28" t="s">
        <v>1002</v>
      </c>
      <c r="I348" s="27" t="s">
        <v>291</v>
      </c>
      <c r="J348" s="31" t="s">
        <v>52</v>
      </c>
      <c r="K348" s="27" t="s">
        <v>510</v>
      </c>
      <c r="L348" s="27" t="s">
        <v>511</v>
      </c>
      <c r="M348" s="32"/>
    </row>
    <row r="349" spans="1:13" ht="15.2" customHeight="1" x14ac:dyDescent="0.2">
      <c r="A349" s="26" t="s">
        <v>7284</v>
      </c>
      <c r="B349" s="27" t="s">
        <v>7285</v>
      </c>
      <c r="C349" s="28">
        <v>1</v>
      </c>
      <c r="D349" s="29">
        <v>16.5</v>
      </c>
      <c r="E349" s="29">
        <v>16.5</v>
      </c>
      <c r="F349" s="30">
        <v>39.99</v>
      </c>
      <c r="G349" s="29">
        <v>39.99</v>
      </c>
      <c r="H349" s="28" t="s">
        <v>3539</v>
      </c>
      <c r="I349" s="27" t="s">
        <v>1280</v>
      </c>
      <c r="J349" s="31" t="s">
        <v>52</v>
      </c>
      <c r="K349" s="27" t="s">
        <v>70</v>
      </c>
      <c r="L349" s="27" t="s">
        <v>701</v>
      </c>
      <c r="M349" s="32"/>
    </row>
    <row r="350" spans="1:13" ht="15.2" customHeight="1" x14ac:dyDescent="0.2">
      <c r="A350" s="26" t="s">
        <v>1624</v>
      </c>
      <c r="B350" s="27" t="s">
        <v>1625</v>
      </c>
      <c r="C350" s="28">
        <v>1</v>
      </c>
      <c r="D350" s="29">
        <v>16.329999999999998</v>
      </c>
      <c r="E350" s="29">
        <v>16.329999999999998</v>
      </c>
      <c r="F350" s="30">
        <v>44.5</v>
      </c>
      <c r="G350" s="29">
        <v>44.5</v>
      </c>
      <c r="H350" s="28" t="s">
        <v>1626</v>
      </c>
      <c r="I350" s="27" t="s">
        <v>271</v>
      </c>
      <c r="J350" s="31" t="s">
        <v>71</v>
      </c>
      <c r="K350" s="27" t="s">
        <v>53</v>
      </c>
      <c r="L350" s="27" t="s">
        <v>54</v>
      </c>
      <c r="M350" s="32"/>
    </row>
    <row r="351" spans="1:13" ht="15.2" customHeight="1" x14ac:dyDescent="0.2">
      <c r="A351" s="26" t="s">
        <v>7286</v>
      </c>
      <c r="B351" s="27" t="s">
        <v>7287</v>
      </c>
      <c r="C351" s="28">
        <v>1</v>
      </c>
      <c r="D351" s="29">
        <v>15.9</v>
      </c>
      <c r="E351" s="29">
        <v>15.9</v>
      </c>
      <c r="F351" s="30">
        <v>59</v>
      </c>
      <c r="G351" s="29">
        <v>59</v>
      </c>
      <c r="H351" s="28" t="s">
        <v>7288</v>
      </c>
      <c r="I351" s="27" t="s">
        <v>26</v>
      </c>
      <c r="J351" s="31" t="s">
        <v>30</v>
      </c>
      <c r="K351" s="27" t="s">
        <v>132</v>
      </c>
      <c r="L351" s="27" t="s">
        <v>514</v>
      </c>
      <c r="M351" s="32"/>
    </row>
    <row r="352" spans="1:13" ht="15.2" customHeight="1" x14ac:dyDescent="0.2">
      <c r="A352" s="26" t="s">
        <v>7289</v>
      </c>
      <c r="B352" s="27" t="s">
        <v>2739</v>
      </c>
      <c r="C352" s="28">
        <v>1</v>
      </c>
      <c r="D352" s="29">
        <v>15.87</v>
      </c>
      <c r="E352" s="29">
        <v>15.87</v>
      </c>
      <c r="F352" s="30">
        <v>44.5</v>
      </c>
      <c r="G352" s="29">
        <v>44.5</v>
      </c>
      <c r="H352" s="28" t="s">
        <v>2740</v>
      </c>
      <c r="I352" s="27" t="s">
        <v>10</v>
      </c>
      <c r="J352" s="31" t="s">
        <v>2550</v>
      </c>
      <c r="K352" s="27" t="s">
        <v>41</v>
      </c>
      <c r="L352" s="27" t="s">
        <v>45</v>
      </c>
      <c r="M352" s="32"/>
    </row>
    <row r="353" spans="1:13" ht="15.2" customHeight="1" x14ac:dyDescent="0.2">
      <c r="A353" s="26" t="s">
        <v>2010</v>
      </c>
      <c r="B353" s="27" t="s">
        <v>2011</v>
      </c>
      <c r="C353" s="28">
        <v>1</v>
      </c>
      <c r="D353" s="29">
        <v>15.8</v>
      </c>
      <c r="E353" s="29">
        <v>15.8</v>
      </c>
      <c r="F353" s="30">
        <v>39.5</v>
      </c>
      <c r="G353" s="29">
        <v>39.5</v>
      </c>
      <c r="H353" s="28" t="s">
        <v>2012</v>
      </c>
      <c r="I353" s="27" t="s">
        <v>144</v>
      </c>
      <c r="J353" s="31" t="s">
        <v>40</v>
      </c>
      <c r="K353" s="27" t="s">
        <v>27</v>
      </c>
      <c r="L353" s="27" t="s">
        <v>28</v>
      </c>
      <c r="M353" s="32"/>
    </row>
    <row r="354" spans="1:13" ht="15.2" customHeight="1" x14ac:dyDescent="0.2">
      <c r="A354" s="26" t="s">
        <v>6077</v>
      </c>
      <c r="B354" s="27" t="s">
        <v>1009</v>
      </c>
      <c r="C354" s="28">
        <v>1</v>
      </c>
      <c r="D354" s="29">
        <v>15</v>
      </c>
      <c r="E354" s="29">
        <v>15</v>
      </c>
      <c r="F354" s="30">
        <v>39.5</v>
      </c>
      <c r="G354" s="29">
        <v>39.5</v>
      </c>
      <c r="H354" s="28" t="s">
        <v>1010</v>
      </c>
      <c r="I354" s="27" t="s">
        <v>189</v>
      </c>
      <c r="J354" s="31" t="s">
        <v>40</v>
      </c>
      <c r="K354" s="27" t="s">
        <v>17</v>
      </c>
      <c r="L354" s="27" t="s">
        <v>18</v>
      </c>
      <c r="M354" s="32"/>
    </row>
    <row r="355" spans="1:13" ht="15.2" customHeight="1" x14ac:dyDescent="0.2">
      <c r="A355" s="26" t="s">
        <v>7290</v>
      </c>
      <c r="B355" s="27" t="s">
        <v>7291</v>
      </c>
      <c r="C355" s="28">
        <v>1</v>
      </c>
      <c r="D355" s="29">
        <v>15</v>
      </c>
      <c r="E355" s="29">
        <v>15</v>
      </c>
      <c r="F355" s="30">
        <v>39.5</v>
      </c>
      <c r="G355" s="29">
        <v>39.5</v>
      </c>
      <c r="H355" s="28" t="s">
        <v>1634</v>
      </c>
      <c r="I355" s="27" t="s">
        <v>280</v>
      </c>
      <c r="J355" s="31" t="s">
        <v>21</v>
      </c>
      <c r="K355" s="27" t="s">
        <v>17</v>
      </c>
      <c r="L355" s="27" t="s">
        <v>18</v>
      </c>
      <c r="M355" s="32"/>
    </row>
    <row r="356" spans="1:13" ht="15.2" customHeight="1" x14ac:dyDescent="0.2">
      <c r="A356" s="26" t="s">
        <v>4670</v>
      </c>
      <c r="B356" s="27" t="s">
        <v>1012</v>
      </c>
      <c r="C356" s="28">
        <v>1</v>
      </c>
      <c r="D356" s="29">
        <v>14.65</v>
      </c>
      <c r="E356" s="29">
        <v>14.65</v>
      </c>
      <c r="F356" s="30">
        <v>34.99</v>
      </c>
      <c r="G356" s="29">
        <v>34.99</v>
      </c>
      <c r="H356" s="28" t="s">
        <v>1013</v>
      </c>
      <c r="I356" s="27" t="s">
        <v>4</v>
      </c>
      <c r="J356" s="31" t="s">
        <v>71</v>
      </c>
      <c r="K356" s="27" t="s">
        <v>159</v>
      </c>
      <c r="L356" s="27" t="s">
        <v>160</v>
      </c>
      <c r="M356" s="32"/>
    </row>
    <row r="357" spans="1:13" ht="15.2" customHeight="1" x14ac:dyDescent="0.2">
      <c r="A357" s="26" t="s">
        <v>1011</v>
      </c>
      <c r="B357" s="27" t="s">
        <v>1012</v>
      </c>
      <c r="C357" s="28">
        <v>5</v>
      </c>
      <c r="D357" s="29">
        <v>14.65</v>
      </c>
      <c r="E357" s="29">
        <v>73.25</v>
      </c>
      <c r="F357" s="30">
        <v>34.99</v>
      </c>
      <c r="G357" s="29">
        <v>174.95</v>
      </c>
      <c r="H357" s="28" t="s">
        <v>1013</v>
      </c>
      <c r="I357" s="27" t="s">
        <v>4</v>
      </c>
      <c r="J357" s="31" t="s">
        <v>5</v>
      </c>
      <c r="K357" s="27" t="s">
        <v>159</v>
      </c>
      <c r="L357" s="27" t="s">
        <v>160</v>
      </c>
      <c r="M357" s="32"/>
    </row>
    <row r="358" spans="1:13" ht="15.2" customHeight="1" x14ac:dyDescent="0.2">
      <c r="A358" s="26" t="s">
        <v>5843</v>
      </c>
      <c r="B358" s="27" t="s">
        <v>1012</v>
      </c>
      <c r="C358" s="28">
        <v>1</v>
      </c>
      <c r="D358" s="29">
        <v>14.65</v>
      </c>
      <c r="E358" s="29">
        <v>14.65</v>
      </c>
      <c r="F358" s="30">
        <v>34.99</v>
      </c>
      <c r="G358" s="29">
        <v>34.99</v>
      </c>
      <c r="H358" s="28" t="s">
        <v>1013</v>
      </c>
      <c r="I358" s="27" t="s">
        <v>4</v>
      </c>
      <c r="J358" s="31" t="s">
        <v>40</v>
      </c>
      <c r="K358" s="27" t="s">
        <v>159</v>
      </c>
      <c r="L358" s="27" t="s">
        <v>160</v>
      </c>
      <c r="M358" s="32"/>
    </row>
    <row r="359" spans="1:13" ht="15.2" customHeight="1" x14ac:dyDescent="0.2">
      <c r="A359" s="26" t="s">
        <v>7292</v>
      </c>
      <c r="B359" s="27" t="s">
        <v>4671</v>
      </c>
      <c r="C359" s="28">
        <v>1</v>
      </c>
      <c r="D359" s="29">
        <v>14.65</v>
      </c>
      <c r="E359" s="29">
        <v>14.65</v>
      </c>
      <c r="F359" s="30">
        <v>34.99</v>
      </c>
      <c r="G359" s="29">
        <v>34.99</v>
      </c>
      <c r="H359" s="28" t="s">
        <v>4672</v>
      </c>
      <c r="I359" s="27" t="s">
        <v>1</v>
      </c>
      <c r="J359" s="31" t="s">
        <v>52</v>
      </c>
      <c r="K359" s="27" t="s">
        <v>159</v>
      </c>
      <c r="L359" s="27" t="s">
        <v>160</v>
      </c>
      <c r="M359" s="32"/>
    </row>
    <row r="360" spans="1:13" ht="15.2" customHeight="1" x14ac:dyDescent="0.2">
      <c r="A360" s="26" t="s">
        <v>1638</v>
      </c>
      <c r="B360" s="27" t="s">
        <v>1012</v>
      </c>
      <c r="C360" s="28">
        <v>2</v>
      </c>
      <c r="D360" s="29">
        <v>14.65</v>
      </c>
      <c r="E360" s="29">
        <v>29.3</v>
      </c>
      <c r="F360" s="30">
        <v>34.99</v>
      </c>
      <c r="G360" s="29">
        <v>69.98</v>
      </c>
      <c r="H360" s="28" t="s">
        <v>1013</v>
      </c>
      <c r="I360" s="27" t="s">
        <v>4</v>
      </c>
      <c r="J360" s="31" t="s">
        <v>21</v>
      </c>
      <c r="K360" s="27" t="s">
        <v>159</v>
      </c>
      <c r="L360" s="27" t="s">
        <v>160</v>
      </c>
      <c r="M360" s="32"/>
    </row>
    <row r="361" spans="1:13" ht="15.2" customHeight="1" x14ac:dyDescent="0.2">
      <c r="A361" s="26" t="s">
        <v>1014</v>
      </c>
      <c r="B361" s="27" t="s">
        <v>1012</v>
      </c>
      <c r="C361" s="28">
        <v>1</v>
      </c>
      <c r="D361" s="29">
        <v>14.65</v>
      </c>
      <c r="E361" s="29">
        <v>14.65</v>
      </c>
      <c r="F361" s="30">
        <v>34.99</v>
      </c>
      <c r="G361" s="29">
        <v>34.99</v>
      </c>
      <c r="H361" s="28" t="s">
        <v>1013</v>
      </c>
      <c r="I361" s="27" t="s">
        <v>4</v>
      </c>
      <c r="J361" s="31" t="s">
        <v>52</v>
      </c>
      <c r="K361" s="27" t="s">
        <v>159</v>
      </c>
      <c r="L361" s="27" t="s">
        <v>160</v>
      </c>
      <c r="M361" s="32"/>
    </row>
    <row r="362" spans="1:13" ht="15.2" customHeight="1" x14ac:dyDescent="0.2">
      <c r="A362" s="26" t="s">
        <v>7293</v>
      </c>
      <c r="B362" s="27" t="s">
        <v>7294</v>
      </c>
      <c r="C362" s="28">
        <v>1</v>
      </c>
      <c r="D362" s="29">
        <v>14.5</v>
      </c>
      <c r="E362" s="29">
        <v>14.5</v>
      </c>
      <c r="F362" s="30">
        <v>39.5</v>
      </c>
      <c r="G362" s="29">
        <v>39.5</v>
      </c>
      <c r="H362" s="28" t="s">
        <v>524</v>
      </c>
      <c r="I362" s="27" t="s">
        <v>4</v>
      </c>
      <c r="J362" s="31" t="s">
        <v>71</v>
      </c>
      <c r="K362" s="27" t="s">
        <v>53</v>
      </c>
      <c r="L362" s="27" t="s">
        <v>54</v>
      </c>
      <c r="M362" s="32"/>
    </row>
    <row r="363" spans="1:13" ht="15.2" customHeight="1" x14ac:dyDescent="0.2">
      <c r="A363" s="26" t="s">
        <v>6308</v>
      </c>
      <c r="B363" s="27" t="s">
        <v>6309</v>
      </c>
      <c r="C363" s="28">
        <v>1</v>
      </c>
      <c r="D363" s="29">
        <v>14.45</v>
      </c>
      <c r="E363" s="29">
        <v>14.45</v>
      </c>
      <c r="F363" s="30">
        <v>39.5</v>
      </c>
      <c r="G363" s="29">
        <v>39.5</v>
      </c>
      <c r="H363" s="28" t="s">
        <v>2457</v>
      </c>
      <c r="I363" s="27" t="s">
        <v>291</v>
      </c>
      <c r="J363" s="31" t="s">
        <v>71</v>
      </c>
      <c r="K363" s="27" t="s">
        <v>53</v>
      </c>
      <c r="L363" s="27" t="s">
        <v>54</v>
      </c>
      <c r="M363" s="32"/>
    </row>
    <row r="364" spans="1:13" ht="15.2" customHeight="1" x14ac:dyDescent="0.2">
      <c r="A364" s="26" t="s">
        <v>547</v>
      </c>
      <c r="B364" s="27" t="s">
        <v>528</v>
      </c>
      <c r="C364" s="28">
        <v>3</v>
      </c>
      <c r="D364" s="29">
        <v>14.42</v>
      </c>
      <c r="E364" s="29">
        <v>43.26</v>
      </c>
      <c r="F364" s="30">
        <v>39.5</v>
      </c>
      <c r="G364" s="29">
        <v>118.5</v>
      </c>
      <c r="H364" s="28" t="s">
        <v>529</v>
      </c>
      <c r="I364" s="27" t="s">
        <v>280</v>
      </c>
      <c r="J364" s="31" t="s">
        <v>71</v>
      </c>
      <c r="K364" s="27" t="s">
        <v>41</v>
      </c>
      <c r="L364" s="27" t="s">
        <v>45</v>
      </c>
      <c r="M364" s="32"/>
    </row>
    <row r="365" spans="1:13" ht="15.2" customHeight="1" x14ac:dyDescent="0.2">
      <c r="A365" s="26" t="s">
        <v>527</v>
      </c>
      <c r="B365" s="27" t="s">
        <v>528</v>
      </c>
      <c r="C365" s="28">
        <v>2</v>
      </c>
      <c r="D365" s="29">
        <v>14.42</v>
      </c>
      <c r="E365" s="29">
        <v>28.84</v>
      </c>
      <c r="F365" s="30">
        <v>39.5</v>
      </c>
      <c r="G365" s="29">
        <v>79</v>
      </c>
      <c r="H365" s="28" t="s">
        <v>529</v>
      </c>
      <c r="I365" s="27" t="s">
        <v>4</v>
      </c>
      <c r="J365" s="31" t="s">
        <v>21</v>
      </c>
      <c r="K365" s="27" t="s">
        <v>41</v>
      </c>
      <c r="L365" s="27" t="s">
        <v>45</v>
      </c>
      <c r="M365" s="32"/>
    </row>
    <row r="366" spans="1:13" ht="15.2" customHeight="1" x14ac:dyDescent="0.2">
      <c r="A366" s="26" t="s">
        <v>3563</v>
      </c>
      <c r="B366" s="27" t="s">
        <v>534</v>
      </c>
      <c r="C366" s="28">
        <v>1</v>
      </c>
      <c r="D366" s="29">
        <v>14.42</v>
      </c>
      <c r="E366" s="29">
        <v>14.42</v>
      </c>
      <c r="F366" s="30">
        <v>39.5</v>
      </c>
      <c r="G366" s="29">
        <v>39.5</v>
      </c>
      <c r="H366" s="28" t="s">
        <v>535</v>
      </c>
      <c r="I366" s="27" t="s">
        <v>94</v>
      </c>
      <c r="J366" s="31" t="s">
        <v>40</v>
      </c>
      <c r="K366" s="27" t="s">
        <v>41</v>
      </c>
      <c r="L366" s="27" t="s">
        <v>45</v>
      </c>
      <c r="M366" s="32"/>
    </row>
    <row r="367" spans="1:13" ht="15.2" customHeight="1" x14ac:dyDescent="0.2">
      <c r="A367" s="26" t="s">
        <v>2458</v>
      </c>
      <c r="B367" s="27" t="s">
        <v>528</v>
      </c>
      <c r="C367" s="28">
        <v>1</v>
      </c>
      <c r="D367" s="29">
        <v>14.42</v>
      </c>
      <c r="E367" s="29">
        <v>14.42</v>
      </c>
      <c r="F367" s="30">
        <v>39.5</v>
      </c>
      <c r="G367" s="29">
        <v>39.5</v>
      </c>
      <c r="H367" s="28" t="s">
        <v>529</v>
      </c>
      <c r="I367" s="27" t="s">
        <v>4</v>
      </c>
      <c r="J367" s="31" t="s">
        <v>52</v>
      </c>
      <c r="K367" s="27" t="s">
        <v>41</v>
      </c>
      <c r="L367" s="27" t="s">
        <v>45</v>
      </c>
      <c r="M367" s="32"/>
    </row>
    <row r="368" spans="1:13" ht="15.2" customHeight="1" x14ac:dyDescent="0.2">
      <c r="A368" s="26" t="s">
        <v>2749</v>
      </c>
      <c r="B368" s="27" t="s">
        <v>528</v>
      </c>
      <c r="C368" s="28">
        <v>1</v>
      </c>
      <c r="D368" s="29">
        <v>14.42</v>
      </c>
      <c r="E368" s="29">
        <v>14.42</v>
      </c>
      <c r="F368" s="30">
        <v>39.5</v>
      </c>
      <c r="G368" s="29">
        <v>39.5</v>
      </c>
      <c r="H368" s="28" t="s">
        <v>529</v>
      </c>
      <c r="I368" s="27" t="s">
        <v>4</v>
      </c>
      <c r="J368" s="31" t="s">
        <v>172</v>
      </c>
      <c r="K368" s="27" t="s">
        <v>41</v>
      </c>
      <c r="L368" s="27" t="s">
        <v>45</v>
      </c>
      <c r="M368" s="32"/>
    </row>
    <row r="369" spans="1:13" ht="15.2" customHeight="1" x14ac:dyDescent="0.2">
      <c r="A369" s="26" t="s">
        <v>7295</v>
      </c>
      <c r="B369" s="27" t="s">
        <v>7296</v>
      </c>
      <c r="C369" s="28">
        <v>1</v>
      </c>
      <c r="D369" s="29">
        <v>14.42</v>
      </c>
      <c r="E369" s="29">
        <v>14.42</v>
      </c>
      <c r="F369" s="30">
        <v>39.5</v>
      </c>
      <c r="G369" s="29">
        <v>39.5</v>
      </c>
      <c r="H369" s="28" t="s">
        <v>6317</v>
      </c>
      <c r="I369" s="27" t="s">
        <v>26</v>
      </c>
      <c r="J369" s="31" t="s">
        <v>5</v>
      </c>
      <c r="K369" s="27" t="s">
        <v>41</v>
      </c>
      <c r="L369" s="27" t="s">
        <v>90</v>
      </c>
      <c r="M369" s="32"/>
    </row>
    <row r="370" spans="1:13" ht="15.2" customHeight="1" x14ac:dyDescent="0.2">
      <c r="A370" s="26" t="s">
        <v>7297</v>
      </c>
      <c r="B370" s="27" t="s">
        <v>528</v>
      </c>
      <c r="C370" s="28">
        <v>1</v>
      </c>
      <c r="D370" s="29">
        <v>14.42</v>
      </c>
      <c r="E370" s="29">
        <v>14.42</v>
      </c>
      <c r="F370" s="30">
        <v>39.5</v>
      </c>
      <c r="G370" s="29">
        <v>39.5</v>
      </c>
      <c r="H370" s="28" t="s">
        <v>529</v>
      </c>
      <c r="I370" s="27" t="s">
        <v>280</v>
      </c>
      <c r="J370" s="31" t="s">
        <v>65</v>
      </c>
      <c r="K370" s="27" t="s">
        <v>41</v>
      </c>
      <c r="L370" s="27" t="s">
        <v>45</v>
      </c>
      <c r="M370" s="32"/>
    </row>
    <row r="371" spans="1:13" ht="15.2" customHeight="1" x14ac:dyDescent="0.2">
      <c r="A371" s="26" t="s">
        <v>6319</v>
      </c>
      <c r="B371" s="27" t="s">
        <v>528</v>
      </c>
      <c r="C371" s="28">
        <v>1</v>
      </c>
      <c r="D371" s="29">
        <v>14.42</v>
      </c>
      <c r="E371" s="29">
        <v>14.42</v>
      </c>
      <c r="F371" s="30">
        <v>39.5</v>
      </c>
      <c r="G371" s="29">
        <v>39.5</v>
      </c>
      <c r="H371" s="28" t="s">
        <v>529</v>
      </c>
      <c r="I371" s="27" t="s">
        <v>4</v>
      </c>
      <c r="J371" s="31" t="s">
        <v>40</v>
      </c>
      <c r="K371" s="27" t="s">
        <v>41</v>
      </c>
      <c r="L371" s="27" t="s">
        <v>45</v>
      </c>
      <c r="M371" s="32"/>
    </row>
    <row r="372" spans="1:13" ht="15.2" customHeight="1" x14ac:dyDescent="0.2">
      <c r="A372" s="26" t="s">
        <v>5847</v>
      </c>
      <c r="B372" s="27" t="s">
        <v>5848</v>
      </c>
      <c r="C372" s="28">
        <v>1</v>
      </c>
      <c r="D372" s="29">
        <v>14.1</v>
      </c>
      <c r="E372" s="29">
        <v>14.1</v>
      </c>
      <c r="F372" s="30">
        <v>39.5</v>
      </c>
      <c r="G372" s="29">
        <v>39.5</v>
      </c>
      <c r="H372" s="28" t="s">
        <v>1646</v>
      </c>
      <c r="I372" s="27" t="s">
        <v>82</v>
      </c>
      <c r="J372" s="31" t="s">
        <v>71</v>
      </c>
      <c r="K372" s="27" t="s">
        <v>53</v>
      </c>
      <c r="L372" s="27" t="s">
        <v>165</v>
      </c>
      <c r="M372" s="32"/>
    </row>
    <row r="373" spans="1:13" ht="15.2" customHeight="1" x14ac:dyDescent="0.2">
      <c r="A373" s="26" t="s">
        <v>4246</v>
      </c>
      <c r="B373" s="27" t="s">
        <v>4247</v>
      </c>
      <c r="C373" s="28">
        <v>2</v>
      </c>
      <c r="D373" s="29">
        <v>14.1</v>
      </c>
      <c r="E373" s="29">
        <v>28.2</v>
      </c>
      <c r="F373" s="30">
        <v>39.5</v>
      </c>
      <c r="G373" s="29">
        <v>79</v>
      </c>
      <c r="H373" s="28" t="s">
        <v>1646</v>
      </c>
      <c r="I373" s="27" t="s">
        <v>82</v>
      </c>
      <c r="J373" s="31" t="s">
        <v>40</v>
      </c>
      <c r="K373" s="27" t="s">
        <v>53</v>
      </c>
      <c r="L373" s="27" t="s">
        <v>165</v>
      </c>
      <c r="M373" s="32"/>
    </row>
    <row r="374" spans="1:13" ht="15.2" customHeight="1" x14ac:dyDescent="0.2">
      <c r="A374" s="26" t="s">
        <v>7298</v>
      </c>
      <c r="B374" s="27" t="s">
        <v>7299</v>
      </c>
      <c r="C374" s="28">
        <v>1</v>
      </c>
      <c r="D374" s="29">
        <v>13</v>
      </c>
      <c r="E374" s="29">
        <v>13</v>
      </c>
      <c r="F374" s="30">
        <v>39</v>
      </c>
      <c r="G374" s="29">
        <v>39</v>
      </c>
      <c r="H374" s="28" t="s">
        <v>7300</v>
      </c>
      <c r="I374" s="27"/>
      <c r="J374" s="31" t="s">
        <v>5</v>
      </c>
      <c r="K374" s="27" t="s">
        <v>154</v>
      </c>
      <c r="L374" s="27" t="s">
        <v>155</v>
      </c>
      <c r="M374" s="32"/>
    </row>
    <row r="375" spans="1:13" ht="15.2" customHeight="1" x14ac:dyDescent="0.2">
      <c r="A375" s="26" t="s">
        <v>1018</v>
      </c>
      <c r="B375" s="27" t="s">
        <v>1016</v>
      </c>
      <c r="C375" s="28">
        <v>1</v>
      </c>
      <c r="D375" s="29">
        <v>13</v>
      </c>
      <c r="E375" s="29">
        <v>13</v>
      </c>
      <c r="F375" s="30">
        <v>39</v>
      </c>
      <c r="G375" s="29">
        <v>39</v>
      </c>
      <c r="H375" s="28" t="s">
        <v>1017</v>
      </c>
      <c r="I375" s="27" t="s">
        <v>4</v>
      </c>
      <c r="J375" s="31" t="s">
        <v>5</v>
      </c>
      <c r="K375" s="27" t="s">
        <v>154</v>
      </c>
      <c r="L375" s="27" t="s">
        <v>155</v>
      </c>
      <c r="M375" s="32"/>
    </row>
    <row r="376" spans="1:13" ht="15.2" customHeight="1" x14ac:dyDescent="0.2">
      <c r="A376" s="26" t="s">
        <v>7301</v>
      </c>
      <c r="B376" s="27" t="s">
        <v>7302</v>
      </c>
      <c r="C376" s="28">
        <v>1</v>
      </c>
      <c r="D376" s="29">
        <v>12</v>
      </c>
      <c r="E376" s="29">
        <v>12</v>
      </c>
      <c r="F376" s="30">
        <v>27.99</v>
      </c>
      <c r="G376" s="29">
        <v>27.99</v>
      </c>
      <c r="H376" s="28" t="s">
        <v>2020</v>
      </c>
      <c r="I376" s="27" t="s">
        <v>271</v>
      </c>
      <c r="J376" s="31" t="s">
        <v>71</v>
      </c>
      <c r="K376" s="27" t="s">
        <v>224</v>
      </c>
      <c r="L376" s="27" t="s">
        <v>254</v>
      </c>
      <c r="M376" s="32"/>
    </row>
    <row r="377" spans="1:13" ht="15.2" customHeight="1" x14ac:dyDescent="0.2">
      <c r="A377" s="26" t="s">
        <v>3576</v>
      </c>
      <c r="B377" s="27" t="s">
        <v>3577</v>
      </c>
      <c r="C377" s="28">
        <v>2</v>
      </c>
      <c r="D377" s="29">
        <v>12</v>
      </c>
      <c r="E377" s="29">
        <v>24</v>
      </c>
      <c r="F377" s="30">
        <v>28.99</v>
      </c>
      <c r="G377" s="29">
        <v>57.98</v>
      </c>
      <c r="H377" s="28" t="s">
        <v>3578</v>
      </c>
      <c r="I377" s="27" t="s">
        <v>22</v>
      </c>
      <c r="J377" s="31" t="s">
        <v>5</v>
      </c>
      <c r="K377" s="27" t="s">
        <v>70</v>
      </c>
      <c r="L377" s="27" t="s">
        <v>1079</v>
      </c>
      <c r="M377" s="32"/>
    </row>
    <row r="378" spans="1:13" ht="15.2" customHeight="1" x14ac:dyDescent="0.2">
      <c r="A378" s="26" t="s">
        <v>7303</v>
      </c>
      <c r="B378" s="27" t="s">
        <v>7304</v>
      </c>
      <c r="C378" s="28">
        <v>1</v>
      </c>
      <c r="D378" s="29">
        <v>12</v>
      </c>
      <c r="E378" s="29">
        <v>12</v>
      </c>
      <c r="F378" s="30">
        <v>29.99</v>
      </c>
      <c r="G378" s="29">
        <v>29.99</v>
      </c>
      <c r="H378" s="28">
        <v>860376</v>
      </c>
      <c r="I378" s="27" t="s">
        <v>271</v>
      </c>
      <c r="J378" s="31" t="s">
        <v>52</v>
      </c>
      <c r="K378" s="27" t="s">
        <v>70</v>
      </c>
      <c r="L378" s="27" t="s">
        <v>1808</v>
      </c>
      <c r="M378" s="32"/>
    </row>
    <row r="379" spans="1:13" ht="15.2" customHeight="1" x14ac:dyDescent="0.2">
      <c r="A379" s="26" t="s">
        <v>6078</v>
      </c>
      <c r="B379" s="27" t="s">
        <v>6079</v>
      </c>
      <c r="C379" s="28">
        <v>1</v>
      </c>
      <c r="D379" s="29">
        <v>12</v>
      </c>
      <c r="E379" s="29">
        <v>12</v>
      </c>
      <c r="F379" s="30">
        <v>39</v>
      </c>
      <c r="G379" s="29">
        <v>39</v>
      </c>
      <c r="H379" s="28">
        <v>90306</v>
      </c>
      <c r="I379" s="27" t="s">
        <v>82</v>
      </c>
      <c r="J379" s="31" t="s">
        <v>52</v>
      </c>
      <c r="K379" s="27" t="s">
        <v>154</v>
      </c>
      <c r="L379" s="27" t="s">
        <v>155</v>
      </c>
      <c r="M379" s="32"/>
    </row>
    <row r="380" spans="1:13" ht="15.2" customHeight="1" x14ac:dyDescent="0.2">
      <c r="A380" s="26" t="s">
        <v>7305</v>
      </c>
      <c r="B380" s="27" t="s">
        <v>6702</v>
      </c>
      <c r="C380" s="28">
        <v>1</v>
      </c>
      <c r="D380" s="29">
        <v>11.5</v>
      </c>
      <c r="E380" s="29">
        <v>11.5</v>
      </c>
      <c r="F380" s="30">
        <v>39</v>
      </c>
      <c r="G380" s="29">
        <v>39</v>
      </c>
      <c r="H380" s="28" t="s">
        <v>6703</v>
      </c>
      <c r="I380" s="27"/>
      <c r="J380" s="31" t="s">
        <v>21</v>
      </c>
      <c r="K380" s="27" t="s">
        <v>154</v>
      </c>
      <c r="L380" s="27" t="s">
        <v>155</v>
      </c>
      <c r="M380" s="32"/>
    </row>
    <row r="381" spans="1:13" ht="15.2" customHeight="1" x14ac:dyDescent="0.2">
      <c r="A381" s="26" t="s">
        <v>7306</v>
      </c>
      <c r="B381" s="27" t="s">
        <v>7307</v>
      </c>
      <c r="C381" s="28">
        <v>1</v>
      </c>
      <c r="D381" s="29">
        <v>11.34</v>
      </c>
      <c r="E381" s="29">
        <v>11.34</v>
      </c>
      <c r="F381" s="30">
        <v>39</v>
      </c>
      <c r="G381" s="29">
        <v>39</v>
      </c>
      <c r="H381" s="28" t="s">
        <v>2022</v>
      </c>
      <c r="I381" s="27" t="s">
        <v>20</v>
      </c>
      <c r="J381" s="31" t="s">
        <v>71</v>
      </c>
      <c r="K381" s="27" t="s">
        <v>510</v>
      </c>
      <c r="L381" s="27" t="s">
        <v>511</v>
      </c>
      <c r="M381" s="32"/>
    </row>
    <row r="382" spans="1:13" ht="15.2" customHeight="1" x14ac:dyDescent="0.2">
      <c r="A382" s="26" t="s">
        <v>3605</v>
      </c>
      <c r="B382" s="27" t="s">
        <v>3606</v>
      </c>
      <c r="C382" s="28">
        <v>1</v>
      </c>
      <c r="D382" s="29">
        <v>11</v>
      </c>
      <c r="E382" s="29">
        <v>11</v>
      </c>
      <c r="F382" s="30">
        <v>27.99</v>
      </c>
      <c r="G382" s="29">
        <v>27.99</v>
      </c>
      <c r="H382" s="28" t="s">
        <v>562</v>
      </c>
      <c r="I382" s="27" t="s">
        <v>285</v>
      </c>
      <c r="J382" s="31" t="s">
        <v>40</v>
      </c>
      <c r="K382" s="27" t="s">
        <v>224</v>
      </c>
      <c r="L382" s="27" t="s">
        <v>563</v>
      </c>
      <c r="M382" s="32"/>
    </row>
    <row r="383" spans="1:13" ht="15.2" customHeight="1" x14ac:dyDescent="0.2">
      <c r="A383" s="26" t="s">
        <v>1033</v>
      </c>
      <c r="B383" s="27" t="s">
        <v>1034</v>
      </c>
      <c r="C383" s="28">
        <v>1</v>
      </c>
      <c r="D383" s="29">
        <v>11</v>
      </c>
      <c r="E383" s="29">
        <v>11</v>
      </c>
      <c r="F383" s="30">
        <v>27.99</v>
      </c>
      <c r="G383" s="29">
        <v>27.99</v>
      </c>
      <c r="H383" s="28" t="s">
        <v>1035</v>
      </c>
      <c r="I383" s="27" t="s">
        <v>59</v>
      </c>
      <c r="J383" s="31" t="s">
        <v>40</v>
      </c>
      <c r="K383" s="27" t="s">
        <v>224</v>
      </c>
      <c r="L383" s="27" t="s">
        <v>254</v>
      </c>
      <c r="M383" s="32"/>
    </row>
    <row r="384" spans="1:13" ht="15.2" customHeight="1" x14ac:dyDescent="0.2">
      <c r="A384" s="26" t="s">
        <v>2479</v>
      </c>
      <c r="B384" s="27" t="s">
        <v>2480</v>
      </c>
      <c r="C384" s="28">
        <v>1</v>
      </c>
      <c r="D384" s="29">
        <v>11</v>
      </c>
      <c r="E384" s="29">
        <v>11</v>
      </c>
      <c r="F384" s="30">
        <v>27.99</v>
      </c>
      <c r="G384" s="29">
        <v>27.99</v>
      </c>
      <c r="H384" s="28" t="s">
        <v>562</v>
      </c>
      <c r="I384" s="27" t="s">
        <v>285</v>
      </c>
      <c r="J384" s="31" t="s">
        <v>5</v>
      </c>
      <c r="K384" s="27" t="s">
        <v>224</v>
      </c>
      <c r="L384" s="27" t="s">
        <v>563</v>
      </c>
      <c r="M384" s="32"/>
    </row>
    <row r="385" spans="1:13" ht="15.2" customHeight="1" x14ac:dyDescent="0.2">
      <c r="A385" s="26" t="s">
        <v>7308</v>
      </c>
      <c r="B385" s="27" t="s">
        <v>7309</v>
      </c>
      <c r="C385" s="28">
        <v>1</v>
      </c>
      <c r="D385" s="29">
        <v>11</v>
      </c>
      <c r="E385" s="29">
        <v>11</v>
      </c>
      <c r="F385" s="30">
        <v>27.99</v>
      </c>
      <c r="G385" s="29">
        <v>27.99</v>
      </c>
      <c r="H385" s="28" t="s">
        <v>1035</v>
      </c>
      <c r="I385" s="27" t="s">
        <v>59</v>
      </c>
      <c r="J385" s="31" t="s">
        <v>71</v>
      </c>
      <c r="K385" s="27" t="s">
        <v>224</v>
      </c>
      <c r="L385" s="27" t="s">
        <v>254</v>
      </c>
      <c r="M385" s="32"/>
    </row>
    <row r="386" spans="1:13" ht="15.2" customHeight="1" x14ac:dyDescent="0.2">
      <c r="A386" s="26" t="s">
        <v>4689</v>
      </c>
      <c r="B386" s="27" t="s">
        <v>4690</v>
      </c>
      <c r="C386" s="28">
        <v>1</v>
      </c>
      <c r="D386" s="29">
        <v>11</v>
      </c>
      <c r="E386" s="29">
        <v>11</v>
      </c>
      <c r="F386" s="30">
        <v>27.99</v>
      </c>
      <c r="G386" s="29">
        <v>27.99</v>
      </c>
      <c r="H386" s="28" t="s">
        <v>562</v>
      </c>
      <c r="I386" s="27" t="s">
        <v>285</v>
      </c>
      <c r="J386" s="31" t="s">
        <v>21</v>
      </c>
      <c r="K386" s="27" t="s">
        <v>224</v>
      </c>
      <c r="L386" s="27" t="s">
        <v>563</v>
      </c>
      <c r="M386" s="32"/>
    </row>
    <row r="387" spans="1:13" ht="15.2" customHeight="1" x14ac:dyDescent="0.2">
      <c r="A387" s="26" t="s">
        <v>560</v>
      </c>
      <c r="B387" s="27" t="s">
        <v>561</v>
      </c>
      <c r="C387" s="28">
        <v>1</v>
      </c>
      <c r="D387" s="29">
        <v>11</v>
      </c>
      <c r="E387" s="29">
        <v>11</v>
      </c>
      <c r="F387" s="30">
        <v>27.99</v>
      </c>
      <c r="G387" s="29">
        <v>27.99</v>
      </c>
      <c r="H387" s="28" t="s">
        <v>562</v>
      </c>
      <c r="I387" s="27" t="s">
        <v>189</v>
      </c>
      <c r="J387" s="31" t="s">
        <v>52</v>
      </c>
      <c r="K387" s="27" t="s">
        <v>224</v>
      </c>
      <c r="L387" s="27" t="s">
        <v>563</v>
      </c>
      <c r="M387" s="32"/>
    </row>
    <row r="388" spans="1:13" ht="15.2" customHeight="1" x14ac:dyDescent="0.2">
      <c r="A388" s="26" t="s">
        <v>7310</v>
      </c>
      <c r="B388" s="27" t="s">
        <v>7311</v>
      </c>
      <c r="C388" s="28">
        <v>1</v>
      </c>
      <c r="D388" s="29">
        <v>10.7</v>
      </c>
      <c r="E388" s="29">
        <v>10.7</v>
      </c>
      <c r="F388" s="30">
        <v>24.99</v>
      </c>
      <c r="G388" s="29">
        <v>24.99</v>
      </c>
      <c r="H388" s="28" t="s">
        <v>2485</v>
      </c>
      <c r="I388" s="27" t="s">
        <v>1</v>
      </c>
      <c r="J388" s="31" t="s">
        <v>40</v>
      </c>
      <c r="K388" s="27" t="s">
        <v>208</v>
      </c>
      <c r="L388" s="27" t="s">
        <v>197</v>
      </c>
      <c r="M388" s="32"/>
    </row>
    <row r="389" spans="1:13" ht="15.2" customHeight="1" x14ac:dyDescent="0.2">
      <c r="A389" s="26" t="s">
        <v>7312</v>
      </c>
      <c r="B389" s="27" t="s">
        <v>7313</v>
      </c>
      <c r="C389" s="28">
        <v>2</v>
      </c>
      <c r="D389" s="29">
        <v>10.7</v>
      </c>
      <c r="E389" s="29">
        <v>21.4</v>
      </c>
      <c r="F389" s="30">
        <v>24.99</v>
      </c>
      <c r="G389" s="29">
        <v>49.98</v>
      </c>
      <c r="H389" s="28" t="s">
        <v>2485</v>
      </c>
      <c r="I389" s="27" t="s">
        <v>4</v>
      </c>
      <c r="J389" s="31" t="s">
        <v>21</v>
      </c>
      <c r="K389" s="27" t="s">
        <v>208</v>
      </c>
      <c r="L389" s="27" t="s">
        <v>197</v>
      </c>
      <c r="M389" s="32"/>
    </row>
    <row r="390" spans="1:13" ht="15.2" customHeight="1" x14ac:dyDescent="0.2">
      <c r="A390" s="26" t="s">
        <v>5308</v>
      </c>
      <c r="B390" s="27" t="s">
        <v>5309</v>
      </c>
      <c r="C390" s="28">
        <v>1</v>
      </c>
      <c r="D390" s="29">
        <v>10.6</v>
      </c>
      <c r="E390" s="29">
        <v>10.6</v>
      </c>
      <c r="F390" s="30">
        <v>24.99</v>
      </c>
      <c r="G390" s="29">
        <v>24.99</v>
      </c>
      <c r="H390" s="28" t="s">
        <v>567</v>
      </c>
      <c r="I390" s="27" t="s">
        <v>4</v>
      </c>
      <c r="J390" s="31" t="s">
        <v>5</v>
      </c>
      <c r="K390" s="27" t="s">
        <v>208</v>
      </c>
      <c r="L390" s="27" t="s">
        <v>197</v>
      </c>
      <c r="M390" s="32"/>
    </row>
    <row r="391" spans="1:13" ht="15.2" customHeight="1" x14ac:dyDescent="0.2">
      <c r="A391" s="26" t="s">
        <v>2486</v>
      </c>
      <c r="B391" s="27" t="s">
        <v>2487</v>
      </c>
      <c r="C391" s="28">
        <v>1</v>
      </c>
      <c r="D391" s="29">
        <v>10.6</v>
      </c>
      <c r="E391" s="29">
        <v>10.6</v>
      </c>
      <c r="F391" s="30">
        <v>24.99</v>
      </c>
      <c r="G391" s="29">
        <v>24.99</v>
      </c>
      <c r="H391" s="28" t="s">
        <v>568</v>
      </c>
      <c r="I391" s="27" t="s">
        <v>33</v>
      </c>
      <c r="J391" s="31" t="s">
        <v>5</v>
      </c>
      <c r="K391" s="27" t="s">
        <v>208</v>
      </c>
      <c r="L391" s="27" t="s">
        <v>197</v>
      </c>
      <c r="M391" s="32"/>
    </row>
    <row r="392" spans="1:13" ht="15.2" customHeight="1" x14ac:dyDescent="0.2">
      <c r="A392" s="26" t="s">
        <v>2028</v>
      </c>
      <c r="B392" s="27" t="s">
        <v>2029</v>
      </c>
      <c r="C392" s="28">
        <v>1</v>
      </c>
      <c r="D392" s="29">
        <v>10.5</v>
      </c>
      <c r="E392" s="29">
        <v>10.5</v>
      </c>
      <c r="F392" s="30">
        <v>24.99</v>
      </c>
      <c r="G392" s="29">
        <v>24.99</v>
      </c>
      <c r="H392" s="28" t="s">
        <v>573</v>
      </c>
      <c r="I392" s="27" t="s">
        <v>36</v>
      </c>
      <c r="J392" s="31" t="s">
        <v>71</v>
      </c>
      <c r="K392" s="27" t="s">
        <v>159</v>
      </c>
      <c r="L392" s="27" t="s">
        <v>160</v>
      </c>
      <c r="M392" s="32"/>
    </row>
    <row r="393" spans="1:13" ht="15.2" customHeight="1" x14ac:dyDescent="0.2">
      <c r="A393" s="26" t="s">
        <v>571</v>
      </c>
      <c r="B393" s="27" t="s">
        <v>572</v>
      </c>
      <c r="C393" s="28">
        <v>1</v>
      </c>
      <c r="D393" s="29">
        <v>10.5</v>
      </c>
      <c r="E393" s="29">
        <v>10.5</v>
      </c>
      <c r="F393" s="30">
        <v>24.99</v>
      </c>
      <c r="G393" s="29">
        <v>24.99</v>
      </c>
      <c r="H393" s="28" t="s">
        <v>573</v>
      </c>
      <c r="I393" s="27" t="s">
        <v>36</v>
      </c>
      <c r="J393" s="31" t="s">
        <v>21</v>
      </c>
      <c r="K393" s="27" t="s">
        <v>159</v>
      </c>
      <c r="L393" s="27" t="s">
        <v>160</v>
      </c>
      <c r="M393" s="32"/>
    </row>
    <row r="394" spans="1:13" ht="15.2" customHeight="1" x14ac:dyDescent="0.2">
      <c r="A394" s="26" t="s">
        <v>1044</v>
      </c>
      <c r="B394" s="27" t="s">
        <v>1045</v>
      </c>
      <c r="C394" s="28">
        <v>1</v>
      </c>
      <c r="D394" s="29">
        <v>10.5</v>
      </c>
      <c r="E394" s="29">
        <v>10.5</v>
      </c>
      <c r="F394" s="30">
        <v>24.99</v>
      </c>
      <c r="G394" s="29">
        <v>24.99</v>
      </c>
      <c r="H394" s="28" t="s">
        <v>1043</v>
      </c>
      <c r="I394" s="27" t="s">
        <v>238</v>
      </c>
      <c r="J394" s="31" t="s">
        <v>21</v>
      </c>
      <c r="K394" s="27" t="s">
        <v>224</v>
      </c>
      <c r="L394" s="27" t="s">
        <v>239</v>
      </c>
      <c r="M394" s="32"/>
    </row>
    <row r="395" spans="1:13" ht="15.2" customHeight="1" x14ac:dyDescent="0.2">
      <c r="A395" s="26" t="s">
        <v>4263</v>
      </c>
      <c r="B395" s="27" t="s">
        <v>4264</v>
      </c>
      <c r="C395" s="28">
        <v>1</v>
      </c>
      <c r="D395" s="29">
        <v>10</v>
      </c>
      <c r="E395" s="29">
        <v>10</v>
      </c>
      <c r="F395" s="30">
        <v>24.99</v>
      </c>
      <c r="G395" s="29">
        <v>24.99</v>
      </c>
      <c r="H395" s="28" t="s">
        <v>2499</v>
      </c>
      <c r="I395" s="27" t="s">
        <v>271</v>
      </c>
      <c r="J395" s="31" t="s">
        <v>5</v>
      </c>
      <c r="K395" s="27" t="s">
        <v>224</v>
      </c>
      <c r="L395" s="27" t="s">
        <v>197</v>
      </c>
      <c r="M395" s="32"/>
    </row>
    <row r="396" spans="1:13" ht="15.2" customHeight="1" x14ac:dyDescent="0.2">
      <c r="A396" s="26" t="s">
        <v>7314</v>
      </c>
      <c r="B396" s="27" t="s">
        <v>7315</v>
      </c>
      <c r="C396" s="28">
        <v>1</v>
      </c>
      <c r="D396" s="29">
        <v>10</v>
      </c>
      <c r="E396" s="29">
        <v>10</v>
      </c>
      <c r="F396" s="30">
        <v>24.99</v>
      </c>
      <c r="G396" s="29">
        <v>24.99</v>
      </c>
      <c r="H396" s="28" t="s">
        <v>2495</v>
      </c>
      <c r="I396" s="27" t="s">
        <v>333</v>
      </c>
      <c r="J396" s="31" t="s">
        <v>5</v>
      </c>
      <c r="K396" s="27" t="s">
        <v>196</v>
      </c>
      <c r="L396" s="27" t="s">
        <v>336</v>
      </c>
      <c r="M396" s="32"/>
    </row>
    <row r="397" spans="1:13" ht="15.2" customHeight="1" x14ac:dyDescent="0.2">
      <c r="A397" s="26" t="s">
        <v>7316</v>
      </c>
      <c r="B397" s="27" t="s">
        <v>7317</v>
      </c>
      <c r="C397" s="28">
        <v>1</v>
      </c>
      <c r="D397" s="29">
        <v>10</v>
      </c>
      <c r="E397" s="29">
        <v>10</v>
      </c>
      <c r="F397" s="30">
        <v>24.99</v>
      </c>
      <c r="G397" s="29">
        <v>24.99</v>
      </c>
      <c r="H397" s="28" t="s">
        <v>2495</v>
      </c>
      <c r="I397" s="27" t="s">
        <v>2496</v>
      </c>
      <c r="J397" s="31" t="s">
        <v>5</v>
      </c>
      <c r="K397" s="27" t="s">
        <v>196</v>
      </c>
      <c r="L397" s="27" t="s">
        <v>336</v>
      </c>
      <c r="M397" s="32"/>
    </row>
    <row r="398" spans="1:13" ht="15.2" customHeight="1" x14ac:dyDescent="0.2">
      <c r="A398" s="26" t="s">
        <v>3083</v>
      </c>
      <c r="B398" s="27" t="s">
        <v>3084</v>
      </c>
      <c r="C398" s="28">
        <v>1</v>
      </c>
      <c r="D398" s="29">
        <v>9.8000000000000007</v>
      </c>
      <c r="E398" s="29">
        <v>9.8000000000000007</v>
      </c>
      <c r="F398" s="30">
        <v>19.989999999999998</v>
      </c>
      <c r="G398" s="29">
        <v>19.989999999999998</v>
      </c>
      <c r="H398" s="28" t="s">
        <v>3085</v>
      </c>
      <c r="I398" s="27" t="s">
        <v>377</v>
      </c>
      <c r="J398" s="31" t="s">
        <v>40</v>
      </c>
      <c r="K398" s="27" t="s">
        <v>196</v>
      </c>
      <c r="L398" s="27" t="s">
        <v>225</v>
      </c>
      <c r="M398" s="32"/>
    </row>
    <row r="399" spans="1:13" ht="15.2" customHeight="1" x14ac:dyDescent="0.2">
      <c r="A399" s="26" t="s">
        <v>7318</v>
      </c>
      <c r="B399" s="27" t="s">
        <v>7319</v>
      </c>
      <c r="C399" s="28">
        <v>1</v>
      </c>
      <c r="D399" s="29">
        <v>9.8000000000000007</v>
      </c>
      <c r="E399" s="29">
        <v>9.8000000000000007</v>
      </c>
      <c r="F399" s="30">
        <v>19.989999999999998</v>
      </c>
      <c r="G399" s="29">
        <v>19.989999999999998</v>
      </c>
      <c r="H399" s="28" t="s">
        <v>1054</v>
      </c>
      <c r="I399" s="27" t="s">
        <v>374</v>
      </c>
      <c r="J399" s="31" t="s">
        <v>71</v>
      </c>
      <c r="K399" s="27" t="s">
        <v>196</v>
      </c>
      <c r="L399" s="27" t="s">
        <v>225</v>
      </c>
      <c r="M399" s="32"/>
    </row>
    <row r="400" spans="1:13" ht="15.2" customHeight="1" x14ac:dyDescent="0.2">
      <c r="A400" s="26" t="s">
        <v>7320</v>
      </c>
      <c r="B400" s="27" t="s">
        <v>7321</v>
      </c>
      <c r="C400" s="28">
        <v>5</v>
      </c>
      <c r="D400" s="29">
        <v>9.51</v>
      </c>
      <c r="E400" s="29">
        <v>47.55</v>
      </c>
      <c r="F400" s="30">
        <v>21.99</v>
      </c>
      <c r="G400" s="29">
        <v>109.95</v>
      </c>
      <c r="H400" s="28" t="s">
        <v>574</v>
      </c>
      <c r="I400" s="27" t="s">
        <v>4</v>
      </c>
      <c r="J400" s="31" t="s">
        <v>40</v>
      </c>
      <c r="K400" s="27" t="s">
        <v>159</v>
      </c>
      <c r="L400" s="27" t="s">
        <v>160</v>
      </c>
      <c r="M400" s="32"/>
    </row>
    <row r="401" spans="1:13" ht="15.2" customHeight="1" x14ac:dyDescent="0.2">
      <c r="A401" s="26" t="s">
        <v>1662</v>
      </c>
      <c r="B401" s="27" t="s">
        <v>1663</v>
      </c>
      <c r="C401" s="28">
        <v>2</v>
      </c>
      <c r="D401" s="29">
        <v>9.51</v>
      </c>
      <c r="E401" s="29">
        <v>19.02</v>
      </c>
      <c r="F401" s="30">
        <v>21.99</v>
      </c>
      <c r="G401" s="29">
        <v>43.98</v>
      </c>
      <c r="H401" s="28" t="s">
        <v>574</v>
      </c>
      <c r="I401" s="27" t="s">
        <v>4</v>
      </c>
      <c r="J401" s="31" t="s">
        <v>52</v>
      </c>
      <c r="K401" s="27" t="s">
        <v>159</v>
      </c>
      <c r="L401" s="27" t="s">
        <v>160</v>
      </c>
      <c r="M401" s="32"/>
    </row>
    <row r="402" spans="1:13" ht="15.2" customHeight="1" x14ac:dyDescent="0.2">
      <c r="A402" s="26" t="s">
        <v>7322</v>
      </c>
      <c r="B402" s="27" t="s">
        <v>7323</v>
      </c>
      <c r="C402" s="28">
        <v>1</v>
      </c>
      <c r="D402" s="29">
        <v>9.51</v>
      </c>
      <c r="E402" s="29">
        <v>9.51</v>
      </c>
      <c r="F402" s="30">
        <v>21.99</v>
      </c>
      <c r="G402" s="29">
        <v>21.99</v>
      </c>
      <c r="H402" s="28" t="s">
        <v>574</v>
      </c>
      <c r="I402" s="27" t="s">
        <v>4</v>
      </c>
      <c r="J402" s="31" t="s">
        <v>71</v>
      </c>
      <c r="K402" s="27" t="s">
        <v>159</v>
      </c>
      <c r="L402" s="27" t="s">
        <v>160</v>
      </c>
      <c r="M402" s="32"/>
    </row>
    <row r="403" spans="1:13" ht="15.2" customHeight="1" x14ac:dyDescent="0.2">
      <c r="A403" s="26" t="s">
        <v>4790</v>
      </c>
      <c r="B403" s="27" t="s">
        <v>4791</v>
      </c>
      <c r="C403" s="28">
        <v>1</v>
      </c>
      <c r="D403" s="29">
        <v>9.51</v>
      </c>
      <c r="E403" s="29">
        <v>9.51</v>
      </c>
      <c r="F403" s="30">
        <v>21.99</v>
      </c>
      <c r="G403" s="29">
        <v>21.99</v>
      </c>
      <c r="H403" s="28" t="s">
        <v>574</v>
      </c>
      <c r="I403" s="27" t="s">
        <v>4</v>
      </c>
      <c r="J403" s="31" t="s">
        <v>21</v>
      </c>
      <c r="K403" s="27" t="s">
        <v>159</v>
      </c>
      <c r="L403" s="27" t="s">
        <v>160</v>
      </c>
      <c r="M403" s="32"/>
    </row>
    <row r="404" spans="1:13" ht="15.2" customHeight="1" x14ac:dyDescent="0.2">
      <c r="A404" s="26" t="s">
        <v>7324</v>
      </c>
      <c r="B404" s="27" t="s">
        <v>7325</v>
      </c>
      <c r="C404" s="28">
        <v>1</v>
      </c>
      <c r="D404" s="29">
        <v>9.51</v>
      </c>
      <c r="E404" s="29">
        <v>9.51</v>
      </c>
      <c r="F404" s="30">
        <v>21.99</v>
      </c>
      <c r="G404" s="29">
        <v>21.99</v>
      </c>
      <c r="H404" s="28" t="s">
        <v>574</v>
      </c>
      <c r="I404" s="27" t="s">
        <v>4</v>
      </c>
      <c r="J404" s="31" t="s">
        <v>5</v>
      </c>
      <c r="K404" s="27" t="s">
        <v>159</v>
      </c>
      <c r="L404" s="27" t="s">
        <v>160</v>
      </c>
      <c r="M404" s="32"/>
    </row>
    <row r="405" spans="1:13" ht="15.2" customHeight="1" x14ac:dyDescent="0.2">
      <c r="A405" s="26" t="s">
        <v>7326</v>
      </c>
      <c r="B405" s="27" t="s">
        <v>7327</v>
      </c>
      <c r="C405" s="28">
        <v>1</v>
      </c>
      <c r="D405" s="29">
        <v>9.51</v>
      </c>
      <c r="E405" s="29">
        <v>9.51</v>
      </c>
      <c r="F405" s="30">
        <v>21.99</v>
      </c>
      <c r="G405" s="29">
        <v>21.99</v>
      </c>
      <c r="H405" s="28" t="s">
        <v>574</v>
      </c>
      <c r="I405" s="27" t="s">
        <v>4</v>
      </c>
      <c r="J405" s="31" t="s">
        <v>65</v>
      </c>
      <c r="K405" s="27" t="s">
        <v>159</v>
      </c>
      <c r="L405" s="27" t="s">
        <v>160</v>
      </c>
      <c r="M405" s="32"/>
    </row>
    <row r="406" spans="1:13" ht="15.2" customHeight="1" x14ac:dyDescent="0.2">
      <c r="A406" s="26" t="s">
        <v>4884</v>
      </c>
      <c r="B406" s="27" t="s">
        <v>4885</v>
      </c>
      <c r="C406" s="28">
        <v>1</v>
      </c>
      <c r="D406" s="29">
        <v>9.25</v>
      </c>
      <c r="E406" s="29">
        <v>9.25</v>
      </c>
      <c r="F406" s="30">
        <v>22.99</v>
      </c>
      <c r="G406" s="29">
        <v>22.99</v>
      </c>
      <c r="H406" s="28" t="s">
        <v>2502</v>
      </c>
      <c r="I406" s="27" t="s">
        <v>4</v>
      </c>
      <c r="J406" s="31" t="s">
        <v>5</v>
      </c>
      <c r="K406" s="27" t="s">
        <v>196</v>
      </c>
      <c r="L406" s="27" t="s">
        <v>239</v>
      </c>
      <c r="M406" s="32"/>
    </row>
    <row r="407" spans="1:13" ht="15.2" customHeight="1" x14ac:dyDescent="0.2">
      <c r="A407" s="26" t="s">
        <v>7328</v>
      </c>
      <c r="B407" s="27" t="s">
        <v>7329</v>
      </c>
      <c r="C407" s="28">
        <v>1</v>
      </c>
      <c r="D407" s="29">
        <v>9.25</v>
      </c>
      <c r="E407" s="29">
        <v>9.25</v>
      </c>
      <c r="F407" s="30">
        <v>22.99</v>
      </c>
      <c r="G407" s="29">
        <v>22.99</v>
      </c>
      <c r="H407" s="28" t="s">
        <v>575</v>
      </c>
      <c r="I407" s="27" t="s">
        <v>207</v>
      </c>
      <c r="J407" s="31" t="s">
        <v>71</v>
      </c>
      <c r="K407" s="27" t="s">
        <v>196</v>
      </c>
      <c r="L407" s="27" t="s">
        <v>239</v>
      </c>
      <c r="M407" s="32"/>
    </row>
    <row r="408" spans="1:13" ht="15.2" customHeight="1" x14ac:dyDescent="0.2">
      <c r="A408" s="26" t="s">
        <v>2040</v>
      </c>
      <c r="B408" s="27" t="s">
        <v>2041</v>
      </c>
      <c r="C408" s="28">
        <v>1</v>
      </c>
      <c r="D408" s="29">
        <v>9.24</v>
      </c>
      <c r="E408" s="29">
        <v>9.24</v>
      </c>
      <c r="F408" s="30">
        <v>21.99</v>
      </c>
      <c r="G408" s="29">
        <v>21.99</v>
      </c>
      <c r="H408" s="28" t="s">
        <v>2042</v>
      </c>
      <c r="I408" s="27" t="s">
        <v>64</v>
      </c>
      <c r="J408" s="31" t="s">
        <v>71</v>
      </c>
      <c r="K408" s="27" t="s">
        <v>159</v>
      </c>
      <c r="L408" s="27" t="s">
        <v>160</v>
      </c>
      <c r="M408" s="32"/>
    </row>
    <row r="409" spans="1:13" ht="15.2" customHeight="1" x14ac:dyDescent="0.2">
      <c r="A409" s="26" t="s">
        <v>7330</v>
      </c>
      <c r="B409" s="27" t="s">
        <v>3636</v>
      </c>
      <c r="C409" s="28">
        <v>1</v>
      </c>
      <c r="D409" s="29">
        <v>9.24</v>
      </c>
      <c r="E409" s="29">
        <v>9.24</v>
      </c>
      <c r="F409" s="30">
        <v>21.99</v>
      </c>
      <c r="G409" s="29">
        <v>21.99</v>
      </c>
      <c r="H409" s="28" t="s">
        <v>3637</v>
      </c>
      <c r="I409" s="27" t="s">
        <v>4</v>
      </c>
      <c r="J409" s="31" t="s">
        <v>21</v>
      </c>
      <c r="K409" s="27" t="s">
        <v>159</v>
      </c>
      <c r="L409" s="27" t="s">
        <v>160</v>
      </c>
      <c r="M409" s="32"/>
    </row>
    <row r="410" spans="1:13" ht="15.2" customHeight="1" x14ac:dyDescent="0.2">
      <c r="A410" s="26" t="s">
        <v>4270</v>
      </c>
      <c r="B410" s="27" t="s">
        <v>2041</v>
      </c>
      <c r="C410" s="28">
        <v>2</v>
      </c>
      <c r="D410" s="29">
        <v>9.24</v>
      </c>
      <c r="E410" s="29">
        <v>18.48</v>
      </c>
      <c r="F410" s="30">
        <v>21.99</v>
      </c>
      <c r="G410" s="29">
        <v>43.98</v>
      </c>
      <c r="H410" s="28" t="s">
        <v>2042</v>
      </c>
      <c r="I410" s="27" t="s">
        <v>64</v>
      </c>
      <c r="J410" s="31" t="s">
        <v>21</v>
      </c>
      <c r="K410" s="27" t="s">
        <v>159</v>
      </c>
      <c r="L410" s="27" t="s">
        <v>160</v>
      </c>
      <c r="M410" s="32"/>
    </row>
    <row r="411" spans="1:13" ht="15.2" customHeight="1" x14ac:dyDescent="0.2">
      <c r="A411" s="26" t="s">
        <v>7331</v>
      </c>
      <c r="B411" s="27" t="s">
        <v>7332</v>
      </c>
      <c r="C411" s="28">
        <v>3</v>
      </c>
      <c r="D411" s="29">
        <v>9.2200000000000006</v>
      </c>
      <c r="E411" s="29">
        <v>27.66</v>
      </c>
      <c r="F411" s="30">
        <v>21.99</v>
      </c>
      <c r="G411" s="29">
        <v>65.97</v>
      </c>
      <c r="H411" s="28" t="s">
        <v>1057</v>
      </c>
      <c r="I411" s="27" t="s">
        <v>4</v>
      </c>
      <c r="J411" s="31" t="s">
        <v>21</v>
      </c>
      <c r="K411" s="27" t="s">
        <v>159</v>
      </c>
      <c r="L411" s="27" t="s">
        <v>160</v>
      </c>
      <c r="M411" s="32"/>
    </row>
    <row r="412" spans="1:13" ht="15.2" customHeight="1" x14ac:dyDescent="0.2">
      <c r="A412" s="26" t="s">
        <v>7333</v>
      </c>
      <c r="B412" s="27" t="s">
        <v>2045</v>
      </c>
      <c r="C412" s="28">
        <v>1</v>
      </c>
      <c r="D412" s="29">
        <v>9.2200000000000006</v>
      </c>
      <c r="E412" s="29">
        <v>9.2200000000000006</v>
      </c>
      <c r="F412" s="30">
        <v>21.99</v>
      </c>
      <c r="G412" s="29">
        <v>21.99</v>
      </c>
      <c r="H412" s="28" t="s">
        <v>2046</v>
      </c>
      <c r="I412" s="27" t="s">
        <v>4</v>
      </c>
      <c r="J412" s="31" t="s">
        <v>21</v>
      </c>
      <c r="K412" s="27" t="s">
        <v>159</v>
      </c>
      <c r="L412" s="27" t="s">
        <v>160</v>
      </c>
      <c r="M412" s="32"/>
    </row>
    <row r="413" spans="1:13" ht="15.2" customHeight="1" x14ac:dyDescent="0.2">
      <c r="A413" s="26" t="s">
        <v>4796</v>
      </c>
      <c r="B413" s="27" t="s">
        <v>4797</v>
      </c>
      <c r="C413" s="28">
        <v>1</v>
      </c>
      <c r="D413" s="29">
        <v>9.2200000000000006</v>
      </c>
      <c r="E413" s="29">
        <v>9.2200000000000006</v>
      </c>
      <c r="F413" s="30">
        <v>21.99</v>
      </c>
      <c r="G413" s="29">
        <v>21.99</v>
      </c>
      <c r="H413" s="28" t="s">
        <v>4706</v>
      </c>
      <c r="I413" s="27" t="s">
        <v>4</v>
      </c>
      <c r="J413" s="31" t="s">
        <v>21</v>
      </c>
      <c r="K413" s="27" t="s">
        <v>159</v>
      </c>
      <c r="L413" s="27" t="s">
        <v>160</v>
      </c>
      <c r="M413" s="32"/>
    </row>
    <row r="414" spans="1:13" ht="15.2" customHeight="1" x14ac:dyDescent="0.2">
      <c r="A414" s="26" t="s">
        <v>1055</v>
      </c>
      <c r="B414" s="27" t="s">
        <v>1056</v>
      </c>
      <c r="C414" s="28">
        <v>1</v>
      </c>
      <c r="D414" s="29">
        <v>9.2200000000000006</v>
      </c>
      <c r="E414" s="29">
        <v>9.2200000000000006</v>
      </c>
      <c r="F414" s="30">
        <v>21.99</v>
      </c>
      <c r="G414" s="29">
        <v>21.99</v>
      </c>
      <c r="H414" s="28" t="s">
        <v>1057</v>
      </c>
      <c r="I414" s="27" t="s">
        <v>4</v>
      </c>
      <c r="J414" s="31" t="s">
        <v>52</v>
      </c>
      <c r="K414" s="27" t="s">
        <v>159</v>
      </c>
      <c r="L414" s="27" t="s">
        <v>160</v>
      </c>
      <c r="M414" s="32"/>
    </row>
    <row r="415" spans="1:13" ht="15.2" customHeight="1" x14ac:dyDescent="0.2">
      <c r="A415" s="26" t="s">
        <v>2044</v>
      </c>
      <c r="B415" s="27" t="s">
        <v>2045</v>
      </c>
      <c r="C415" s="28">
        <v>1</v>
      </c>
      <c r="D415" s="29">
        <v>9.2200000000000006</v>
      </c>
      <c r="E415" s="29">
        <v>9.2200000000000006</v>
      </c>
      <c r="F415" s="30">
        <v>21.99</v>
      </c>
      <c r="G415" s="29">
        <v>21.99</v>
      </c>
      <c r="H415" s="28" t="s">
        <v>2046</v>
      </c>
      <c r="I415" s="27" t="s">
        <v>4</v>
      </c>
      <c r="J415" s="31" t="s">
        <v>5</v>
      </c>
      <c r="K415" s="27" t="s">
        <v>159</v>
      </c>
      <c r="L415" s="27" t="s">
        <v>160</v>
      </c>
      <c r="M415" s="32"/>
    </row>
    <row r="416" spans="1:13" ht="15.2" customHeight="1" x14ac:dyDescent="0.2">
      <c r="A416" s="26" t="s">
        <v>7334</v>
      </c>
      <c r="B416" s="27" t="s">
        <v>2781</v>
      </c>
      <c r="C416" s="28">
        <v>1</v>
      </c>
      <c r="D416" s="29">
        <v>9.2200000000000006</v>
      </c>
      <c r="E416" s="29">
        <v>9.2200000000000006</v>
      </c>
      <c r="F416" s="30">
        <v>21.99</v>
      </c>
      <c r="G416" s="29">
        <v>21.99</v>
      </c>
      <c r="H416" s="28" t="s">
        <v>1057</v>
      </c>
      <c r="I416" s="27" t="s">
        <v>4</v>
      </c>
      <c r="J416" s="31" t="s">
        <v>172</v>
      </c>
      <c r="K416" s="27" t="s">
        <v>159</v>
      </c>
      <c r="L416" s="27" t="s">
        <v>160</v>
      </c>
      <c r="M416" s="32"/>
    </row>
    <row r="417" spans="1:13" ht="15.2" customHeight="1" x14ac:dyDescent="0.2">
      <c r="A417" s="26" t="s">
        <v>1058</v>
      </c>
      <c r="B417" s="27" t="s">
        <v>1059</v>
      </c>
      <c r="C417" s="28">
        <v>1</v>
      </c>
      <c r="D417" s="29">
        <v>9.1999999999999993</v>
      </c>
      <c r="E417" s="29">
        <v>9.1999999999999993</v>
      </c>
      <c r="F417" s="30">
        <v>21.99</v>
      </c>
      <c r="G417" s="29">
        <v>21.99</v>
      </c>
      <c r="H417" s="28" t="s">
        <v>1060</v>
      </c>
      <c r="I417" s="27" t="s">
        <v>4</v>
      </c>
      <c r="J417" s="31" t="s">
        <v>65</v>
      </c>
      <c r="K417" s="27" t="s">
        <v>159</v>
      </c>
      <c r="L417" s="27" t="s">
        <v>160</v>
      </c>
      <c r="M417" s="32"/>
    </row>
    <row r="418" spans="1:13" ht="15.2" customHeight="1" x14ac:dyDescent="0.2">
      <c r="A418" s="26" t="s">
        <v>1675</v>
      </c>
      <c r="B418" s="27" t="s">
        <v>1676</v>
      </c>
      <c r="C418" s="28">
        <v>2</v>
      </c>
      <c r="D418" s="29">
        <v>9.1999999999999993</v>
      </c>
      <c r="E418" s="29">
        <v>18.399999999999999</v>
      </c>
      <c r="F418" s="30">
        <v>21.99</v>
      </c>
      <c r="G418" s="29">
        <v>43.98</v>
      </c>
      <c r="H418" s="28" t="s">
        <v>1677</v>
      </c>
      <c r="I418" s="27" t="s">
        <v>4</v>
      </c>
      <c r="J418" s="31" t="s">
        <v>40</v>
      </c>
      <c r="K418" s="27" t="s">
        <v>159</v>
      </c>
      <c r="L418" s="27" t="s">
        <v>160</v>
      </c>
      <c r="M418" s="32"/>
    </row>
    <row r="419" spans="1:13" ht="15.2" customHeight="1" x14ac:dyDescent="0.2">
      <c r="A419" s="26" t="s">
        <v>1061</v>
      </c>
      <c r="B419" s="27" t="s">
        <v>1059</v>
      </c>
      <c r="C419" s="28">
        <v>2</v>
      </c>
      <c r="D419" s="29">
        <v>9.1999999999999993</v>
      </c>
      <c r="E419" s="29">
        <v>18.399999999999999</v>
      </c>
      <c r="F419" s="30">
        <v>21.99</v>
      </c>
      <c r="G419" s="29">
        <v>43.98</v>
      </c>
      <c r="H419" s="28" t="s">
        <v>1060</v>
      </c>
      <c r="I419" s="27" t="s">
        <v>4</v>
      </c>
      <c r="J419" s="31" t="s">
        <v>5</v>
      </c>
      <c r="K419" s="27" t="s">
        <v>159</v>
      </c>
      <c r="L419" s="27" t="s">
        <v>160</v>
      </c>
      <c r="M419" s="32"/>
    </row>
    <row r="420" spans="1:13" ht="15.2" customHeight="1" x14ac:dyDescent="0.2">
      <c r="A420" s="26" t="s">
        <v>3642</v>
      </c>
      <c r="B420" s="27" t="s">
        <v>1676</v>
      </c>
      <c r="C420" s="28">
        <v>1</v>
      </c>
      <c r="D420" s="29">
        <v>9.1999999999999993</v>
      </c>
      <c r="E420" s="29">
        <v>9.1999999999999993</v>
      </c>
      <c r="F420" s="30">
        <v>21.99</v>
      </c>
      <c r="G420" s="29">
        <v>21.99</v>
      </c>
      <c r="H420" s="28" t="s">
        <v>1677</v>
      </c>
      <c r="I420" s="27" t="s">
        <v>4</v>
      </c>
      <c r="J420" s="31" t="s">
        <v>52</v>
      </c>
      <c r="K420" s="27" t="s">
        <v>159</v>
      </c>
      <c r="L420" s="27" t="s">
        <v>160</v>
      </c>
      <c r="M420" s="32"/>
    </row>
    <row r="421" spans="1:13" ht="15.2" customHeight="1" x14ac:dyDescent="0.2">
      <c r="A421" s="26" t="s">
        <v>7335</v>
      </c>
      <c r="B421" s="27" t="s">
        <v>1676</v>
      </c>
      <c r="C421" s="28">
        <v>1</v>
      </c>
      <c r="D421" s="29">
        <v>9.1999999999999993</v>
      </c>
      <c r="E421" s="29">
        <v>9.1999999999999993</v>
      </c>
      <c r="F421" s="30">
        <v>21.99</v>
      </c>
      <c r="G421" s="29">
        <v>21.99</v>
      </c>
      <c r="H421" s="28" t="s">
        <v>1677</v>
      </c>
      <c r="I421" s="27" t="s">
        <v>4</v>
      </c>
      <c r="J421" s="31" t="s">
        <v>71</v>
      </c>
      <c r="K421" s="27" t="s">
        <v>159</v>
      </c>
      <c r="L421" s="27" t="s">
        <v>160</v>
      </c>
      <c r="M421" s="32"/>
    </row>
    <row r="422" spans="1:13" ht="15.2" customHeight="1" x14ac:dyDescent="0.2">
      <c r="A422" s="26" t="s">
        <v>2785</v>
      </c>
      <c r="B422" s="27" t="s">
        <v>1676</v>
      </c>
      <c r="C422" s="28">
        <v>4</v>
      </c>
      <c r="D422" s="29">
        <v>9.1999999999999993</v>
      </c>
      <c r="E422" s="29">
        <v>36.799999999999997</v>
      </c>
      <c r="F422" s="30">
        <v>21.99</v>
      </c>
      <c r="G422" s="29">
        <v>87.96</v>
      </c>
      <c r="H422" s="28" t="s">
        <v>1677</v>
      </c>
      <c r="I422" s="27" t="s">
        <v>4</v>
      </c>
      <c r="J422" s="31" t="s">
        <v>5</v>
      </c>
      <c r="K422" s="27" t="s">
        <v>159</v>
      </c>
      <c r="L422" s="27" t="s">
        <v>160</v>
      </c>
      <c r="M422" s="32"/>
    </row>
    <row r="423" spans="1:13" ht="15.2" customHeight="1" x14ac:dyDescent="0.2">
      <c r="A423" s="26" t="s">
        <v>4137</v>
      </c>
      <c r="B423" s="27" t="s">
        <v>1676</v>
      </c>
      <c r="C423" s="28">
        <v>5</v>
      </c>
      <c r="D423" s="29">
        <v>9.1999999999999993</v>
      </c>
      <c r="E423" s="29">
        <v>46</v>
      </c>
      <c r="F423" s="30">
        <v>21.99</v>
      </c>
      <c r="G423" s="29">
        <v>109.95</v>
      </c>
      <c r="H423" s="28" t="s">
        <v>1677</v>
      </c>
      <c r="I423" s="27" t="s">
        <v>4</v>
      </c>
      <c r="J423" s="31" t="s">
        <v>21</v>
      </c>
      <c r="K423" s="27" t="s">
        <v>159</v>
      </c>
      <c r="L423" s="27" t="s">
        <v>160</v>
      </c>
      <c r="M423" s="32"/>
    </row>
    <row r="424" spans="1:13" ht="15.2" customHeight="1" x14ac:dyDescent="0.2">
      <c r="A424" s="26" t="s">
        <v>2055</v>
      </c>
      <c r="B424" s="27" t="s">
        <v>2056</v>
      </c>
      <c r="C424" s="28">
        <v>1</v>
      </c>
      <c r="D424" s="29">
        <v>8.5</v>
      </c>
      <c r="E424" s="29">
        <v>8.5</v>
      </c>
      <c r="F424" s="30">
        <v>19.989999999999998</v>
      </c>
      <c r="G424" s="29">
        <v>19.989999999999998</v>
      </c>
      <c r="H424" s="28" t="s">
        <v>587</v>
      </c>
      <c r="I424" s="27" t="s">
        <v>33</v>
      </c>
      <c r="J424" s="31" t="s">
        <v>40</v>
      </c>
      <c r="K424" s="27" t="s">
        <v>282</v>
      </c>
      <c r="L424" s="27" t="s">
        <v>312</v>
      </c>
      <c r="M424" s="32"/>
    </row>
    <row r="425" spans="1:13" ht="15.2" customHeight="1" x14ac:dyDescent="0.2">
      <c r="A425" s="26" t="s">
        <v>7336</v>
      </c>
      <c r="B425" s="27" t="s">
        <v>7337</v>
      </c>
      <c r="C425" s="28">
        <v>1</v>
      </c>
      <c r="D425" s="29">
        <v>8.4</v>
      </c>
      <c r="E425" s="29">
        <v>8.4</v>
      </c>
      <c r="F425" s="30">
        <v>19.989999999999998</v>
      </c>
      <c r="G425" s="29">
        <v>19.989999999999998</v>
      </c>
      <c r="H425" s="28" t="s">
        <v>7338</v>
      </c>
      <c r="I425" s="27" t="s">
        <v>189</v>
      </c>
      <c r="J425" s="31" t="s">
        <v>71</v>
      </c>
      <c r="K425" s="27" t="s">
        <v>159</v>
      </c>
      <c r="L425" s="27" t="s">
        <v>160</v>
      </c>
      <c r="M425" s="32"/>
    </row>
    <row r="426" spans="1:13" ht="15.2" customHeight="1" x14ac:dyDescent="0.2">
      <c r="A426" s="26" t="s">
        <v>7339</v>
      </c>
      <c r="B426" s="27" t="s">
        <v>7340</v>
      </c>
      <c r="C426" s="28">
        <v>1</v>
      </c>
      <c r="D426" s="29">
        <v>7.95</v>
      </c>
      <c r="E426" s="29">
        <v>7.95</v>
      </c>
      <c r="F426" s="30">
        <v>19.989999999999998</v>
      </c>
      <c r="G426" s="29">
        <v>19.989999999999998</v>
      </c>
      <c r="H426" s="28" t="s">
        <v>590</v>
      </c>
      <c r="I426" s="27" t="s">
        <v>189</v>
      </c>
      <c r="J426" s="31" t="s">
        <v>40</v>
      </c>
      <c r="K426" s="27" t="s">
        <v>196</v>
      </c>
      <c r="L426" s="27" t="s">
        <v>256</v>
      </c>
      <c r="M426" s="32"/>
    </row>
    <row r="427" spans="1:13" ht="15.2" customHeight="1" x14ac:dyDescent="0.2">
      <c r="A427" s="26" t="s">
        <v>602</v>
      </c>
      <c r="B427" s="27" t="s">
        <v>603</v>
      </c>
      <c r="C427" s="28">
        <v>1</v>
      </c>
      <c r="D427" s="29">
        <v>7.9</v>
      </c>
      <c r="E427" s="29">
        <v>7.9</v>
      </c>
      <c r="F427" s="30">
        <v>19.989999999999998</v>
      </c>
      <c r="G427" s="29">
        <v>19.989999999999998</v>
      </c>
      <c r="H427" s="28" t="s">
        <v>595</v>
      </c>
      <c r="I427" s="27" t="s">
        <v>22</v>
      </c>
      <c r="J427" s="31" t="s">
        <v>5</v>
      </c>
      <c r="K427" s="27" t="s">
        <v>282</v>
      </c>
      <c r="L427" s="27" t="s">
        <v>349</v>
      </c>
      <c r="M427" s="32"/>
    </row>
    <row r="428" spans="1:13" ht="15.2" customHeight="1" x14ac:dyDescent="0.2">
      <c r="A428" s="26" t="s">
        <v>7341</v>
      </c>
      <c r="B428" s="27" t="s">
        <v>1691</v>
      </c>
      <c r="C428" s="28">
        <v>1</v>
      </c>
      <c r="D428" s="29">
        <v>7.75</v>
      </c>
      <c r="E428" s="29">
        <v>7.75</v>
      </c>
      <c r="F428" s="30">
        <v>19.989999999999998</v>
      </c>
      <c r="G428" s="29">
        <v>19.989999999999998</v>
      </c>
      <c r="H428" s="28" t="s">
        <v>1692</v>
      </c>
      <c r="I428" s="27" t="s">
        <v>26</v>
      </c>
      <c r="J428" s="31" t="s">
        <v>71</v>
      </c>
      <c r="K428" s="27" t="s">
        <v>196</v>
      </c>
      <c r="L428" s="27" t="s">
        <v>256</v>
      </c>
      <c r="M428" s="32"/>
    </row>
    <row r="429" spans="1:13" ht="15.2" customHeight="1" x14ac:dyDescent="0.2">
      <c r="A429" s="26" t="s">
        <v>2060</v>
      </c>
      <c r="B429" s="27" t="s">
        <v>2061</v>
      </c>
      <c r="C429" s="28">
        <v>1</v>
      </c>
      <c r="D429" s="29">
        <v>7.7</v>
      </c>
      <c r="E429" s="29">
        <v>7.7</v>
      </c>
      <c r="F429" s="30">
        <v>18.989999999999998</v>
      </c>
      <c r="G429" s="29">
        <v>18.989999999999998</v>
      </c>
      <c r="H429" s="28" t="s">
        <v>2059</v>
      </c>
      <c r="I429" s="27" t="s">
        <v>144</v>
      </c>
      <c r="J429" s="31" t="s">
        <v>40</v>
      </c>
      <c r="K429" s="27" t="s">
        <v>208</v>
      </c>
      <c r="L429" s="27" t="s">
        <v>197</v>
      </c>
      <c r="M429" s="32"/>
    </row>
    <row r="430" spans="1:13" ht="15.2" customHeight="1" x14ac:dyDescent="0.2">
      <c r="A430" s="26" t="s">
        <v>4894</v>
      </c>
      <c r="B430" s="27" t="s">
        <v>4895</v>
      </c>
      <c r="C430" s="28">
        <v>1</v>
      </c>
      <c r="D430" s="29">
        <v>7.7</v>
      </c>
      <c r="E430" s="29">
        <v>7.7</v>
      </c>
      <c r="F430" s="30">
        <v>18.989999999999998</v>
      </c>
      <c r="G430" s="29">
        <v>18.989999999999998</v>
      </c>
      <c r="H430" s="28" t="s">
        <v>2059</v>
      </c>
      <c r="I430" s="27" t="s">
        <v>144</v>
      </c>
      <c r="J430" s="31" t="s">
        <v>21</v>
      </c>
      <c r="K430" s="27" t="s">
        <v>208</v>
      </c>
      <c r="L430" s="27" t="s">
        <v>197</v>
      </c>
      <c r="M430" s="32"/>
    </row>
    <row r="431" spans="1:13" ht="15.2" customHeight="1" x14ac:dyDescent="0.2">
      <c r="A431" s="26" t="s">
        <v>2790</v>
      </c>
      <c r="B431" s="27" t="s">
        <v>2791</v>
      </c>
      <c r="C431" s="28">
        <v>1</v>
      </c>
      <c r="D431" s="29">
        <v>7.7</v>
      </c>
      <c r="E431" s="29">
        <v>7.7</v>
      </c>
      <c r="F431" s="30">
        <v>18.989999999999998</v>
      </c>
      <c r="G431" s="29">
        <v>18.989999999999998</v>
      </c>
      <c r="H431" s="28" t="s">
        <v>2523</v>
      </c>
      <c r="I431" s="27" t="s">
        <v>207</v>
      </c>
      <c r="J431" s="31" t="s">
        <v>40</v>
      </c>
      <c r="K431" s="27" t="s">
        <v>208</v>
      </c>
      <c r="L431" s="27" t="s">
        <v>197</v>
      </c>
      <c r="M431" s="32"/>
    </row>
    <row r="432" spans="1:13" ht="15.2" customHeight="1" x14ac:dyDescent="0.2">
      <c r="A432" s="26" t="s">
        <v>7342</v>
      </c>
      <c r="B432" s="27" t="s">
        <v>2528</v>
      </c>
      <c r="C432" s="28">
        <v>1</v>
      </c>
      <c r="D432" s="29">
        <v>6.5</v>
      </c>
      <c r="E432" s="29">
        <v>6.5</v>
      </c>
      <c r="F432" s="30">
        <v>12.99</v>
      </c>
      <c r="G432" s="29">
        <v>12.99</v>
      </c>
      <c r="H432" s="28" t="s">
        <v>2529</v>
      </c>
      <c r="I432" s="27" t="s">
        <v>215</v>
      </c>
      <c r="J432" s="31" t="s">
        <v>71</v>
      </c>
      <c r="K432" s="27" t="s">
        <v>282</v>
      </c>
      <c r="L432" s="27" t="s">
        <v>312</v>
      </c>
      <c r="M432" s="32"/>
    </row>
    <row r="433" spans="1:13" ht="15.2" customHeight="1" x14ac:dyDescent="0.2">
      <c r="A433" s="26" t="s">
        <v>4322</v>
      </c>
      <c r="B433" s="27" t="s">
        <v>4323</v>
      </c>
      <c r="C433" s="28">
        <v>1</v>
      </c>
      <c r="D433" s="29">
        <v>6.32</v>
      </c>
      <c r="E433" s="29">
        <v>6.32</v>
      </c>
      <c r="F433" s="30">
        <v>14.99</v>
      </c>
      <c r="G433" s="29">
        <v>14.99</v>
      </c>
      <c r="H433" s="28" t="s">
        <v>4324</v>
      </c>
      <c r="I433" s="27" t="s">
        <v>103</v>
      </c>
      <c r="J433" s="31" t="s">
        <v>40</v>
      </c>
      <c r="K433" s="27" t="s">
        <v>159</v>
      </c>
      <c r="L433" s="27" t="s">
        <v>160</v>
      </c>
      <c r="M433" s="32"/>
    </row>
    <row r="434" spans="1:13" ht="15.2" customHeight="1" x14ac:dyDescent="0.2">
      <c r="A434" s="26" t="s">
        <v>5384</v>
      </c>
      <c r="B434" s="27" t="s">
        <v>2531</v>
      </c>
      <c r="C434" s="28">
        <v>1</v>
      </c>
      <c r="D434" s="29">
        <v>6.25</v>
      </c>
      <c r="E434" s="29">
        <v>6.25</v>
      </c>
      <c r="F434" s="30">
        <v>14.99</v>
      </c>
      <c r="G434" s="29">
        <v>14.99</v>
      </c>
      <c r="H434" s="28" t="s">
        <v>2532</v>
      </c>
      <c r="I434" s="27" t="s">
        <v>238</v>
      </c>
      <c r="J434" s="31" t="s">
        <v>21</v>
      </c>
      <c r="K434" s="27" t="s">
        <v>159</v>
      </c>
      <c r="L434" s="27" t="s">
        <v>160</v>
      </c>
      <c r="M434" s="32"/>
    </row>
    <row r="435" spans="1:13" ht="15.2" customHeight="1" x14ac:dyDescent="0.2">
      <c r="A435" s="26" t="s">
        <v>4164</v>
      </c>
      <c r="B435" s="27" t="s">
        <v>4165</v>
      </c>
      <c r="C435" s="28">
        <v>1</v>
      </c>
      <c r="D435" s="29">
        <v>6.25</v>
      </c>
      <c r="E435" s="29">
        <v>6.25</v>
      </c>
      <c r="F435" s="30">
        <v>14.99</v>
      </c>
      <c r="G435" s="29">
        <v>14.99</v>
      </c>
      <c r="H435" s="28" t="s">
        <v>4166</v>
      </c>
      <c r="I435" s="27" t="s">
        <v>82</v>
      </c>
      <c r="J435" s="31" t="s">
        <v>71</v>
      </c>
      <c r="K435" s="27" t="s">
        <v>159</v>
      </c>
      <c r="L435" s="27" t="s">
        <v>160</v>
      </c>
      <c r="M435" s="32"/>
    </row>
    <row r="436" spans="1:13" ht="15.2" customHeight="1" x14ac:dyDescent="0.2">
      <c r="A436" s="26" t="s">
        <v>7343</v>
      </c>
      <c r="B436" s="27" t="s">
        <v>7344</v>
      </c>
      <c r="C436" s="28">
        <v>1</v>
      </c>
      <c r="D436" s="29">
        <v>6.15</v>
      </c>
      <c r="E436" s="29">
        <v>6.15</v>
      </c>
      <c r="F436" s="30">
        <v>16.989999999999998</v>
      </c>
      <c r="G436" s="29">
        <v>16.989999999999998</v>
      </c>
      <c r="H436" s="28" t="s">
        <v>4741</v>
      </c>
      <c r="I436" s="27" t="s">
        <v>94</v>
      </c>
      <c r="J436" s="31" t="s">
        <v>21</v>
      </c>
      <c r="K436" s="27" t="s">
        <v>200</v>
      </c>
      <c r="L436" s="27" t="s">
        <v>260</v>
      </c>
      <c r="M436" s="32"/>
    </row>
    <row r="437" spans="1:13" ht="15.2" customHeight="1" x14ac:dyDescent="0.2">
      <c r="A437" s="26" t="s">
        <v>5521</v>
      </c>
      <c r="B437" s="27" t="s">
        <v>5522</v>
      </c>
      <c r="C437" s="28">
        <v>1</v>
      </c>
      <c r="D437" s="29">
        <v>6.15</v>
      </c>
      <c r="E437" s="29">
        <v>6.15</v>
      </c>
      <c r="F437" s="30">
        <v>14.99</v>
      </c>
      <c r="G437" s="29">
        <v>14.99</v>
      </c>
      <c r="H437" s="28" t="s">
        <v>5523</v>
      </c>
      <c r="I437" s="27" t="s">
        <v>661</v>
      </c>
      <c r="J437" s="31" t="s">
        <v>21</v>
      </c>
      <c r="K437" s="27" t="s">
        <v>159</v>
      </c>
      <c r="L437" s="27" t="s">
        <v>160</v>
      </c>
      <c r="M437" s="32"/>
    </row>
    <row r="438" spans="1:13" ht="15.2" customHeight="1" x14ac:dyDescent="0.2">
      <c r="A438" s="26" t="s">
        <v>6756</v>
      </c>
      <c r="B438" s="27" t="s">
        <v>5522</v>
      </c>
      <c r="C438" s="28">
        <v>1</v>
      </c>
      <c r="D438" s="29">
        <v>6.15</v>
      </c>
      <c r="E438" s="29">
        <v>6.15</v>
      </c>
      <c r="F438" s="30">
        <v>14.99</v>
      </c>
      <c r="G438" s="29">
        <v>14.99</v>
      </c>
      <c r="H438" s="28" t="s">
        <v>5523</v>
      </c>
      <c r="I438" s="27" t="s">
        <v>661</v>
      </c>
      <c r="J438" s="31" t="s">
        <v>40</v>
      </c>
      <c r="K438" s="27" t="s">
        <v>159</v>
      </c>
      <c r="L438" s="27" t="s">
        <v>160</v>
      </c>
      <c r="M438" s="32"/>
    </row>
    <row r="439" spans="1:13" ht="15.2" customHeight="1" x14ac:dyDescent="0.2">
      <c r="A439" s="26" t="s">
        <v>7345</v>
      </c>
      <c r="B439" s="27" t="s">
        <v>7346</v>
      </c>
      <c r="C439" s="28">
        <v>1</v>
      </c>
      <c r="D439" s="29">
        <v>6</v>
      </c>
      <c r="E439" s="29">
        <v>6</v>
      </c>
      <c r="F439" s="30">
        <v>12.99</v>
      </c>
      <c r="G439" s="29">
        <v>12.99</v>
      </c>
      <c r="H439" s="28" t="s">
        <v>5952</v>
      </c>
      <c r="I439" s="27" t="s">
        <v>82</v>
      </c>
      <c r="J439" s="31" t="s">
        <v>52</v>
      </c>
      <c r="K439" s="27" t="s">
        <v>282</v>
      </c>
      <c r="L439" s="27" t="s">
        <v>349</v>
      </c>
      <c r="M439" s="32"/>
    </row>
    <row r="440" spans="1:13" ht="15.2" customHeight="1" x14ac:dyDescent="0.2">
      <c r="A440" s="26" t="s">
        <v>2535</v>
      </c>
      <c r="B440" s="27" t="s">
        <v>612</v>
      </c>
      <c r="C440" s="28">
        <v>2</v>
      </c>
      <c r="D440" s="29">
        <v>5.75</v>
      </c>
      <c r="E440" s="29">
        <v>11.5</v>
      </c>
      <c r="F440" s="30">
        <v>12.99</v>
      </c>
      <c r="G440" s="29">
        <v>25.98</v>
      </c>
      <c r="H440" s="28" t="s">
        <v>613</v>
      </c>
      <c r="I440" s="27" t="s">
        <v>4</v>
      </c>
      <c r="J440" s="31" t="s">
        <v>52</v>
      </c>
      <c r="K440" s="27" t="s">
        <v>282</v>
      </c>
      <c r="L440" s="27" t="s">
        <v>386</v>
      </c>
      <c r="M440" s="32"/>
    </row>
    <row r="441" spans="1:13" ht="15.2" customHeight="1" x14ac:dyDescent="0.2">
      <c r="A441" s="26" t="s">
        <v>2534</v>
      </c>
      <c r="B441" s="27" t="s">
        <v>612</v>
      </c>
      <c r="C441" s="28">
        <v>1</v>
      </c>
      <c r="D441" s="29">
        <v>5.75</v>
      </c>
      <c r="E441" s="29">
        <v>5.75</v>
      </c>
      <c r="F441" s="30">
        <v>12.99</v>
      </c>
      <c r="G441" s="29">
        <v>12.99</v>
      </c>
      <c r="H441" s="28" t="s">
        <v>613</v>
      </c>
      <c r="I441" s="27" t="s">
        <v>4</v>
      </c>
      <c r="J441" s="31" t="s">
        <v>71</v>
      </c>
      <c r="K441" s="27" t="s">
        <v>282</v>
      </c>
      <c r="L441" s="27" t="s">
        <v>386</v>
      </c>
      <c r="M441" s="32"/>
    </row>
    <row r="442" spans="1:13" ht="15.2" customHeight="1" x14ac:dyDescent="0.2">
      <c r="A442" s="26" t="s">
        <v>2541</v>
      </c>
      <c r="B442" s="27" t="s">
        <v>2537</v>
      </c>
      <c r="C442" s="28">
        <v>2</v>
      </c>
      <c r="D442" s="29">
        <v>5.65</v>
      </c>
      <c r="E442" s="29">
        <v>11.3</v>
      </c>
      <c r="F442" s="30">
        <v>12.99</v>
      </c>
      <c r="G442" s="29">
        <v>25.98</v>
      </c>
      <c r="H442" s="28" t="s">
        <v>2538</v>
      </c>
      <c r="I442" s="27" t="s">
        <v>280</v>
      </c>
      <c r="J442" s="31" t="s">
        <v>21</v>
      </c>
      <c r="K442" s="27" t="s">
        <v>282</v>
      </c>
      <c r="L442" s="27" t="s">
        <v>393</v>
      </c>
      <c r="M442" s="32"/>
    </row>
    <row r="443" spans="1:13" ht="15.2" customHeight="1" x14ac:dyDescent="0.2">
      <c r="A443" s="26" t="s">
        <v>2540</v>
      </c>
      <c r="B443" s="27" t="s">
        <v>2537</v>
      </c>
      <c r="C443" s="28">
        <v>2</v>
      </c>
      <c r="D443" s="29">
        <v>5.65</v>
      </c>
      <c r="E443" s="29">
        <v>11.3</v>
      </c>
      <c r="F443" s="30">
        <v>12.99</v>
      </c>
      <c r="G443" s="29">
        <v>25.98</v>
      </c>
      <c r="H443" s="28" t="s">
        <v>2538</v>
      </c>
      <c r="I443" s="27" t="s">
        <v>280</v>
      </c>
      <c r="J443" s="31" t="s">
        <v>5</v>
      </c>
      <c r="K443" s="27" t="s">
        <v>282</v>
      </c>
      <c r="L443" s="27" t="s">
        <v>393</v>
      </c>
      <c r="M443" s="32"/>
    </row>
    <row r="444" spans="1:13" ht="15.2" customHeight="1" x14ac:dyDescent="0.2">
      <c r="A444" s="26" t="s">
        <v>2539</v>
      </c>
      <c r="B444" s="27" t="s">
        <v>2537</v>
      </c>
      <c r="C444" s="28">
        <v>2</v>
      </c>
      <c r="D444" s="29">
        <v>5.65</v>
      </c>
      <c r="E444" s="29">
        <v>11.3</v>
      </c>
      <c r="F444" s="30">
        <v>12.99</v>
      </c>
      <c r="G444" s="29">
        <v>25.98</v>
      </c>
      <c r="H444" s="28" t="s">
        <v>2538</v>
      </c>
      <c r="I444" s="27" t="s">
        <v>280</v>
      </c>
      <c r="J444" s="31" t="s">
        <v>71</v>
      </c>
      <c r="K444" s="27" t="s">
        <v>282</v>
      </c>
      <c r="L444" s="27" t="s">
        <v>393</v>
      </c>
      <c r="M444" s="32"/>
    </row>
    <row r="445" spans="1:13" ht="15.2" customHeight="1" x14ac:dyDescent="0.2">
      <c r="A445" s="26" t="s">
        <v>622</v>
      </c>
      <c r="B445" s="27" t="s">
        <v>623</v>
      </c>
      <c r="C445" s="28">
        <v>1</v>
      </c>
      <c r="D445" s="29">
        <v>5.5</v>
      </c>
      <c r="E445" s="29">
        <v>5.5</v>
      </c>
      <c r="F445" s="30">
        <v>13.99</v>
      </c>
      <c r="G445" s="29">
        <v>13.99</v>
      </c>
      <c r="H445" s="28" t="s">
        <v>619</v>
      </c>
      <c r="I445" s="27" t="s">
        <v>94</v>
      </c>
      <c r="J445" s="31" t="s">
        <v>65</v>
      </c>
      <c r="K445" s="27" t="s">
        <v>70</v>
      </c>
      <c r="L445" s="27" t="s">
        <v>353</v>
      </c>
      <c r="M445" s="32"/>
    </row>
    <row r="446" spans="1:13" ht="15.2" customHeight="1" x14ac:dyDescent="0.2">
      <c r="A446" s="26" t="s">
        <v>637</v>
      </c>
      <c r="B446" s="27" t="s">
        <v>638</v>
      </c>
      <c r="C446" s="28">
        <v>1</v>
      </c>
      <c r="D446" s="29">
        <v>5.5</v>
      </c>
      <c r="E446" s="29">
        <v>5.5</v>
      </c>
      <c r="F446" s="30">
        <v>13.99</v>
      </c>
      <c r="G446" s="29">
        <v>13.99</v>
      </c>
      <c r="H446" s="28" t="s">
        <v>619</v>
      </c>
      <c r="I446" s="27" t="s">
        <v>22</v>
      </c>
      <c r="J446" s="31" t="s">
        <v>71</v>
      </c>
      <c r="K446" s="27" t="s">
        <v>70</v>
      </c>
      <c r="L446" s="27" t="s">
        <v>353</v>
      </c>
      <c r="M446" s="32"/>
    </row>
    <row r="447" spans="1:13" ht="15.2" customHeight="1" x14ac:dyDescent="0.2">
      <c r="A447" s="26" t="s">
        <v>6759</v>
      </c>
      <c r="B447" s="27" t="s">
        <v>6760</v>
      </c>
      <c r="C447" s="28">
        <v>1</v>
      </c>
      <c r="D447" s="29">
        <v>5.5</v>
      </c>
      <c r="E447" s="29">
        <v>5.5</v>
      </c>
      <c r="F447" s="30">
        <v>12.99</v>
      </c>
      <c r="G447" s="29">
        <v>12.99</v>
      </c>
      <c r="H447" s="28" t="s">
        <v>4331</v>
      </c>
      <c r="I447" s="27" t="s">
        <v>82</v>
      </c>
      <c r="J447" s="31" t="s">
        <v>5</v>
      </c>
      <c r="K447" s="27" t="s">
        <v>70</v>
      </c>
      <c r="L447" s="27" t="s">
        <v>353</v>
      </c>
      <c r="M447" s="32"/>
    </row>
    <row r="448" spans="1:13" ht="15.2" customHeight="1" x14ac:dyDescent="0.2">
      <c r="A448" s="26" t="s">
        <v>2071</v>
      </c>
      <c r="B448" s="27" t="s">
        <v>2072</v>
      </c>
      <c r="C448" s="28">
        <v>1</v>
      </c>
      <c r="D448" s="29">
        <v>5.5</v>
      </c>
      <c r="E448" s="29">
        <v>5.5</v>
      </c>
      <c r="F448" s="30">
        <v>13.99</v>
      </c>
      <c r="G448" s="29">
        <v>13.99</v>
      </c>
      <c r="H448" s="28" t="s">
        <v>619</v>
      </c>
      <c r="I448" s="27" t="s">
        <v>94</v>
      </c>
      <c r="J448" s="31" t="s">
        <v>71</v>
      </c>
      <c r="K448" s="27" t="s">
        <v>70</v>
      </c>
      <c r="L448" s="27" t="s">
        <v>353</v>
      </c>
      <c r="M448" s="3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20"/>
  <sheetViews>
    <sheetView workbookViewId="0">
      <selection activeCell="B32" sqref="B32"/>
    </sheetView>
  </sheetViews>
  <sheetFormatPr defaultRowHeight="15.2" customHeight="1" x14ac:dyDescent="0.2"/>
  <cols>
    <col min="1" max="1" width="14.85546875" style="1" bestFit="1" customWidth="1"/>
    <col min="2" max="2" width="72.42578125" style="1" bestFit="1" customWidth="1"/>
    <col min="3" max="3" width="6.42578125" style="1" bestFit="1" customWidth="1"/>
    <col min="4" max="4" width="7.5703125" style="1" bestFit="1" customWidth="1"/>
    <col min="5" max="5" width="9.5703125" style="1" bestFit="1" customWidth="1"/>
    <col min="6" max="6" width="8.7109375" style="1" bestFit="1" customWidth="1"/>
    <col min="7" max="7" width="11.140625" style="1" bestFit="1" customWidth="1"/>
    <col min="8" max="8" width="18.85546875" style="1" bestFit="1" customWidth="1"/>
    <col min="9" max="9" width="14.7109375" style="1" bestFit="1" customWidth="1"/>
    <col min="10" max="10" width="12" style="1" bestFit="1" customWidth="1"/>
    <col min="11" max="11" width="19" style="1" bestFit="1" customWidth="1"/>
    <col min="12" max="12" width="43.7109375" style="1" bestFit="1" customWidth="1"/>
    <col min="13" max="13" width="49.42578125" style="1" bestFit="1" customWidth="1"/>
    <col min="14" max="16384" width="9.140625" style="1"/>
  </cols>
  <sheetData>
    <row r="1" spans="1:13" ht="15.2" customHeight="1" x14ac:dyDescent="0.2">
      <c r="A1" s="25" t="s">
        <v>0</v>
      </c>
      <c r="B1" s="25" t="s">
        <v>11929</v>
      </c>
      <c r="C1" s="25" t="s">
        <v>11915</v>
      </c>
      <c r="D1" s="25" t="s">
        <v>11927</v>
      </c>
      <c r="E1" s="25" t="s">
        <v>11928</v>
      </c>
      <c r="F1" s="25" t="s">
        <v>11919</v>
      </c>
      <c r="G1" s="25" t="s">
        <v>11920</v>
      </c>
      <c r="H1" s="25" t="s">
        <v>11921</v>
      </c>
      <c r="I1" s="25" t="s">
        <v>11922</v>
      </c>
      <c r="J1" s="25" t="s">
        <v>11923</v>
      </c>
      <c r="K1" s="25" t="s">
        <v>11924</v>
      </c>
      <c r="L1" s="25" t="s">
        <v>11925</v>
      </c>
      <c r="M1" s="25" t="s">
        <v>11926</v>
      </c>
    </row>
    <row r="2" spans="1:13" ht="15.2" customHeight="1" x14ac:dyDescent="0.2">
      <c r="A2" s="26" t="s">
        <v>7830</v>
      </c>
      <c r="B2" s="27" t="s">
        <v>7831</v>
      </c>
      <c r="C2" s="28">
        <v>1</v>
      </c>
      <c r="D2" s="29">
        <v>45</v>
      </c>
      <c r="E2" s="29">
        <v>45</v>
      </c>
      <c r="F2" s="30">
        <v>118</v>
      </c>
      <c r="G2" s="29">
        <v>118</v>
      </c>
      <c r="H2" s="28" t="s">
        <v>7832</v>
      </c>
      <c r="I2" s="27" t="s">
        <v>36</v>
      </c>
      <c r="J2" s="31" t="s">
        <v>71</v>
      </c>
      <c r="K2" s="27" t="s">
        <v>17</v>
      </c>
      <c r="L2" s="27" t="s">
        <v>18</v>
      </c>
      <c r="M2" s="32" t="str">
        <f>HYPERLINK("http://slimages.macys.com/is/image/MCY/3875693 ")</f>
        <v xml:space="preserve">http://slimages.macys.com/is/image/MCY/3875693 </v>
      </c>
    </row>
    <row r="3" spans="1:13" ht="15.2" customHeight="1" x14ac:dyDescent="0.2">
      <c r="A3" s="26" t="s">
        <v>7833</v>
      </c>
      <c r="B3" s="27" t="s">
        <v>7834</v>
      </c>
      <c r="C3" s="28">
        <v>1</v>
      </c>
      <c r="D3" s="29">
        <v>34</v>
      </c>
      <c r="E3" s="29">
        <v>34</v>
      </c>
      <c r="F3" s="30">
        <v>99</v>
      </c>
      <c r="G3" s="29">
        <v>99</v>
      </c>
      <c r="H3" s="28" t="s">
        <v>4910</v>
      </c>
      <c r="I3" s="27" t="s">
        <v>291</v>
      </c>
      <c r="J3" s="31" t="s">
        <v>234</v>
      </c>
      <c r="K3" s="27" t="s">
        <v>24</v>
      </c>
      <c r="L3" s="27" t="s">
        <v>25</v>
      </c>
      <c r="M3" s="32" t="str">
        <f>HYPERLINK("http://slimages.macys.com/is/image/MCY/2950892 ")</f>
        <v xml:space="preserve">http://slimages.macys.com/is/image/MCY/2950892 </v>
      </c>
    </row>
    <row r="4" spans="1:13" ht="15.2" customHeight="1" x14ac:dyDescent="0.2">
      <c r="A4" s="26" t="s">
        <v>1082</v>
      </c>
      <c r="B4" s="27" t="s">
        <v>1083</v>
      </c>
      <c r="C4" s="28">
        <v>2</v>
      </c>
      <c r="D4" s="29">
        <v>31.83</v>
      </c>
      <c r="E4" s="29">
        <v>63.66</v>
      </c>
      <c r="F4" s="30">
        <v>72.989999999999995</v>
      </c>
      <c r="G4" s="29">
        <v>145.97999999999999</v>
      </c>
      <c r="H4" s="28" t="s">
        <v>653</v>
      </c>
      <c r="I4" s="27" t="s">
        <v>333</v>
      </c>
      <c r="J4" s="31" t="s">
        <v>5</v>
      </c>
      <c r="K4" s="27" t="s">
        <v>41</v>
      </c>
      <c r="L4" s="27" t="s">
        <v>649</v>
      </c>
      <c r="M4" s="32" t="str">
        <f>HYPERLINK("http://slimages.macys.com/is/image/MCY/3828767 ")</f>
        <v xml:space="preserve">http://slimages.macys.com/is/image/MCY/3828767 </v>
      </c>
    </row>
    <row r="5" spans="1:13" ht="15.2" customHeight="1" x14ac:dyDescent="0.2">
      <c r="A5" s="26" t="s">
        <v>7835</v>
      </c>
      <c r="B5" s="27" t="s">
        <v>7836</v>
      </c>
      <c r="C5" s="28">
        <v>1</v>
      </c>
      <c r="D5" s="29">
        <v>30</v>
      </c>
      <c r="E5" s="29">
        <v>30</v>
      </c>
      <c r="F5" s="30">
        <v>79.5</v>
      </c>
      <c r="G5" s="29">
        <v>79.5</v>
      </c>
      <c r="H5" s="28" t="s">
        <v>7837</v>
      </c>
      <c r="I5" s="27" t="s">
        <v>36</v>
      </c>
      <c r="J5" s="31" t="s">
        <v>5</v>
      </c>
      <c r="K5" s="27" t="s">
        <v>17</v>
      </c>
      <c r="L5" s="27" t="s">
        <v>18</v>
      </c>
      <c r="M5" s="32" t="str">
        <f>HYPERLINK("http://slimages.macys.com/is/image/MCY/3623644 ")</f>
        <v xml:space="preserve">http://slimages.macys.com/is/image/MCY/3623644 </v>
      </c>
    </row>
    <row r="6" spans="1:13" ht="15.2" customHeight="1" x14ac:dyDescent="0.2">
      <c r="A6" s="26" t="s">
        <v>7838</v>
      </c>
      <c r="B6" s="27" t="s">
        <v>7839</v>
      </c>
      <c r="C6" s="28">
        <v>1</v>
      </c>
      <c r="D6" s="29">
        <v>27.65</v>
      </c>
      <c r="E6" s="29">
        <v>27.65</v>
      </c>
      <c r="F6" s="30">
        <v>79</v>
      </c>
      <c r="G6" s="29">
        <v>79</v>
      </c>
      <c r="H6" s="28" t="s">
        <v>7840</v>
      </c>
      <c r="I6" s="27" t="s">
        <v>36</v>
      </c>
      <c r="J6" s="31" t="s">
        <v>172</v>
      </c>
      <c r="K6" s="27" t="s">
        <v>654</v>
      </c>
      <c r="L6" s="27" t="s">
        <v>655</v>
      </c>
      <c r="M6" s="32" t="str">
        <f>HYPERLINK("http://slimages.macys.com/is/image/MCY/3971168 ")</f>
        <v xml:space="preserve">http://slimages.macys.com/is/image/MCY/3971168 </v>
      </c>
    </row>
    <row r="7" spans="1:13" ht="15.2" customHeight="1" x14ac:dyDescent="0.2">
      <c r="A7" s="26" t="s">
        <v>1727</v>
      </c>
      <c r="B7" s="27" t="s">
        <v>1728</v>
      </c>
      <c r="C7" s="28">
        <v>1</v>
      </c>
      <c r="D7" s="29">
        <v>27</v>
      </c>
      <c r="E7" s="29">
        <v>27</v>
      </c>
      <c r="F7" s="30">
        <v>69.5</v>
      </c>
      <c r="G7" s="29">
        <v>69.5</v>
      </c>
      <c r="H7" s="28" t="s">
        <v>19</v>
      </c>
      <c r="I7" s="27" t="s">
        <v>20</v>
      </c>
      <c r="J7" s="31" t="s">
        <v>71</v>
      </c>
      <c r="K7" s="27" t="s">
        <v>17</v>
      </c>
      <c r="L7" s="27" t="s">
        <v>18</v>
      </c>
      <c r="M7" s="32" t="str">
        <f>HYPERLINK("http://slimages.macys.com/is/image/MCY/3971150 ")</f>
        <v xml:space="preserve">http://slimages.macys.com/is/image/MCY/3971150 </v>
      </c>
    </row>
    <row r="8" spans="1:13" ht="15.2" customHeight="1" x14ac:dyDescent="0.2">
      <c r="A8" s="26" t="s">
        <v>7841</v>
      </c>
      <c r="B8" s="27" t="s">
        <v>7842</v>
      </c>
      <c r="C8" s="28">
        <v>1</v>
      </c>
      <c r="D8" s="29">
        <v>26</v>
      </c>
      <c r="E8" s="29">
        <v>26</v>
      </c>
      <c r="F8" s="30">
        <v>88</v>
      </c>
      <c r="G8" s="29">
        <v>88</v>
      </c>
      <c r="H8" s="28" t="s">
        <v>7843</v>
      </c>
      <c r="I8" s="27" t="s">
        <v>36</v>
      </c>
      <c r="J8" s="31" t="s">
        <v>5</v>
      </c>
      <c r="K8" s="27" t="s">
        <v>1089</v>
      </c>
      <c r="L8" s="27" t="s">
        <v>1090</v>
      </c>
      <c r="M8" s="32" t="str">
        <f>HYPERLINK("http://slimages.macys.com/is/image/MCY/3790120 ")</f>
        <v xml:space="preserve">http://slimages.macys.com/is/image/MCY/3790120 </v>
      </c>
    </row>
    <row r="9" spans="1:13" ht="15.2" customHeight="1" x14ac:dyDescent="0.2">
      <c r="A9" s="26" t="s">
        <v>1729</v>
      </c>
      <c r="B9" s="27" t="s">
        <v>1730</v>
      </c>
      <c r="C9" s="28">
        <v>1</v>
      </c>
      <c r="D9" s="29">
        <v>24.97</v>
      </c>
      <c r="E9" s="29">
        <v>24.97</v>
      </c>
      <c r="F9" s="30">
        <v>69.5</v>
      </c>
      <c r="G9" s="29">
        <v>69.5</v>
      </c>
      <c r="H9" s="28" t="s">
        <v>1093</v>
      </c>
      <c r="I9" s="27" t="s">
        <v>22</v>
      </c>
      <c r="J9" s="31" t="s">
        <v>40</v>
      </c>
      <c r="K9" s="27" t="s">
        <v>41</v>
      </c>
      <c r="L9" s="27" t="s">
        <v>45</v>
      </c>
      <c r="M9" s="32" t="str">
        <f>HYPERLINK("http://slimages.macys.com/is/image/MCY/2962546 ")</f>
        <v xml:space="preserve">http://slimages.macys.com/is/image/MCY/2962546 </v>
      </c>
    </row>
    <row r="10" spans="1:13" ht="15.2" customHeight="1" x14ac:dyDescent="0.2">
      <c r="A10" s="26" t="s">
        <v>2077</v>
      </c>
      <c r="B10" s="27" t="s">
        <v>2078</v>
      </c>
      <c r="C10" s="28">
        <v>3</v>
      </c>
      <c r="D10" s="29">
        <v>24.97</v>
      </c>
      <c r="E10" s="29">
        <v>74.91</v>
      </c>
      <c r="F10" s="30">
        <v>69.5</v>
      </c>
      <c r="G10" s="29">
        <v>208.5</v>
      </c>
      <c r="H10" s="28" t="s">
        <v>1093</v>
      </c>
      <c r="I10" s="27" t="s">
        <v>22</v>
      </c>
      <c r="J10" s="31" t="s">
        <v>21</v>
      </c>
      <c r="K10" s="27" t="s">
        <v>41</v>
      </c>
      <c r="L10" s="27" t="s">
        <v>45</v>
      </c>
      <c r="M10" s="32" t="str">
        <f>HYPERLINK("http://slimages.macys.com/is/image/MCY/2962546 ")</f>
        <v xml:space="preserve">http://slimages.macys.com/is/image/MCY/2962546 </v>
      </c>
    </row>
    <row r="11" spans="1:13" ht="15.2" customHeight="1" x14ac:dyDescent="0.2">
      <c r="A11" s="26" t="s">
        <v>1094</v>
      </c>
      <c r="B11" s="27" t="s">
        <v>1095</v>
      </c>
      <c r="C11" s="28">
        <v>2</v>
      </c>
      <c r="D11" s="29">
        <v>24.97</v>
      </c>
      <c r="E11" s="29">
        <v>49.94</v>
      </c>
      <c r="F11" s="30">
        <v>69.5</v>
      </c>
      <c r="G11" s="29">
        <v>139</v>
      </c>
      <c r="H11" s="28" t="s">
        <v>1093</v>
      </c>
      <c r="I11" s="27" t="s">
        <v>22</v>
      </c>
      <c r="J11" s="31" t="s">
        <v>5</v>
      </c>
      <c r="K11" s="27" t="s">
        <v>41</v>
      </c>
      <c r="L11" s="27" t="s">
        <v>45</v>
      </c>
      <c r="M11" s="32" t="str">
        <f>HYPERLINK("http://slimages.macys.com/is/image/MCY/2962546 ")</f>
        <v xml:space="preserve">http://slimages.macys.com/is/image/MCY/2962546 </v>
      </c>
    </row>
    <row r="12" spans="1:13" ht="15.2" customHeight="1" x14ac:dyDescent="0.2">
      <c r="A12" s="26" t="s">
        <v>1091</v>
      </c>
      <c r="B12" s="27" t="s">
        <v>1092</v>
      </c>
      <c r="C12" s="28">
        <v>1</v>
      </c>
      <c r="D12" s="29">
        <v>24.97</v>
      </c>
      <c r="E12" s="29">
        <v>24.97</v>
      </c>
      <c r="F12" s="30">
        <v>69.5</v>
      </c>
      <c r="G12" s="29">
        <v>69.5</v>
      </c>
      <c r="H12" s="28" t="s">
        <v>1093</v>
      </c>
      <c r="I12" s="27" t="s">
        <v>22</v>
      </c>
      <c r="J12" s="31" t="s">
        <v>52</v>
      </c>
      <c r="K12" s="27" t="s">
        <v>41</v>
      </c>
      <c r="L12" s="27" t="s">
        <v>45</v>
      </c>
      <c r="M12" s="32" t="str">
        <f>HYPERLINK("http://slimages.macys.com/is/image/MCY/2962546 ")</f>
        <v xml:space="preserve">http://slimages.macys.com/is/image/MCY/2962546 </v>
      </c>
    </row>
    <row r="13" spans="1:13" ht="15.2" customHeight="1" x14ac:dyDescent="0.2">
      <c r="A13" s="26" t="s">
        <v>7715</v>
      </c>
      <c r="B13" s="27" t="s">
        <v>7716</v>
      </c>
      <c r="C13" s="28">
        <v>1</v>
      </c>
      <c r="D13" s="29">
        <v>24.62</v>
      </c>
      <c r="E13" s="29">
        <v>24.62</v>
      </c>
      <c r="F13" s="30">
        <v>74.5</v>
      </c>
      <c r="G13" s="29">
        <v>74.5</v>
      </c>
      <c r="H13" s="28" t="s">
        <v>1731</v>
      </c>
      <c r="I13" s="27" t="s">
        <v>10</v>
      </c>
      <c r="J13" s="31" t="s">
        <v>40</v>
      </c>
      <c r="K13" s="27" t="s">
        <v>41</v>
      </c>
      <c r="L13" s="27" t="s">
        <v>45</v>
      </c>
      <c r="M13" s="32" t="str">
        <f>HYPERLINK("http://slimages.macys.com/is/image/MCY/3736749 ")</f>
        <v xml:space="preserve">http://slimages.macys.com/is/image/MCY/3736749 </v>
      </c>
    </row>
    <row r="14" spans="1:13" ht="15.2" customHeight="1" x14ac:dyDescent="0.2">
      <c r="A14" s="26" t="s">
        <v>7844</v>
      </c>
      <c r="B14" s="27" t="s">
        <v>7845</v>
      </c>
      <c r="C14" s="28">
        <v>2</v>
      </c>
      <c r="D14" s="29">
        <v>24.62</v>
      </c>
      <c r="E14" s="29">
        <v>49.24</v>
      </c>
      <c r="F14" s="30">
        <v>74.5</v>
      </c>
      <c r="G14" s="29">
        <v>149</v>
      </c>
      <c r="H14" s="28" t="s">
        <v>1731</v>
      </c>
      <c r="I14" s="27" t="s">
        <v>10</v>
      </c>
      <c r="J14" s="31" t="s">
        <v>52</v>
      </c>
      <c r="K14" s="27" t="s">
        <v>41</v>
      </c>
      <c r="L14" s="27" t="s">
        <v>45</v>
      </c>
      <c r="M14" s="32" t="str">
        <f>HYPERLINK("http://slimages.macys.com/is/image/MCY/3736749 ")</f>
        <v xml:space="preserve">http://slimages.macys.com/is/image/MCY/3736749 </v>
      </c>
    </row>
    <row r="15" spans="1:13" ht="15.2" customHeight="1" x14ac:dyDescent="0.2">
      <c r="A15" s="26" t="s">
        <v>7713</v>
      </c>
      <c r="B15" s="27" t="s">
        <v>7714</v>
      </c>
      <c r="C15" s="28">
        <v>3</v>
      </c>
      <c r="D15" s="29">
        <v>24.62</v>
      </c>
      <c r="E15" s="29">
        <v>73.86</v>
      </c>
      <c r="F15" s="30">
        <v>74.5</v>
      </c>
      <c r="G15" s="29">
        <v>223.5</v>
      </c>
      <c r="H15" s="28" t="s">
        <v>1731</v>
      </c>
      <c r="I15" s="27" t="s">
        <v>10</v>
      </c>
      <c r="J15" s="31" t="s">
        <v>21</v>
      </c>
      <c r="K15" s="27" t="s">
        <v>41</v>
      </c>
      <c r="L15" s="27" t="s">
        <v>45</v>
      </c>
      <c r="M15" s="32" t="str">
        <f>HYPERLINK("http://slimages.macys.com/is/image/MCY/3736749 ")</f>
        <v xml:space="preserve">http://slimages.macys.com/is/image/MCY/3736749 </v>
      </c>
    </row>
    <row r="16" spans="1:13" ht="15.2" customHeight="1" x14ac:dyDescent="0.2">
      <c r="A16" s="26" t="s">
        <v>7846</v>
      </c>
      <c r="B16" s="27" t="s">
        <v>7847</v>
      </c>
      <c r="C16" s="28">
        <v>1</v>
      </c>
      <c r="D16" s="29">
        <v>24</v>
      </c>
      <c r="E16" s="29">
        <v>24</v>
      </c>
      <c r="F16" s="30">
        <v>79</v>
      </c>
      <c r="G16" s="29">
        <v>79</v>
      </c>
      <c r="H16" s="28" t="s">
        <v>7848</v>
      </c>
      <c r="I16" s="27" t="s">
        <v>4</v>
      </c>
      <c r="J16" s="31" t="s">
        <v>216</v>
      </c>
      <c r="K16" s="27" t="s">
        <v>24</v>
      </c>
      <c r="L16" s="27" t="s">
        <v>485</v>
      </c>
      <c r="M16" s="32" t="str">
        <f>HYPERLINK("http://slimages.macys.com/is/image/MCY/3805280 ")</f>
        <v xml:space="preserve">http://slimages.macys.com/is/image/MCY/3805280 </v>
      </c>
    </row>
    <row r="17" spans="1:13" ht="15.2" customHeight="1" x14ac:dyDescent="0.2">
      <c r="A17" s="26" t="s">
        <v>7351</v>
      </c>
      <c r="B17" s="27" t="s">
        <v>7352</v>
      </c>
      <c r="C17" s="28">
        <v>1</v>
      </c>
      <c r="D17" s="29">
        <v>24</v>
      </c>
      <c r="E17" s="29">
        <v>24</v>
      </c>
      <c r="F17" s="30">
        <v>69</v>
      </c>
      <c r="G17" s="29">
        <v>69</v>
      </c>
      <c r="H17" s="28" t="s">
        <v>2080</v>
      </c>
      <c r="I17" s="27" t="s">
        <v>75</v>
      </c>
      <c r="J17" s="31" t="s">
        <v>71</v>
      </c>
      <c r="K17" s="27" t="s">
        <v>37</v>
      </c>
      <c r="L17" s="27" t="s">
        <v>38</v>
      </c>
      <c r="M17" s="32" t="str">
        <f>HYPERLINK("http://slimages.macys.com/is/image/MCY/3827012 ")</f>
        <v xml:space="preserve">http://slimages.macys.com/is/image/MCY/3827012 </v>
      </c>
    </row>
    <row r="18" spans="1:13" ht="15.2" customHeight="1" x14ac:dyDescent="0.2">
      <c r="A18" s="26" t="s">
        <v>7849</v>
      </c>
      <c r="B18" s="27" t="s">
        <v>7850</v>
      </c>
      <c r="C18" s="28">
        <v>1</v>
      </c>
      <c r="D18" s="29">
        <v>24</v>
      </c>
      <c r="E18" s="29">
        <v>24</v>
      </c>
      <c r="F18" s="30">
        <v>69</v>
      </c>
      <c r="G18" s="29">
        <v>69</v>
      </c>
      <c r="H18" s="28" t="s">
        <v>1732</v>
      </c>
      <c r="I18" s="27" t="s">
        <v>94</v>
      </c>
      <c r="J18" s="31" t="s">
        <v>5</v>
      </c>
      <c r="K18" s="27" t="s">
        <v>37</v>
      </c>
      <c r="L18" s="27" t="s">
        <v>38</v>
      </c>
      <c r="M18" s="32" t="str">
        <f>HYPERLINK("http://slimages.macys.com/is/image/MCY/3667726 ")</f>
        <v xml:space="preserve">http://slimages.macys.com/is/image/MCY/3667726 </v>
      </c>
    </row>
    <row r="19" spans="1:13" ht="15.2" customHeight="1" x14ac:dyDescent="0.2">
      <c r="A19" s="26" t="s">
        <v>2807</v>
      </c>
      <c r="B19" s="27" t="s">
        <v>2808</v>
      </c>
      <c r="C19" s="28">
        <v>1</v>
      </c>
      <c r="D19" s="29">
        <v>24</v>
      </c>
      <c r="E19" s="29">
        <v>24</v>
      </c>
      <c r="F19" s="30">
        <v>69</v>
      </c>
      <c r="G19" s="29">
        <v>69</v>
      </c>
      <c r="H19" s="28" t="s">
        <v>2080</v>
      </c>
      <c r="I19" s="27" t="s">
        <v>36</v>
      </c>
      <c r="J19" s="31" t="s">
        <v>5</v>
      </c>
      <c r="K19" s="27" t="s">
        <v>37</v>
      </c>
      <c r="L19" s="27" t="s">
        <v>38</v>
      </c>
      <c r="M19" s="32" t="str">
        <f>HYPERLINK("http://slimages.macys.com/is/image/MCY/3827012 ")</f>
        <v xml:space="preserve">http://slimages.macys.com/is/image/MCY/3827012 </v>
      </c>
    </row>
    <row r="20" spans="1:13" ht="15.2" customHeight="1" x14ac:dyDescent="0.2">
      <c r="A20" s="26" t="s">
        <v>7851</v>
      </c>
      <c r="B20" s="27" t="s">
        <v>7852</v>
      </c>
      <c r="C20" s="28">
        <v>2</v>
      </c>
      <c r="D20" s="29">
        <v>23</v>
      </c>
      <c r="E20" s="29">
        <v>46</v>
      </c>
      <c r="F20" s="30">
        <v>59.5</v>
      </c>
      <c r="G20" s="29">
        <v>119</v>
      </c>
      <c r="H20" s="28" t="s">
        <v>672</v>
      </c>
      <c r="I20" s="27" t="s">
        <v>189</v>
      </c>
      <c r="J20" s="31" t="s">
        <v>5</v>
      </c>
      <c r="K20" s="27" t="s">
        <v>17</v>
      </c>
      <c r="L20" s="27" t="s">
        <v>18</v>
      </c>
      <c r="M20" s="32" t="str">
        <f>HYPERLINK("http://slimages.macys.com/is/image/MCY/3895026 ")</f>
        <v xml:space="preserve">http://slimages.macys.com/is/image/MCY/3895026 </v>
      </c>
    </row>
    <row r="21" spans="1:13" ht="15.2" customHeight="1" x14ac:dyDescent="0.2">
      <c r="A21" s="26" t="s">
        <v>3689</v>
      </c>
      <c r="B21" s="27" t="s">
        <v>3690</v>
      </c>
      <c r="C21" s="28">
        <v>1</v>
      </c>
      <c r="D21" s="29">
        <v>23</v>
      </c>
      <c r="E21" s="29">
        <v>23</v>
      </c>
      <c r="F21" s="30">
        <v>54.99</v>
      </c>
      <c r="G21" s="29">
        <v>54.99</v>
      </c>
      <c r="H21" s="28" t="s">
        <v>3691</v>
      </c>
      <c r="I21" s="27" t="s">
        <v>152</v>
      </c>
      <c r="J21" s="31" t="s">
        <v>230</v>
      </c>
      <c r="K21" s="27" t="s">
        <v>70</v>
      </c>
      <c r="L21" s="27" t="s">
        <v>650</v>
      </c>
      <c r="M21" s="32" t="str">
        <f>HYPERLINK("http://slimages.macys.com/is/image/MCY/3924464 ")</f>
        <v xml:space="preserve">http://slimages.macys.com/is/image/MCY/3924464 </v>
      </c>
    </row>
    <row r="22" spans="1:13" ht="15.2" customHeight="1" x14ac:dyDescent="0.2">
      <c r="A22" s="26" t="s">
        <v>7853</v>
      </c>
      <c r="B22" s="27" t="s">
        <v>7854</v>
      </c>
      <c r="C22" s="28">
        <v>1</v>
      </c>
      <c r="D22" s="29">
        <v>23</v>
      </c>
      <c r="E22" s="29">
        <v>23</v>
      </c>
      <c r="F22" s="30">
        <v>59.5</v>
      </c>
      <c r="G22" s="29">
        <v>59.5</v>
      </c>
      <c r="H22" s="28" t="s">
        <v>7855</v>
      </c>
      <c r="I22" s="27" t="s">
        <v>189</v>
      </c>
      <c r="J22" s="31" t="s">
        <v>40</v>
      </c>
      <c r="K22" s="27" t="s">
        <v>17</v>
      </c>
      <c r="L22" s="27" t="s">
        <v>18</v>
      </c>
      <c r="M22" s="32" t="str">
        <f>HYPERLINK("http://slimages.macys.com/is/image/MCY/3890904 ")</f>
        <v xml:space="preserve">http://slimages.macys.com/is/image/MCY/3890904 </v>
      </c>
    </row>
    <row r="23" spans="1:13" ht="15.2" customHeight="1" x14ac:dyDescent="0.2">
      <c r="A23" s="26" t="s">
        <v>7856</v>
      </c>
      <c r="B23" s="27" t="s">
        <v>7857</v>
      </c>
      <c r="C23" s="28">
        <v>1</v>
      </c>
      <c r="D23" s="29">
        <v>23</v>
      </c>
      <c r="E23" s="29">
        <v>23</v>
      </c>
      <c r="F23" s="30">
        <v>59.5</v>
      </c>
      <c r="G23" s="29">
        <v>59.5</v>
      </c>
      <c r="H23" s="28" t="s">
        <v>672</v>
      </c>
      <c r="I23" s="27" t="s">
        <v>189</v>
      </c>
      <c r="J23" s="31" t="s">
        <v>21</v>
      </c>
      <c r="K23" s="27" t="s">
        <v>17</v>
      </c>
      <c r="L23" s="27" t="s">
        <v>18</v>
      </c>
      <c r="M23" s="32" t="str">
        <f>HYPERLINK("http://slimages.macys.com/is/image/MCY/3895026 ")</f>
        <v xml:space="preserve">http://slimages.macys.com/is/image/MCY/3895026 </v>
      </c>
    </row>
    <row r="24" spans="1:13" ht="15.2" customHeight="1" x14ac:dyDescent="0.2">
      <c r="A24" s="26" t="s">
        <v>7858</v>
      </c>
      <c r="B24" s="27" t="s">
        <v>7859</v>
      </c>
      <c r="C24" s="28">
        <v>2</v>
      </c>
      <c r="D24" s="29">
        <v>23</v>
      </c>
      <c r="E24" s="29">
        <v>46</v>
      </c>
      <c r="F24" s="30">
        <v>59.5</v>
      </c>
      <c r="G24" s="29">
        <v>119</v>
      </c>
      <c r="H24" s="28" t="s">
        <v>672</v>
      </c>
      <c r="I24" s="27" t="s">
        <v>285</v>
      </c>
      <c r="J24" s="31" t="s">
        <v>5</v>
      </c>
      <c r="K24" s="27" t="s">
        <v>17</v>
      </c>
      <c r="L24" s="27" t="s">
        <v>18</v>
      </c>
      <c r="M24" s="32" t="str">
        <f>HYPERLINK("http://slimages.macys.com/is/image/MCY/3895026 ")</f>
        <v xml:space="preserve">http://slimages.macys.com/is/image/MCY/3895026 </v>
      </c>
    </row>
    <row r="25" spans="1:13" ht="15.2" customHeight="1" x14ac:dyDescent="0.2">
      <c r="A25" s="26" t="s">
        <v>7860</v>
      </c>
      <c r="B25" s="27" t="s">
        <v>7861</v>
      </c>
      <c r="C25" s="28">
        <v>1</v>
      </c>
      <c r="D25" s="29">
        <v>23</v>
      </c>
      <c r="E25" s="29">
        <v>23</v>
      </c>
      <c r="F25" s="30">
        <v>69</v>
      </c>
      <c r="G25" s="29">
        <v>69</v>
      </c>
      <c r="H25" s="28" t="s">
        <v>7862</v>
      </c>
      <c r="I25" s="27" t="s">
        <v>36</v>
      </c>
      <c r="J25" s="31" t="s">
        <v>21</v>
      </c>
      <c r="K25" s="27" t="s">
        <v>24</v>
      </c>
      <c r="L25" s="27" t="s">
        <v>101</v>
      </c>
      <c r="M25" s="32" t="str">
        <f>HYPERLINK("http://slimages.macys.com/is/image/MCY/3259894 ")</f>
        <v xml:space="preserve">http://slimages.macys.com/is/image/MCY/3259894 </v>
      </c>
    </row>
    <row r="26" spans="1:13" ht="15.2" customHeight="1" x14ac:dyDescent="0.2">
      <c r="A26" s="26" t="s">
        <v>7717</v>
      </c>
      <c r="B26" s="27" t="s">
        <v>7718</v>
      </c>
      <c r="C26" s="28">
        <v>1</v>
      </c>
      <c r="D26" s="29">
        <v>22.75</v>
      </c>
      <c r="E26" s="29">
        <v>22.75</v>
      </c>
      <c r="F26" s="30">
        <v>69</v>
      </c>
      <c r="G26" s="29">
        <v>69</v>
      </c>
      <c r="H26" s="28" t="s">
        <v>2816</v>
      </c>
      <c r="I26" s="27" t="s">
        <v>343</v>
      </c>
      <c r="J26" s="31" t="s">
        <v>210</v>
      </c>
      <c r="K26" s="27" t="s">
        <v>24</v>
      </c>
      <c r="L26" s="27" t="s">
        <v>485</v>
      </c>
      <c r="M26" s="32" t="str">
        <f>HYPERLINK("http://slimages.macys.com/is/image/MCY/3773834 ")</f>
        <v xml:space="preserve">http://slimages.macys.com/is/image/MCY/3773834 </v>
      </c>
    </row>
    <row r="27" spans="1:13" ht="15.2" customHeight="1" x14ac:dyDescent="0.2">
      <c r="A27" s="26" t="s">
        <v>7863</v>
      </c>
      <c r="B27" s="27" t="s">
        <v>7864</v>
      </c>
      <c r="C27" s="28">
        <v>1</v>
      </c>
      <c r="D27" s="29">
        <v>22.5</v>
      </c>
      <c r="E27" s="29">
        <v>22.5</v>
      </c>
      <c r="F27" s="30">
        <v>69</v>
      </c>
      <c r="G27" s="29">
        <v>69</v>
      </c>
      <c r="H27" s="28" t="s">
        <v>971</v>
      </c>
      <c r="I27" s="27" t="s">
        <v>39</v>
      </c>
      <c r="J27" s="31" t="s">
        <v>210</v>
      </c>
      <c r="K27" s="27" t="s">
        <v>24</v>
      </c>
      <c r="L27" s="27" t="s">
        <v>650</v>
      </c>
      <c r="M27" s="32" t="str">
        <f>HYPERLINK("http://slimages.macys.com/is/image/MCY/3823252 ")</f>
        <v xml:space="preserve">http://slimages.macys.com/is/image/MCY/3823252 </v>
      </c>
    </row>
    <row r="28" spans="1:13" ht="15.2" customHeight="1" x14ac:dyDescent="0.2">
      <c r="A28" s="26" t="s">
        <v>7865</v>
      </c>
      <c r="B28" s="27" t="s">
        <v>7866</v>
      </c>
      <c r="C28" s="28">
        <v>1</v>
      </c>
      <c r="D28" s="29">
        <v>22</v>
      </c>
      <c r="E28" s="29">
        <v>22</v>
      </c>
      <c r="F28" s="30">
        <v>69</v>
      </c>
      <c r="G28" s="29">
        <v>69</v>
      </c>
      <c r="H28" s="28" t="s">
        <v>7867</v>
      </c>
      <c r="I28" s="27" t="s">
        <v>4</v>
      </c>
      <c r="J28" s="31" t="s">
        <v>69</v>
      </c>
      <c r="K28" s="27" t="s">
        <v>24</v>
      </c>
      <c r="L28" s="27" t="s">
        <v>999</v>
      </c>
      <c r="M28" s="32" t="str">
        <f>HYPERLINK("http://slimages.macys.com/is/image/MCY/3878705 ")</f>
        <v xml:space="preserve">http://slimages.macys.com/is/image/MCY/3878705 </v>
      </c>
    </row>
    <row r="29" spans="1:13" ht="15.2" customHeight="1" x14ac:dyDescent="0.2">
      <c r="A29" s="26" t="s">
        <v>7868</v>
      </c>
      <c r="B29" s="27" t="s">
        <v>7869</v>
      </c>
      <c r="C29" s="28">
        <v>1</v>
      </c>
      <c r="D29" s="29">
        <v>22</v>
      </c>
      <c r="E29" s="29">
        <v>22</v>
      </c>
      <c r="F29" s="30">
        <v>69</v>
      </c>
      <c r="G29" s="29">
        <v>69</v>
      </c>
      <c r="H29" s="28" t="s">
        <v>7870</v>
      </c>
      <c r="I29" s="27" t="s">
        <v>4</v>
      </c>
      <c r="J29" s="31"/>
      <c r="K29" s="27" t="s">
        <v>24</v>
      </c>
      <c r="L29" s="27" t="s">
        <v>67</v>
      </c>
      <c r="M29" s="32" t="str">
        <f>HYPERLINK("http://slimages.macys.com/is/image/MCY/3896532 ")</f>
        <v xml:space="preserve">http://slimages.macys.com/is/image/MCY/3896532 </v>
      </c>
    </row>
    <row r="30" spans="1:13" ht="15.2" customHeight="1" x14ac:dyDescent="0.2">
      <c r="A30" s="26" t="s">
        <v>7871</v>
      </c>
      <c r="B30" s="27" t="s">
        <v>7872</v>
      </c>
      <c r="C30" s="28">
        <v>1</v>
      </c>
      <c r="D30" s="29">
        <v>22</v>
      </c>
      <c r="E30" s="29">
        <v>22</v>
      </c>
      <c r="F30" s="30">
        <v>69</v>
      </c>
      <c r="G30" s="29">
        <v>69</v>
      </c>
      <c r="H30" s="28" t="s">
        <v>7873</v>
      </c>
      <c r="I30" s="27" t="s">
        <v>4</v>
      </c>
      <c r="J30" s="31" t="s">
        <v>234</v>
      </c>
      <c r="K30" s="27" t="s">
        <v>24</v>
      </c>
      <c r="L30" s="27" t="s">
        <v>25</v>
      </c>
      <c r="M30" s="32" t="str">
        <f>HYPERLINK("http://slimages.macys.com/is/image/MCY/3706010 ")</f>
        <v xml:space="preserve">http://slimages.macys.com/is/image/MCY/3706010 </v>
      </c>
    </row>
    <row r="31" spans="1:13" ht="15.2" customHeight="1" x14ac:dyDescent="0.2">
      <c r="A31" s="26" t="s">
        <v>7874</v>
      </c>
      <c r="B31" s="27" t="s">
        <v>7875</v>
      </c>
      <c r="C31" s="28">
        <v>1</v>
      </c>
      <c r="D31" s="29">
        <v>21.55</v>
      </c>
      <c r="E31" s="29">
        <v>21.55</v>
      </c>
      <c r="F31" s="30">
        <v>59.5</v>
      </c>
      <c r="G31" s="29">
        <v>59.5</v>
      </c>
      <c r="H31" s="28" t="s">
        <v>7876</v>
      </c>
      <c r="I31" s="27" t="s">
        <v>22</v>
      </c>
      <c r="J31" s="31" t="s">
        <v>32</v>
      </c>
      <c r="K31" s="27" t="s">
        <v>12</v>
      </c>
      <c r="L31" s="27" t="s">
        <v>13</v>
      </c>
      <c r="M31" s="32" t="str">
        <f>HYPERLINK("http://slimages.macys.com/is/image/MCY/3296999 ")</f>
        <v xml:space="preserve">http://slimages.macys.com/is/image/MCY/3296999 </v>
      </c>
    </row>
    <row r="32" spans="1:13" ht="15.2" customHeight="1" x14ac:dyDescent="0.2">
      <c r="A32" s="26" t="s">
        <v>7877</v>
      </c>
      <c r="B32" s="27" t="s">
        <v>7878</v>
      </c>
      <c r="C32" s="28">
        <v>1</v>
      </c>
      <c r="D32" s="29">
        <v>21</v>
      </c>
      <c r="E32" s="29">
        <v>21</v>
      </c>
      <c r="F32" s="30">
        <v>69</v>
      </c>
      <c r="G32" s="29">
        <v>69</v>
      </c>
      <c r="H32" s="28" t="s">
        <v>7879</v>
      </c>
      <c r="I32" s="27" t="s">
        <v>900</v>
      </c>
      <c r="J32" s="31" t="s">
        <v>210</v>
      </c>
      <c r="K32" s="27" t="s">
        <v>24</v>
      </c>
      <c r="L32" s="27" t="s">
        <v>1079</v>
      </c>
      <c r="M32" s="32" t="str">
        <f>HYPERLINK("http://slimages.macys.com/is/image/MCY/3779996 ")</f>
        <v xml:space="preserve">http://slimages.macys.com/is/image/MCY/3779996 </v>
      </c>
    </row>
    <row r="33" spans="1:13" ht="15.2" customHeight="1" x14ac:dyDescent="0.2">
      <c r="A33" s="26" t="s">
        <v>55</v>
      </c>
      <c r="B33" s="27" t="s">
        <v>56</v>
      </c>
      <c r="C33" s="28">
        <v>1</v>
      </c>
      <c r="D33" s="29">
        <v>20.85</v>
      </c>
      <c r="E33" s="29">
        <v>20.85</v>
      </c>
      <c r="F33" s="30">
        <v>69.5</v>
      </c>
      <c r="G33" s="29">
        <v>69.5</v>
      </c>
      <c r="H33" s="28">
        <v>49022899</v>
      </c>
      <c r="I33" s="27"/>
      <c r="J33" s="31" t="s">
        <v>21</v>
      </c>
      <c r="K33" s="27" t="s">
        <v>6</v>
      </c>
      <c r="L33" s="27" t="s">
        <v>7</v>
      </c>
      <c r="M33" s="32" t="str">
        <f>HYPERLINK("http://slimages.macys.com/is/image/MCY/3939789 ")</f>
        <v xml:space="preserve">http://slimages.macys.com/is/image/MCY/3939789 </v>
      </c>
    </row>
    <row r="34" spans="1:13" ht="15.2" customHeight="1" x14ac:dyDescent="0.2">
      <c r="A34" s="26" t="s">
        <v>7880</v>
      </c>
      <c r="B34" s="27" t="s">
        <v>7881</v>
      </c>
      <c r="C34" s="28">
        <v>1</v>
      </c>
      <c r="D34" s="29">
        <v>20.52</v>
      </c>
      <c r="E34" s="29">
        <v>20.52</v>
      </c>
      <c r="F34" s="30">
        <v>59.5</v>
      </c>
      <c r="G34" s="29">
        <v>59.5</v>
      </c>
      <c r="H34" s="28" t="s">
        <v>6836</v>
      </c>
      <c r="I34" s="27" t="s">
        <v>4</v>
      </c>
      <c r="J34" s="31" t="s">
        <v>5</v>
      </c>
      <c r="K34" s="27" t="s">
        <v>53</v>
      </c>
      <c r="L34" s="27" t="s">
        <v>167</v>
      </c>
      <c r="M34" s="32" t="str">
        <f>HYPERLINK("http://slimages.macys.com/is/image/MCY/3836396 ")</f>
        <v xml:space="preserve">http://slimages.macys.com/is/image/MCY/3836396 </v>
      </c>
    </row>
    <row r="35" spans="1:13" ht="15.2" customHeight="1" x14ac:dyDescent="0.2">
      <c r="A35" s="26" t="s">
        <v>7882</v>
      </c>
      <c r="B35" s="27" t="s">
        <v>7883</v>
      </c>
      <c r="C35" s="28">
        <v>1</v>
      </c>
      <c r="D35" s="29">
        <v>20.5</v>
      </c>
      <c r="E35" s="29">
        <v>20.5</v>
      </c>
      <c r="F35" s="30">
        <v>59</v>
      </c>
      <c r="G35" s="29">
        <v>59</v>
      </c>
      <c r="H35" s="28" t="s">
        <v>6839</v>
      </c>
      <c r="I35" s="27" t="s">
        <v>94</v>
      </c>
      <c r="J35" s="31" t="s">
        <v>71</v>
      </c>
      <c r="K35" s="27" t="s">
        <v>37</v>
      </c>
      <c r="L35" s="27" t="s">
        <v>38</v>
      </c>
      <c r="M35" s="32" t="str">
        <f>HYPERLINK("http://slimages.macys.com/is/image/MCY/3670371 ")</f>
        <v xml:space="preserve">http://slimages.macys.com/is/image/MCY/3670371 </v>
      </c>
    </row>
    <row r="36" spans="1:13" ht="15.2" customHeight="1" x14ac:dyDescent="0.2">
      <c r="A36" s="26" t="s">
        <v>7884</v>
      </c>
      <c r="B36" s="27" t="s">
        <v>7885</v>
      </c>
      <c r="C36" s="28">
        <v>1</v>
      </c>
      <c r="D36" s="29">
        <v>20.100000000000001</v>
      </c>
      <c r="E36" s="29">
        <v>20.100000000000001</v>
      </c>
      <c r="F36" s="30">
        <v>69</v>
      </c>
      <c r="G36" s="29">
        <v>69</v>
      </c>
      <c r="H36" s="28" t="s">
        <v>7490</v>
      </c>
      <c r="I36" s="27"/>
      <c r="J36" s="31" t="s">
        <v>40</v>
      </c>
      <c r="K36" s="27" t="s">
        <v>42</v>
      </c>
      <c r="L36" s="27" t="s">
        <v>43</v>
      </c>
      <c r="M36" s="32" t="str">
        <f>HYPERLINK("http://slimages.macys.com/is/image/MCY/3611270 ")</f>
        <v xml:space="preserve">http://slimages.macys.com/is/image/MCY/3611270 </v>
      </c>
    </row>
    <row r="37" spans="1:13" ht="15.2" customHeight="1" x14ac:dyDescent="0.2">
      <c r="A37" s="26" t="s">
        <v>7886</v>
      </c>
      <c r="B37" s="27" t="s">
        <v>7887</v>
      </c>
      <c r="C37" s="28">
        <v>1</v>
      </c>
      <c r="D37" s="29">
        <v>20.079999999999998</v>
      </c>
      <c r="E37" s="29">
        <v>20.079999999999998</v>
      </c>
      <c r="F37" s="30">
        <v>46.25</v>
      </c>
      <c r="G37" s="29">
        <v>46.25</v>
      </c>
      <c r="H37" s="28" t="s">
        <v>2564</v>
      </c>
      <c r="I37" s="27" t="s">
        <v>10</v>
      </c>
      <c r="J37" s="31" t="s">
        <v>205</v>
      </c>
      <c r="K37" s="27" t="s">
        <v>41</v>
      </c>
      <c r="L37" s="27" t="s">
        <v>45</v>
      </c>
      <c r="M37" s="32" t="str">
        <f>HYPERLINK("http://slimages.macys.com/is/image/MCY/3724372 ")</f>
        <v xml:space="preserve">http://slimages.macys.com/is/image/MCY/3724372 </v>
      </c>
    </row>
    <row r="38" spans="1:13" ht="15.2" customHeight="1" x14ac:dyDescent="0.2">
      <c r="A38" s="26" t="s">
        <v>7888</v>
      </c>
      <c r="B38" s="27" t="s">
        <v>7889</v>
      </c>
      <c r="C38" s="28">
        <v>1</v>
      </c>
      <c r="D38" s="29">
        <v>19</v>
      </c>
      <c r="E38" s="29">
        <v>19</v>
      </c>
      <c r="F38" s="30">
        <v>59</v>
      </c>
      <c r="G38" s="29">
        <v>59</v>
      </c>
      <c r="H38" s="28" t="s">
        <v>7890</v>
      </c>
      <c r="I38" s="27" t="s">
        <v>267</v>
      </c>
      <c r="J38" s="31" t="s">
        <v>71</v>
      </c>
      <c r="K38" s="27" t="s">
        <v>24</v>
      </c>
      <c r="L38" s="27" t="s">
        <v>128</v>
      </c>
      <c r="M38" s="32" t="str">
        <f>HYPERLINK("http://slimages.macys.com/is/image/MCY/3723608 ")</f>
        <v xml:space="preserve">http://slimages.macys.com/is/image/MCY/3723608 </v>
      </c>
    </row>
    <row r="39" spans="1:13" ht="15.2" customHeight="1" x14ac:dyDescent="0.2">
      <c r="A39" s="26" t="s">
        <v>7891</v>
      </c>
      <c r="B39" s="27" t="s">
        <v>7892</v>
      </c>
      <c r="C39" s="28">
        <v>1</v>
      </c>
      <c r="D39" s="29">
        <v>19</v>
      </c>
      <c r="E39" s="29">
        <v>19</v>
      </c>
      <c r="F39" s="30">
        <v>49.5</v>
      </c>
      <c r="G39" s="29">
        <v>49.5</v>
      </c>
      <c r="H39" s="28" t="s">
        <v>5999</v>
      </c>
      <c r="I39" s="27" t="s">
        <v>189</v>
      </c>
      <c r="J39" s="31" t="s">
        <v>71</v>
      </c>
      <c r="K39" s="27" t="s">
        <v>17</v>
      </c>
      <c r="L39" s="27" t="s">
        <v>18</v>
      </c>
      <c r="M39" s="32" t="str">
        <f>HYPERLINK("http://slimages.macys.com/is/image/MCY/3971151 ")</f>
        <v xml:space="preserve">http://slimages.macys.com/is/image/MCY/3971151 </v>
      </c>
    </row>
    <row r="40" spans="1:13" ht="15.2" customHeight="1" x14ac:dyDescent="0.2">
      <c r="A40" s="26" t="s">
        <v>6007</v>
      </c>
      <c r="B40" s="27" t="s">
        <v>6008</v>
      </c>
      <c r="C40" s="28">
        <v>1</v>
      </c>
      <c r="D40" s="29">
        <v>19</v>
      </c>
      <c r="E40" s="29">
        <v>19</v>
      </c>
      <c r="F40" s="30">
        <v>49.5</v>
      </c>
      <c r="G40" s="29">
        <v>49.5</v>
      </c>
      <c r="H40" s="28" t="s">
        <v>5999</v>
      </c>
      <c r="I40" s="27" t="s">
        <v>103</v>
      </c>
      <c r="J40" s="31" t="s">
        <v>21</v>
      </c>
      <c r="K40" s="27" t="s">
        <v>17</v>
      </c>
      <c r="L40" s="27" t="s">
        <v>18</v>
      </c>
      <c r="M40" s="32" t="str">
        <f>HYPERLINK("http://slimages.macys.com/is/image/MCY/3971151 ")</f>
        <v xml:space="preserve">http://slimages.macys.com/is/image/MCY/3971151 </v>
      </c>
    </row>
    <row r="41" spans="1:13" ht="15.2" customHeight="1" x14ac:dyDescent="0.2">
      <c r="A41" s="26" t="s">
        <v>7641</v>
      </c>
      <c r="B41" s="27" t="s">
        <v>7642</v>
      </c>
      <c r="C41" s="28">
        <v>1</v>
      </c>
      <c r="D41" s="29">
        <v>18.75</v>
      </c>
      <c r="E41" s="29">
        <v>18.75</v>
      </c>
      <c r="F41" s="30">
        <v>59</v>
      </c>
      <c r="G41" s="29">
        <v>59</v>
      </c>
      <c r="H41" s="28" t="s">
        <v>7640</v>
      </c>
      <c r="I41" s="27" t="s">
        <v>75</v>
      </c>
      <c r="J41" s="31" t="s">
        <v>40</v>
      </c>
      <c r="K41" s="27" t="s">
        <v>37</v>
      </c>
      <c r="L41" s="27" t="s">
        <v>38</v>
      </c>
      <c r="M41" s="32" t="str">
        <f>HYPERLINK("http://slimages.macys.com/is/image/MCY/3721267 ")</f>
        <v xml:space="preserve">http://slimages.macys.com/is/image/MCY/3721267 </v>
      </c>
    </row>
    <row r="42" spans="1:13" ht="15.2" customHeight="1" x14ac:dyDescent="0.2">
      <c r="A42" s="26" t="s">
        <v>1128</v>
      </c>
      <c r="B42" s="27" t="s">
        <v>1129</v>
      </c>
      <c r="C42" s="28">
        <v>1</v>
      </c>
      <c r="D42" s="29">
        <v>18.75</v>
      </c>
      <c r="E42" s="29">
        <v>18.75</v>
      </c>
      <c r="F42" s="30">
        <v>59</v>
      </c>
      <c r="G42" s="29">
        <v>59</v>
      </c>
      <c r="H42" s="28" t="s">
        <v>1130</v>
      </c>
      <c r="I42" s="27" t="s">
        <v>36</v>
      </c>
      <c r="J42" s="31" t="s">
        <v>21</v>
      </c>
      <c r="K42" s="27" t="s">
        <v>37</v>
      </c>
      <c r="L42" s="27" t="s">
        <v>38</v>
      </c>
      <c r="M42" s="32" t="str">
        <f>HYPERLINK("http://slimages.macys.com/is/image/MCY/3667812 ")</f>
        <v xml:space="preserve">http://slimages.macys.com/is/image/MCY/3667812 </v>
      </c>
    </row>
    <row r="43" spans="1:13" ht="15.2" customHeight="1" x14ac:dyDescent="0.2">
      <c r="A43" s="26" t="s">
        <v>1139</v>
      </c>
      <c r="B43" s="27" t="s">
        <v>1140</v>
      </c>
      <c r="C43" s="28">
        <v>1</v>
      </c>
      <c r="D43" s="29">
        <v>18.23</v>
      </c>
      <c r="E43" s="29">
        <v>18.23</v>
      </c>
      <c r="F43" s="30">
        <v>49.99</v>
      </c>
      <c r="G43" s="29">
        <v>49.99</v>
      </c>
      <c r="H43" s="28" t="s">
        <v>79</v>
      </c>
      <c r="I43" s="27" t="s">
        <v>20</v>
      </c>
      <c r="J43" s="31" t="s">
        <v>5</v>
      </c>
      <c r="K43" s="27" t="s">
        <v>41</v>
      </c>
      <c r="L43" s="27" t="s">
        <v>80</v>
      </c>
      <c r="M43" s="32" t="str">
        <f>HYPERLINK("http://slimages.macys.com/is/image/MCY/3954963 ")</f>
        <v xml:space="preserve">http://slimages.macys.com/is/image/MCY/3954963 </v>
      </c>
    </row>
    <row r="44" spans="1:13" ht="15.2" customHeight="1" x14ac:dyDescent="0.2">
      <c r="A44" s="26" t="s">
        <v>2576</v>
      </c>
      <c r="B44" s="27" t="s">
        <v>2577</v>
      </c>
      <c r="C44" s="28">
        <v>2</v>
      </c>
      <c r="D44" s="29">
        <v>18.23</v>
      </c>
      <c r="E44" s="29">
        <v>36.46</v>
      </c>
      <c r="F44" s="30">
        <v>49.99</v>
      </c>
      <c r="G44" s="29">
        <v>99.98</v>
      </c>
      <c r="H44" s="28" t="s">
        <v>79</v>
      </c>
      <c r="I44" s="27" t="s">
        <v>20</v>
      </c>
      <c r="J44" s="31" t="s">
        <v>21</v>
      </c>
      <c r="K44" s="27" t="s">
        <v>41</v>
      </c>
      <c r="L44" s="27" t="s">
        <v>80</v>
      </c>
      <c r="M44" s="32" t="str">
        <f>HYPERLINK("http://slimages.macys.com/is/image/MCY/3954963 ")</f>
        <v xml:space="preserve">http://slimages.macys.com/is/image/MCY/3954963 </v>
      </c>
    </row>
    <row r="45" spans="1:13" ht="15.2" customHeight="1" x14ac:dyDescent="0.2">
      <c r="A45" s="26" t="s">
        <v>2578</v>
      </c>
      <c r="B45" s="27" t="s">
        <v>2579</v>
      </c>
      <c r="C45" s="28">
        <v>1</v>
      </c>
      <c r="D45" s="29">
        <v>18.23</v>
      </c>
      <c r="E45" s="29">
        <v>18.23</v>
      </c>
      <c r="F45" s="30">
        <v>49.99</v>
      </c>
      <c r="G45" s="29">
        <v>49.99</v>
      </c>
      <c r="H45" s="28" t="s">
        <v>79</v>
      </c>
      <c r="I45" s="27" t="s">
        <v>20</v>
      </c>
      <c r="J45" s="31" t="s">
        <v>71</v>
      </c>
      <c r="K45" s="27" t="s">
        <v>41</v>
      </c>
      <c r="L45" s="27" t="s">
        <v>80</v>
      </c>
      <c r="M45" s="32" t="str">
        <f>HYPERLINK("http://slimages.macys.com/is/image/MCY/3954963 ")</f>
        <v xml:space="preserve">http://slimages.macys.com/is/image/MCY/3954963 </v>
      </c>
    </row>
    <row r="46" spans="1:13" ht="15.2" customHeight="1" x14ac:dyDescent="0.2">
      <c r="A46" s="26" t="s">
        <v>7893</v>
      </c>
      <c r="B46" s="27" t="s">
        <v>7894</v>
      </c>
      <c r="C46" s="28">
        <v>1</v>
      </c>
      <c r="D46" s="29">
        <v>18.07</v>
      </c>
      <c r="E46" s="29">
        <v>18.07</v>
      </c>
      <c r="F46" s="30">
        <v>49.5</v>
      </c>
      <c r="G46" s="29">
        <v>49.5</v>
      </c>
      <c r="H46" s="28" t="s">
        <v>89</v>
      </c>
      <c r="I46" s="27" t="s">
        <v>10</v>
      </c>
      <c r="J46" s="31" t="s">
        <v>172</v>
      </c>
      <c r="K46" s="27" t="s">
        <v>41</v>
      </c>
      <c r="L46" s="27" t="s">
        <v>90</v>
      </c>
      <c r="M46" s="32" t="str">
        <f>HYPERLINK("http://slimages.macys.com/is/image/MCY/3913386 ")</f>
        <v xml:space="preserve">http://slimages.macys.com/is/image/MCY/3913386 </v>
      </c>
    </row>
    <row r="47" spans="1:13" ht="15.2" customHeight="1" x14ac:dyDescent="0.2">
      <c r="A47" s="26" t="s">
        <v>7895</v>
      </c>
      <c r="B47" s="27" t="s">
        <v>7896</v>
      </c>
      <c r="C47" s="28">
        <v>1</v>
      </c>
      <c r="D47" s="29">
        <v>18.07</v>
      </c>
      <c r="E47" s="29">
        <v>18.07</v>
      </c>
      <c r="F47" s="30">
        <v>49.5</v>
      </c>
      <c r="G47" s="29">
        <v>49.5</v>
      </c>
      <c r="H47" s="28" t="s">
        <v>7897</v>
      </c>
      <c r="I47" s="27" t="s">
        <v>82</v>
      </c>
      <c r="J47" s="31" t="s">
        <v>40</v>
      </c>
      <c r="K47" s="27" t="s">
        <v>41</v>
      </c>
      <c r="L47" s="27" t="s">
        <v>68</v>
      </c>
      <c r="M47" s="32" t="str">
        <f>HYPERLINK("http://slimages.macys.com/is/image/MCY/3774496 ")</f>
        <v xml:space="preserve">http://slimages.macys.com/is/image/MCY/3774496 </v>
      </c>
    </row>
    <row r="48" spans="1:13" ht="15.2" customHeight="1" x14ac:dyDescent="0.2">
      <c r="A48" s="26" t="s">
        <v>87</v>
      </c>
      <c r="B48" s="27" t="s">
        <v>88</v>
      </c>
      <c r="C48" s="28">
        <v>1</v>
      </c>
      <c r="D48" s="29">
        <v>18.07</v>
      </c>
      <c r="E48" s="29">
        <v>18.07</v>
      </c>
      <c r="F48" s="30">
        <v>49.5</v>
      </c>
      <c r="G48" s="29">
        <v>49.5</v>
      </c>
      <c r="H48" s="28" t="s">
        <v>89</v>
      </c>
      <c r="I48" s="27" t="s">
        <v>10</v>
      </c>
      <c r="J48" s="31" t="s">
        <v>5</v>
      </c>
      <c r="K48" s="27" t="s">
        <v>41</v>
      </c>
      <c r="L48" s="27" t="s">
        <v>90</v>
      </c>
      <c r="M48" s="32" t="str">
        <f>HYPERLINK("http://slimages.macys.com/is/image/MCY/3913386 ")</f>
        <v xml:space="preserve">http://slimages.macys.com/is/image/MCY/3913386 </v>
      </c>
    </row>
    <row r="49" spans="1:13" ht="15.2" customHeight="1" x14ac:dyDescent="0.2">
      <c r="A49" s="26" t="s">
        <v>7898</v>
      </c>
      <c r="B49" s="27" t="s">
        <v>7899</v>
      </c>
      <c r="C49" s="28">
        <v>1</v>
      </c>
      <c r="D49" s="29">
        <v>18</v>
      </c>
      <c r="E49" s="29">
        <v>18</v>
      </c>
      <c r="F49" s="30">
        <v>59</v>
      </c>
      <c r="G49" s="29">
        <v>59</v>
      </c>
      <c r="H49" s="28" t="s">
        <v>2100</v>
      </c>
      <c r="I49" s="27" t="s">
        <v>49</v>
      </c>
      <c r="J49" s="31" t="s">
        <v>230</v>
      </c>
      <c r="K49" s="27" t="s">
        <v>154</v>
      </c>
      <c r="L49" s="27" t="s">
        <v>155</v>
      </c>
      <c r="M49" s="32" t="str">
        <f>HYPERLINK("http://slimages.macys.com/is/image/MCY/3721263 ")</f>
        <v xml:space="preserve">http://slimages.macys.com/is/image/MCY/3721263 </v>
      </c>
    </row>
    <row r="50" spans="1:13" ht="15.2" customHeight="1" x14ac:dyDescent="0.2">
      <c r="A50" s="26" t="s">
        <v>6867</v>
      </c>
      <c r="B50" s="27" t="s">
        <v>6868</v>
      </c>
      <c r="C50" s="28">
        <v>1</v>
      </c>
      <c r="D50" s="29">
        <v>18</v>
      </c>
      <c r="E50" s="29">
        <v>18</v>
      </c>
      <c r="F50" s="30">
        <v>59</v>
      </c>
      <c r="G50" s="29">
        <v>59</v>
      </c>
      <c r="H50" s="28" t="s">
        <v>100</v>
      </c>
      <c r="I50" s="27" t="s">
        <v>4</v>
      </c>
      <c r="J50" s="31" t="s">
        <v>40</v>
      </c>
      <c r="K50" s="27" t="s">
        <v>24</v>
      </c>
      <c r="L50" s="27" t="s">
        <v>101</v>
      </c>
      <c r="M50" s="32" t="str">
        <f>HYPERLINK("http://slimages.macys.com/is/image/MCY/3912998 ")</f>
        <v xml:space="preserve">http://slimages.macys.com/is/image/MCY/3912998 </v>
      </c>
    </row>
    <row r="51" spans="1:13" ht="15.2" customHeight="1" x14ac:dyDescent="0.2">
      <c r="A51" s="26" t="s">
        <v>7900</v>
      </c>
      <c r="B51" s="27" t="s">
        <v>7901</v>
      </c>
      <c r="C51" s="28">
        <v>1</v>
      </c>
      <c r="D51" s="29">
        <v>17.850000000000001</v>
      </c>
      <c r="E51" s="29">
        <v>17.850000000000001</v>
      </c>
      <c r="F51" s="30">
        <v>59.5</v>
      </c>
      <c r="G51" s="29">
        <v>59.5</v>
      </c>
      <c r="H51" s="28">
        <v>49022881</v>
      </c>
      <c r="I51" s="27" t="s">
        <v>49</v>
      </c>
      <c r="J51" s="31" t="s">
        <v>21</v>
      </c>
      <c r="K51" s="27" t="s">
        <v>6</v>
      </c>
      <c r="L51" s="27" t="s">
        <v>7</v>
      </c>
      <c r="M51" s="32" t="str">
        <f>HYPERLINK("http://slimages.macys.com/is/image/MCY/3939797 ")</f>
        <v xml:space="preserve">http://slimages.macys.com/is/image/MCY/3939797 </v>
      </c>
    </row>
    <row r="52" spans="1:13" ht="15.2" customHeight="1" x14ac:dyDescent="0.2">
      <c r="A52" s="26" t="s">
        <v>7902</v>
      </c>
      <c r="B52" s="27" t="s">
        <v>7903</v>
      </c>
      <c r="C52" s="28">
        <v>1</v>
      </c>
      <c r="D52" s="29">
        <v>17.7</v>
      </c>
      <c r="E52" s="29">
        <v>17.7</v>
      </c>
      <c r="F52" s="30">
        <v>59</v>
      </c>
      <c r="G52" s="29">
        <v>59</v>
      </c>
      <c r="H52" s="28">
        <v>49007212</v>
      </c>
      <c r="I52" s="27" t="s">
        <v>1</v>
      </c>
      <c r="J52" s="31"/>
      <c r="K52" s="27" t="s">
        <v>6</v>
      </c>
      <c r="L52" s="27" t="s">
        <v>7</v>
      </c>
      <c r="M52" s="32" t="str">
        <f>HYPERLINK("http://slimages.macys.com/is/image/MCY/3429288 ")</f>
        <v xml:space="preserve">http://slimages.macys.com/is/image/MCY/3429288 </v>
      </c>
    </row>
    <row r="53" spans="1:13" ht="15.2" customHeight="1" x14ac:dyDescent="0.2">
      <c r="A53" s="26" t="s">
        <v>7904</v>
      </c>
      <c r="B53" s="27" t="s">
        <v>7905</v>
      </c>
      <c r="C53" s="28">
        <v>1</v>
      </c>
      <c r="D53" s="29">
        <v>17.13</v>
      </c>
      <c r="E53" s="29">
        <v>17.13</v>
      </c>
      <c r="F53" s="30">
        <v>49.5</v>
      </c>
      <c r="G53" s="29">
        <v>49.5</v>
      </c>
      <c r="H53" s="28" t="s">
        <v>122</v>
      </c>
      <c r="I53" s="27" t="s">
        <v>4</v>
      </c>
      <c r="J53" s="31" t="s">
        <v>40</v>
      </c>
      <c r="K53" s="27" t="s">
        <v>53</v>
      </c>
      <c r="L53" s="27" t="s">
        <v>123</v>
      </c>
      <c r="M53" s="32" t="str">
        <f>HYPERLINK("http://slimages.macys.com/is/image/MCY/3761878 ")</f>
        <v xml:space="preserve">http://slimages.macys.com/is/image/MCY/3761878 </v>
      </c>
    </row>
    <row r="54" spans="1:13" ht="15.2" customHeight="1" x14ac:dyDescent="0.2">
      <c r="A54" s="26" t="s">
        <v>7906</v>
      </c>
      <c r="B54" s="27" t="s">
        <v>7907</v>
      </c>
      <c r="C54" s="28">
        <v>1</v>
      </c>
      <c r="D54" s="29">
        <v>17</v>
      </c>
      <c r="E54" s="29">
        <v>17</v>
      </c>
      <c r="F54" s="30">
        <v>42.99</v>
      </c>
      <c r="G54" s="29">
        <v>42.99</v>
      </c>
      <c r="H54" s="28" t="s">
        <v>7908</v>
      </c>
      <c r="I54" s="27" t="s">
        <v>59</v>
      </c>
      <c r="J54" s="31" t="s">
        <v>40</v>
      </c>
      <c r="K54" s="27" t="s">
        <v>70</v>
      </c>
      <c r="L54" s="27" t="s">
        <v>650</v>
      </c>
      <c r="M54" s="32" t="str">
        <f>HYPERLINK("http://slimages.macys.com/is/image/MCY/3876247 ")</f>
        <v xml:space="preserve">http://slimages.macys.com/is/image/MCY/3876247 </v>
      </c>
    </row>
    <row r="55" spans="1:13" ht="15.2" customHeight="1" x14ac:dyDescent="0.2">
      <c r="A55" s="26" t="s">
        <v>7909</v>
      </c>
      <c r="B55" s="27" t="s">
        <v>7910</v>
      </c>
      <c r="C55" s="28">
        <v>1</v>
      </c>
      <c r="D55" s="29">
        <v>17</v>
      </c>
      <c r="E55" s="29">
        <v>17</v>
      </c>
      <c r="F55" s="30">
        <v>59</v>
      </c>
      <c r="G55" s="29">
        <v>59</v>
      </c>
      <c r="H55" s="28" t="s">
        <v>7367</v>
      </c>
      <c r="I55" s="27" t="s">
        <v>29</v>
      </c>
      <c r="J55" s="31" t="s">
        <v>21</v>
      </c>
      <c r="K55" s="27" t="s">
        <v>154</v>
      </c>
      <c r="L55" s="27" t="s">
        <v>155</v>
      </c>
      <c r="M55" s="32" t="str">
        <f>HYPERLINK("http://slimages.macys.com/is/image/MCY/3667499 ")</f>
        <v xml:space="preserve">http://slimages.macys.com/is/image/MCY/3667499 </v>
      </c>
    </row>
    <row r="56" spans="1:13" ht="15.2" customHeight="1" x14ac:dyDescent="0.2">
      <c r="A56" s="26" t="s">
        <v>7911</v>
      </c>
      <c r="B56" s="27" t="s">
        <v>7912</v>
      </c>
      <c r="C56" s="28">
        <v>1</v>
      </c>
      <c r="D56" s="29">
        <v>16.75</v>
      </c>
      <c r="E56" s="29">
        <v>16.75</v>
      </c>
      <c r="F56" s="30">
        <v>41.99</v>
      </c>
      <c r="G56" s="29">
        <v>41.99</v>
      </c>
      <c r="H56" s="28" t="s">
        <v>7913</v>
      </c>
      <c r="I56" s="27" t="s">
        <v>271</v>
      </c>
      <c r="J56" s="31" t="s">
        <v>52</v>
      </c>
      <c r="K56" s="27" t="s">
        <v>70</v>
      </c>
      <c r="L56" s="27" t="s">
        <v>25</v>
      </c>
      <c r="M56" s="32" t="str">
        <f>HYPERLINK("http://slimages.macys.com/is/image/MCY/3937316 ")</f>
        <v xml:space="preserve">http://slimages.macys.com/is/image/MCY/3937316 </v>
      </c>
    </row>
    <row r="57" spans="1:13" ht="15.2" customHeight="1" x14ac:dyDescent="0.2">
      <c r="A57" s="26" t="s">
        <v>7914</v>
      </c>
      <c r="B57" s="27" t="s">
        <v>7915</v>
      </c>
      <c r="C57" s="28">
        <v>1</v>
      </c>
      <c r="D57" s="29">
        <v>16.75</v>
      </c>
      <c r="E57" s="29">
        <v>16.75</v>
      </c>
      <c r="F57" s="30">
        <v>41.99</v>
      </c>
      <c r="G57" s="29">
        <v>41.99</v>
      </c>
      <c r="H57" s="28" t="s">
        <v>7913</v>
      </c>
      <c r="I57" s="27" t="s">
        <v>271</v>
      </c>
      <c r="J57" s="31" t="s">
        <v>71</v>
      </c>
      <c r="K57" s="27" t="s">
        <v>70</v>
      </c>
      <c r="L57" s="27" t="s">
        <v>25</v>
      </c>
      <c r="M57" s="32" t="str">
        <f>HYPERLINK("http://slimages.macys.com/is/image/MCY/3937316 ")</f>
        <v xml:space="preserve">http://slimages.macys.com/is/image/MCY/3937316 </v>
      </c>
    </row>
    <row r="58" spans="1:13" ht="15.2" customHeight="1" x14ac:dyDescent="0.2">
      <c r="A58" s="26" t="s">
        <v>7916</v>
      </c>
      <c r="B58" s="27" t="s">
        <v>7917</v>
      </c>
      <c r="C58" s="28">
        <v>1</v>
      </c>
      <c r="D58" s="29">
        <v>16.53</v>
      </c>
      <c r="E58" s="29">
        <v>16.53</v>
      </c>
      <c r="F58" s="30">
        <v>49.5</v>
      </c>
      <c r="G58" s="29">
        <v>49.5</v>
      </c>
      <c r="H58" s="28" t="s">
        <v>7918</v>
      </c>
      <c r="I58" s="27" t="s">
        <v>94</v>
      </c>
      <c r="J58" s="31" t="s">
        <v>40</v>
      </c>
      <c r="K58" s="27" t="s">
        <v>53</v>
      </c>
      <c r="L58" s="27" t="s">
        <v>54</v>
      </c>
      <c r="M58" s="32" t="str">
        <f>HYPERLINK("http://slimages.macys.com/is/image/MCY/2759255 ")</f>
        <v xml:space="preserve">http://slimages.macys.com/is/image/MCY/2759255 </v>
      </c>
    </row>
    <row r="59" spans="1:13" ht="15.2" customHeight="1" x14ac:dyDescent="0.2">
      <c r="A59" s="26" t="s">
        <v>7919</v>
      </c>
      <c r="B59" s="27" t="s">
        <v>7920</v>
      </c>
      <c r="C59" s="28">
        <v>1</v>
      </c>
      <c r="D59" s="29">
        <v>16.46</v>
      </c>
      <c r="E59" s="29">
        <v>16.46</v>
      </c>
      <c r="F59" s="30">
        <v>44.5</v>
      </c>
      <c r="G59" s="29">
        <v>44.5</v>
      </c>
      <c r="H59" s="28" t="s">
        <v>7731</v>
      </c>
      <c r="I59" s="27" t="s">
        <v>4</v>
      </c>
      <c r="J59" s="31" t="s">
        <v>65</v>
      </c>
      <c r="K59" s="27" t="s">
        <v>53</v>
      </c>
      <c r="L59" s="27" t="s">
        <v>54</v>
      </c>
      <c r="M59" s="32" t="str">
        <f>HYPERLINK("http://slimages.macys.com/is/image/MCY/3811532 ")</f>
        <v xml:space="preserve">http://slimages.macys.com/is/image/MCY/3811532 </v>
      </c>
    </row>
    <row r="60" spans="1:13" ht="15.2" customHeight="1" x14ac:dyDescent="0.2">
      <c r="A60" s="26" t="s">
        <v>7729</v>
      </c>
      <c r="B60" s="27" t="s">
        <v>7730</v>
      </c>
      <c r="C60" s="28">
        <v>1</v>
      </c>
      <c r="D60" s="29">
        <v>16.46</v>
      </c>
      <c r="E60" s="29">
        <v>16.46</v>
      </c>
      <c r="F60" s="30">
        <v>44.5</v>
      </c>
      <c r="G60" s="29">
        <v>44.5</v>
      </c>
      <c r="H60" s="28" t="s">
        <v>7731</v>
      </c>
      <c r="I60" s="27" t="s">
        <v>4</v>
      </c>
      <c r="J60" s="31" t="s">
        <v>5</v>
      </c>
      <c r="K60" s="27" t="s">
        <v>53</v>
      </c>
      <c r="L60" s="27" t="s">
        <v>54</v>
      </c>
      <c r="M60" s="32" t="str">
        <f>HYPERLINK("http://slimages.macys.com/is/image/MCY/3811532 ")</f>
        <v xml:space="preserve">http://slimages.macys.com/is/image/MCY/3811532 </v>
      </c>
    </row>
    <row r="61" spans="1:13" ht="15.2" customHeight="1" x14ac:dyDescent="0.2">
      <c r="A61" s="26" t="s">
        <v>7921</v>
      </c>
      <c r="B61" s="27" t="s">
        <v>7922</v>
      </c>
      <c r="C61" s="28">
        <v>1</v>
      </c>
      <c r="D61" s="29">
        <v>16.239999999999998</v>
      </c>
      <c r="E61" s="29">
        <v>16.239999999999998</v>
      </c>
      <c r="F61" s="30">
        <v>44.5</v>
      </c>
      <c r="G61" s="29">
        <v>44.5</v>
      </c>
      <c r="H61" s="28" t="s">
        <v>140</v>
      </c>
      <c r="I61" s="27" t="s">
        <v>10</v>
      </c>
      <c r="J61" s="31" t="s">
        <v>40</v>
      </c>
      <c r="K61" s="27" t="s">
        <v>41</v>
      </c>
      <c r="L61" s="27" t="s">
        <v>90</v>
      </c>
      <c r="M61" s="32" t="str">
        <f>HYPERLINK("http://slimages.macys.com/is/image/MCY/3774436 ")</f>
        <v xml:space="preserve">http://slimages.macys.com/is/image/MCY/3774436 </v>
      </c>
    </row>
    <row r="62" spans="1:13" ht="15.2" customHeight="1" x14ac:dyDescent="0.2">
      <c r="A62" s="26" t="s">
        <v>7923</v>
      </c>
      <c r="B62" s="27" t="s">
        <v>7924</v>
      </c>
      <c r="C62" s="28">
        <v>1</v>
      </c>
      <c r="D62" s="29">
        <v>16</v>
      </c>
      <c r="E62" s="29">
        <v>16</v>
      </c>
      <c r="F62" s="30">
        <v>49</v>
      </c>
      <c r="G62" s="29">
        <v>49</v>
      </c>
      <c r="H62" s="28" t="s">
        <v>5629</v>
      </c>
      <c r="I62" s="27" t="s">
        <v>4</v>
      </c>
      <c r="J62" s="31" t="s">
        <v>40</v>
      </c>
      <c r="K62" s="27" t="s">
        <v>154</v>
      </c>
      <c r="L62" s="27" t="s">
        <v>155</v>
      </c>
      <c r="M62" s="32" t="str">
        <f>HYPERLINK("http://slimages.macys.com/is/image/MCY/3667375 ")</f>
        <v xml:space="preserve">http://slimages.macys.com/is/image/MCY/3667375 </v>
      </c>
    </row>
    <row r="63" spans="1:13" ht="15.2" customHeight="1" x14ac:dyDescent="0.2">
      <c r="A63" s="26" t="s">
        <v>7645</v>
      </c>
      <c r="B63" s="27" t="s">
        <v>7646</v>
      </c>
      <c r="C63" s="28">
        <v>1</v>
      </c>
      <c r="D63" s="29">
        <v>15.81</v>
      </c>
      <c r="E63" s="29">
        <v>15.81</v>
      </c>
      <c r="F63" s="30">
        <v>44.5</v>
      </c>
      <c r="G63" s="29">
        <v>44.5</v>
      </c>
      <c r="H63" s="28" t="s">
        <v>1163</v>
      </c>
      <c r="I63" s="27" t="s">
        <v>4</v>
      </c>
      <c r="J63" s="31" t="s">
        <v>30</v>
      </c>
      <c r="K63" s="27" t="s">
        <v>12</v>
      </c>
      <c r="L63" s="27" t="s">
        <v>13</v>
      </c>
      <c r="M63" s="32" t="str">
        <f>HYPERLINK("http://slimages.macys.com/is/image/MCY/3973171 ")</f>
        <v xml:space="preserve">http://slimages.macys.com/is/image/MCY/3973171 </v>
      </c>
    </row>
    <row r="64" spans="1:13" ht="15.2" customHeight="1" x14ac:dyDescent="0.2">
      <c r="A64" s="26" t="s">
        <v>7647</v>
      </c>
      <c r="B64" s="27" t="s">
        <v>7648</v>
      </c>
      <c r="C64" s="28">
        <v>1</v>
      </c>
      <c r="D64" s="29">
        <v>15</v>
      </c>
      <c r="E64" s="29">
        <v>15</v>
      </c>
      <c r="F64" s="30">
        <v>36.99</v>
      </c>
      <c r="G64" s="29">
        <v>36.99</v>
      </c>
      <c r="H64" s="28" t="s">
        <v>7649</v>
      </c>
      <c r="I64" s="27" t="s">
        <v>36</v>
      </c>
      <c r="J64" s="31" t="s">
        <v>5</v>
      </c>
      <c r="K64" s="27" t="s">
        <v>70</v>
      </c>
      <c r="L64" s="27" t="s">
        <v>1079</v>
      </c>
      <c r="M64" s="32" t="str">
        <f>HYPERLINK("http://slimages.macys.com/is/image/MCY/3857885 ")</f>
        <v xml:space="preserve">http://slimages.macys.com/is/image/MCY/3857885 </v>
      </c>
    </row>
    <row r="65" spans="1:13" ht="15.2" customHeight="1" x14ac:dyDescent="0.2">
      <c r="A65" s="26" t="s">
        <v>4444</v>
      </c>
      <c r="B65" s="27" t="s">
        <v>4445</v>
      </c>
      <c r="C65" s="28">
        <v>1</v>
      </c>
      <c r="D65" s="29">
        <v>15</v>
      </c>
      <c r="E65" s="29">
        <v>15</v>
      </c>
      <c r="F65" s="30">
        <v>59</v>
      </c>
      <c r="G65" s="29">
        <v>59</v>
      </c>
      <c r="H65" s="28" t="s">
        <v>158</v>
      </c>
      <c r="I65" s="27"/>
      <c r="J65" s="31" t="s">
        <v>21</v>
      </c>
      <c r="K65" s="27" t="s">
        <v>154</v>
      </c>
      <c r="L65" s="27" t="s">
        <v>155</v>
      </c>
      <c r="M65" s="32" t="str">
        <f>HYPERLINK("http://slimages.macys.com/is/image/MCY/3667495 ")</f>
        <v xml:space="preserve">http://slimages.macys.com/is/image/MCY/3667495 </v>
      </c>
    </row>
    <row r="66" spans="1:13" ht="15.2" customHeight="1" x14ac:dyDescent="0.2">
      <c r="A66" s="26" t="s">
        <v>725</v>
      </c>
      <c r="B66" s="27" t="s">
        <v>726</v>
      </c>
      <c r="C66" s="28">
        <v>1</v>
      </c>
      <c r="D66" s="29">
        <v>15</v>
      </c>
      <c r="E66" s="29">
        <v>15</v>
      </c>
      <c r="F66" s="30">
        <v>39.5</v>
      </c>
      <c r="G66" s="29">
        <v>39.5</v>
      </c>
      <c r="H66" s="28" t="s">
        <v>718</v>
      </c>
      <c r="I66" s="27" t="s">
        <v>189</v>
      </c>
      <c r="J66" s="31" t="s">
        <v>21</v>
      </c>
      <c r="K66" s="27" t="s">
        <v>17</v>
      </c>
      <c r="L66" s="27" t="s">
        <v>18</v>
      </c>
      <c r="M66" s="32" t="str">
        <f>HYPERLINK("http://slimages.macys.com/is/image/MCY/3895640 ")</f>
        <v xml:space="preserve">http://slimages.macys.com/is/image/MCY/3895640 </v>
      </c>
    </row>
    <row r="67" spans="1:13" ht="15.2" customHeight="1" x14ac:dyDescent="0.2">
      <c r="A67" s="26" t="s">
        <v>7925</v>
      </c>
      <c r="B67" s="27" t="s">
        <v>7926</v>
      </c>
      <c r="C67" s="28">
        <v>1</v>
      </c>
      <c r="D67" s="29">
        <v>14.5</v>
      </c>
      <c r="E67" s="29">
        <v>14.5</v>
      </c>
      <c r="F67" s="30">
        <v>49</v>
      </c>
      <c r="G67" s="29">
        <v>49</v>
      </c>
      <c r="H67" s="28" t="s">
        <v>170</v>
      </c>
      <c r="I67" s="27" t="s">
        <v>4</v>
      </c>
      <c r="J67" s="31" t="s">
        <v>52</v>
      </c>
      <c r="K67" s="27" t="s">
        <v>154</v>
      </c>
      <c r="L67" s="27" t="s">
        <v>155</v>
      </c>
      <c r="M67" s="32" t="str">
        <f>HYPERLINK("http://slimages.macys.com/is/image/MCY/3801863 ")</f>
        <v xml:space="preserve">http://slimages.macys.com/is/image/MCY/3801863 </v>
      </c>
    </row>
    <row r="68" spans="1:13" ht="15.2" customHeight="1" x14ac:dyDescent="0.2">
      <c r="A68" s="26" t="s">
        <v>2135</v>
      </c>
      <c r="B68" s="27" t="s">
        <v>2136</v>
      </c>
      <c r="C68" s="28">
        <v>2</v>
      </c>
      <c r="D68" s="29">
        <v>14.5</v>
      </c>
      <c r="E68" s="29">
        <v>29</v>
      </c>
      <c r="F68" s="30">
        <v>45</v>
      </c>
      <c r="G68" s="29">
        <v>90</v>
      </c>
      <c r="H68" s="28" t="s">
        <v>1768</v>
      </c>
      <c r="I68" s="27" t="s">
        <v>26</v>
      </c>
      <c r="J68" s="31" t="s">
        <v>5</v>
      </c>
      <c r="K68" s="27" t="s">
        <v>154</v>
      </c>
      <c r="L68" s="27" t="s">
        <v>155</v>
      </c>
      <c r="M68" s="32" t="str">
        <f>HYPERLINK("http://slimages.macys.com/is/image/MCY/3841161 ")</f>
        <v xml:space="preserve">http://slimages.macys.com/is/image/MCY/3841161 </v>
      </c>
    </row>
    <row r="69" spans="1:13" ht="15.2" customHeight="1" x14ac:dyDescent="0.2">
      <c r="A69" s="26" t="s">
        <v>3228</v>
      </c>
      <c r="B69" s="27" t="s">
        <v>3229</v>
      </c>
      <c r="C69" s="28">
        <v>1</v>
      </c>
      <c r="D69" s="29">
        <v>14.5</v>
      </c>
      <c r="E69" s="29">
        <v>14.5</v>
      </c>
      <c r="F69" s="30">
        <v>45</v>
      </c>
      <c r="G69" s="29">
        <v>45</v>
      </c>
      <c r="H69" s="28" t="s">
        <v>1768</v>
      </c>
      <c r="I69" s="27" t="s">
        <v>26</v>
      </c>
      <c r="J69" s="31" t="s">
        <v>65</v>
      </c>
      <c r="K69" s="27" t="s">
        <v>154</v>
      </c>
      <c r="L69" s="27" t="s">
        <v>155</v>
      </c>
      <c r="M69" s="32" t="str">
        <f>HYPERLINK("http://slimages.macys.com/is/image/MCY/3841161 ")</f>
        <v xml:space="preserve">http://slimages.macys.com/is/image/MCY/3841161 </v>
      </c>
    </row>
    <row r="70" spans="1:13" ht="15.2" customHeight="1" x14ac:dyDescent="0.2">
      <c r="A70" s="26" t="s">
        <v>1185</v>
      </c>
      <c r="B70" s="27" t="s">
        <v>1186</v>
      </c>
      <c r="C70" s="28">
        <v>2</v>
      </c>
      <c r="D70" s="29">
        <v>14.49</v>
      </c>
      <c r="E70" s="29">
        <v>28.98</v>
      </c>
      <c r="F70" s="30">
        <v>39.5</v>
      </c>
      <c r="G70" s="29">
        <v>79</v>
      </c>
      <c r="H70" s="28" t="s">
        <v>171</v>
      </c>
      <c r="I70" s="27" t="s">
        <v>64</v>
      </c>
      <c r="J70" s="31" t="s">
        <v>5</v>
      </c>
      <c r="K70" s="27" t="s">
        <v>53</v>
      </c>
      <c r="L70" s="27" t="s">
        <v>54</v>
      </c>
      <c r="M70" s="32" t="str">
        <f>HYPERLINK("http://slimages.macys.com/is/image/MCY/3369009 ")</f>
        <v xml:space="preserve">http://slimages.macys.com/is/image/MCY/3369009 </v>
      </c>
    </row>
    <row r="71" spans="1:13" ht="15.2" customHeight="1" x14ac:dyDescent="0.2">
      <c r="A71" s="26" t="s">
        <v>7927</v>
      </c>
      <c r="B71" s="27" t="s">
        <v>7928</v>
      </c>
      <c r="C71" s="28">
        <v>1</v>
      </c>
      <c r="D71" s="29">
        <v>14.48</v>
      </c>
      <c r="E71" s="29">
        <v>14.48</v>
      </c>
      <c r="F71" s="30">
        <v>39.5</v>
      </c>
      <c r="G71" s="29">
        <v>39.5</v>
      </c>
      <c r="H71" s="28" t="s">
        <v>7508</v>
      </c>
      <c r="I71" s="27" t="s">
        <v>4</v>
      </c>
      <c r="J71" s="31" t="s">
        <v>52</v>
      </c>
      <c r="K71" s="27" t="s">
        <v>53</v>
      </c>
      <c r="L71" s="27" t="s">
        <v>54</v>
      </c>
      <c r="M71" s="32" t="str">
        <f>HYPERLINK("http://slimages.macys.com/is/image/MCY/3809646 ")</f>
        <v xml:space="preserve">http://slimages.macys.com/is/image/MCY/3809646 </v>
      </c>
    </row>
    <row r="72" spans="1:13" ht="15.2" customHeight="1" x14ac:dyDescent="0.2">
      <c r="A72" s="26" t="s">
        <v>2139</v>
      </c>
      <c r="B72" s="27" t="s">
        <v>2140</v>
      </c>
      <c r="C72" s="28">
        <v>1</v>
      </c>
      <c r="D72" s="29">
        <v>14.42</v>
      </c>
      <c r="E72" s="29">
        <v>14.42</v>
      </c>
      <c r="F72" s="30">
        <v>39.5</v>
      </c>
      <c r="G72" s="29">
        <v>39.5</v>
      </c>
      <c r="H72" s="28" t="s">
        <v>2141</v>
      </c>
      <c r="I72" s="27" t="s">
        <v>4</v>
      </c>
      <c r="J72" s="31" t="s">
        <v>71</v>
      </c>
      <c r="K72" s="27" t="s">
        <v>41</v>
      </c>
      <c r="L72" s="27" t="s">
        <v>68</v>
      </c>
      <c r="M72" s="32" t="str">
        <f>HYPERLINK("http://slimages.macys.com/is/image/MCY/3846662 ")</f>
        <v xml:space="preserve">http://slimages.macys.com/is/image/MCY/3846662 </v>
      </c>
    </row>
    <row r="73" spans="1:13" ht="15.2" customHeight="1" x14ac:dyDescent="0.2">
      <c r="A73" s="26" t="s">
        <v>4204</v>
      </c>
      <c r="B73" s="27" t="s">
        <v>4205</v>
      </c>
      <c r="C73" s="28">
        <v>2</v>
      </c>
      <c r="D73" s="29">
        <v>14</v>
      </c>
      <c r="E73" s="29">
        <v>28</v>
      </c>
      <c r="F73" s="30">
        <v>34.99</v>
      </c>
      <c r="G73" s="29">
        <v>69.98</v>
      </c>
      <c r="H73" s="28" t="s">
        <v>183</v>
      </c>
      <c r="I73" s="27" t="s">
        <v>20</v>
      </c>
      <c r="J73" s="31" t="s">
        <v>52</v>
      </c>
      <c r="K73" s="27" t="s">
        <v>70</v>
      </c>
      <c r="L73" s="27" t="s">
        <v>25</v>
      </c>
      <c r="M73" s="32" t="str">
        <f>HYPERLINK("http://slimages.macys.com/is/image/MCY/3777014 ")</f>
        <v xml:space="preserve">http://slimages.macys.com/is/image/MCY/3777014 </v>
      </c>
    </row>
    <row r="74" spans="1:13" ht="15.2" customHeight="1" x14ac:dyDescent="0.2">
      <c r="A74" s="26" t="s">
        <v>7929</v>
      </c>
      <c r="B74" s="27" t="s">
        <v>7930</v>
      </c>
      <c r="C74" s="28">
        <v>1</v>
      </c>
      <c r="D74" s="29">
        <v>14</v>
      </c>
      <c r="E74" s="29">
        <v>14</v>
      </c>
      <c r="F74" s="30">
        <v>27.99</v>
      </c>
      <c r="G74" s="29">
        <v>27.99</v>
      </c>
      <c r="H74" s="28" t="s">
        <v>7931</v>
      </c>
      <c r="I74" s="27" t="s">
        <v>343</v>
      </c>
      <c r="J74" s="31" t="s">
        <v>21</v>
      </c>
      <c r="K74" s="27" t="s">
        <v>224</v>
      </c>
      <c r="L74" s="27" t="s">
        <v>254</v>
      </c>
      <c r="M74" s="32" t="str">
        <f>HYPERLINK("http://slimages.macys.com/is/image/MCY/3931033 ")</f>
        <v xml:space="preserve">http://slimages.macys.com/is/image/MCY/3931033 </v>
      </c>
    </row>
    <row r="75" spans="1:13" ht="15.2" customHeight="1" x14ac:dyDescent="0.2">
      <c r="A75" s="26" t="s">
        <v>7932</v>
      </c>
      <c r="B75" s="27" t="s">
        <v>7933</v>
      </c>
      <c r="C75" s="28">
        <v>1</v>
      </c>
      <c r="D75" s="29">
        <v>13.5</v>
      </c>
      <c r="E75" s="29">
        <v>13.5</v>
      </c>
      <c r="F75" s="30">
        <v>59</v>
      </c>
      <c r="G75" s="29">
        <v>59</v>
      </c>
      <c r="H75" s="28" t="s">
        <v>7934</v>
      </c>
      <c r="I75" s="27" t="s">
        <v>291</v>
      </c>
      <c r="J75" s="31" t="s">
        <v>11</v>
      </c>
      <c r="K75" s="27" t="s">
        <v>132</v>
      </c>
      <c r="L75" s="27" t="s">
        <v>133</v>
      </c>
      <c r="M75" s="32" t="str">
        <f>HYPERLINK("http://slimages.macys.com/is/image/MCY/3391494 ")</f>
        <v xml:space="preserve">http://slimages.macys.com/is/image/MCY/3391494 </v>
      </c>
    </row>
    <row r="76" spans="1:13" ht="15.2" customHeight="1" x14ac:dyDescent="0.2">
      <c r="A76" s="26" t="s">
        <v>1197</v>
      </c>
      <c r="B76" s="27" t="s">
        <v>1198</v>
      </c>
      <c r="C76" s="28">
        <v>1</v>
      </c>
      <c r="D76" s="29">
        <v>13.25</v>
      </c>
      <c r="E76" s="29">
        <v>13.25</v>
      </c>
      <c r="F76" s="30">
        <v>24.99</v>
      </c>
      <c r="G76" s="29">
        <v>24.99</v>
      </c>
      <c r="H76" s="28" t="s">
        <v>195</v>
      </c>
      <c r="I76" s="27" t="s">
        <v>8</v>
      </c>
      <c r="J76" s="31" t="s">
        <v>5</v>
      </c>
      <c r="K76" s="27" t="s">
        <v>196</v>
      </c>
      <c r="L76" s="27" t="s">
        <v>197</v>
      </c>
      <c r="M76" s="32" t="str">
        <f>HYPERLINK("http://slimages.macys.com/is/image/MCY/3734929 ")</f>
        <v xml:space="preserve">http://slimages.macys.com/is/image/MCY/3734929 </v>
      </c>
    </row>
    <row r="77" spans="1:13" ht="15.2" customHeight="1" x14ac:dyDescent="0.2">
      <c r="A77" s="26" t="s">
        <v>1199</v>
      </c>
      <c r="B77" s="27" t="s">
        <v>1200</v>
      </c>
      <c r="C77" s="28">
        <v>2</v>
      </c>
      <c r="D77" s="29">
        <v>13.25</v>
      </c>
      <c r="E77" s="29">
        <v>26.5</v>
      </c>
      <c r="F77" s="30">
        <v>24.99</v>
      </c>
      <c r="G77" s="29">
        <v>49.98</v>
      </c>
      <c r="H77" s="28" t="s">
        <v>744</v>
      </c>
      <c r="I77" s="27" t="s">
        <v>4</v>
      </c>
      <c r="J77" s="31" t="s">
        <v>5</v>
      </c>
      <c r="K77" s="27" t="s">
        <v>196</v>
      </c>
      <c r="L77" s="27" t="s">
        <v>197</v>
      </c>
      <c r="M77" s="32" t="str">
        <f>HYPERLINK("http://slimages.macys.com/is/image/MCY/3734929 ")</f>
        <v xml:space="preserve">http://slimages.macys.com/is/image/MCY/3734929 </v>
      </c>
    </row>
    <row r="78" spans="1:13" ht="15.2" customHeight="1" x14ac:dyDescent="0.2">
      <c r="A78" s="26" t="s">
        <v>6961</v>
      </c>
      <c r="B78" s="27" t="s">
        <v>6962</v>
      </c>
      <c r="C78" s="28">
        <v>2</v>
      </c>
      <c r="D78" s="29">
        <v>13</v>
      </c>
      <c r="E78" s="29">
        <v>26</v>
      </c>
      <c r="F78" s="30">
        <v>44</v>
      </c>
      <c r="G78" s="29">
        <v>88</v>
      </c>
      <c r="H78" s="28" t="s">
        <v>6030</v>
      </c>
      <c r="I78" s="27" t="s">
        <v>144</v>
      </c>
      <c r="J78" s="31" t="s">
        <v>5</v>
      </c>
      <c r="K78" s="27" t="s">
        <v>42</v>
      </c>
      <c r="L78" s="27" t="s">
        <v>43</v>
      </c>
      <c r="M78" s="32" t="str">
        <f>HYPERLINK("http://slimages.macys.com/is/image/MCY/3611254 ")</f>
        <v xml:space="preserve">http://slimages.macys.com/is/image/MCY/3611254 </v>
      </c>
    </row>
    <row r="79" spans="1:13" ht="15.2" customHeight="1" x14ac:dyDescent="0.2">
      <c r="A79" s="26" t="s">
        <v>7935</v>
      </c>
      <c r="B79" s="27" t="s">
        <v>7936</v>
      </c>
      <c r="C79" s="28">
        <v>1</v>
      </c>
      <c r="D79" s="29">
        <v>13</v>
      </c>
      <c r="E79" s="29">
        <v>13</v>
      </c>
      <c r="F79" s="30">
        <v>29.99</v>
      </c>
      <c r="G79" s="29">
        <v>29.99</v>
      </c>
      <c r="H79" s="28" t="s">
        <v>5422</v>
      </c>
      <c r="I79" s="27" t="s">
        <v>29</v>
      </c>
      <c r="J79" s="31" t="s">
        <v>23</v>
      </c>
      <c r="K79" s="27" t="s">
        <v>200</v>
      </c>
      <c r="L79" s="27" t="s">
        <v>1201</v>
      </c>
      <c r="M79" s="32" t="str">
        <f>HYPERLINK("http://slimages.macys.com/is/image/MCY/3598633 ")</f>
        <v xml:space="preserve">http://slimages.macys.com/is/image/MCY/3598633 </v>
      </c>
    </row>
    <row r="80" spans="1:13" ht="15.2" customHeight="1" x14ac:dyDescent="0.2">
      <c r="A80" s="26" t="s">
        <v>7523</v>
      </c>
      <c r="B80" s="27" t="s">
        <v>7524</v>
      </c>
      <c r="C80" s="28">
        <v>1</v>
      </c>
      <c r="D80" s="29">
        <v>12.75</v>
      </c>
      <c r="E80" s="29">
        <v>12.75</v>
      </c>
      <c r="F80" s="30">
        <v>29.99</v>
      </c>
      <c r="G80" s="29">
        <v>29.99</v>
      </c>
      <c r="H80" s="28" t="s">
        <v>1789</v>
      </c>
      <c r="I80" s="27" t="s">
        <v>29</v>
      </c>
      <c r="J80" s="31" t="s">
        <v>52</v>
      </c>
      <c r="K80" s="27" t="s">
        <v>200</v>
      </c>
      <c r="L80" s="27" t="s">
        <v>201</v>
      </c>
      <c r="M80" s="32" t="str">
        <f>HYPERLINK("http://slimages.macys.com/is/image/MCY/3826877 ")</f>
        <v xml:space="preserve">http://slimages.macys.com/is/image/MCY/3826877 </v>
      </c>
    </row>
    <row r="81" spans="1:13" ht="15.2" customHeight="1" x14ac:dyDescent="0.2">
      <c r="A81" s="26" t="s">
        <v>7381</v>
      </c>
      <c r="B81" s="27" t="s">
        <v>7382</v>
      </c>
      <c r="C81" s="28">
        <v>1</v>
      </c>
      <c r="D81" s="29">
        <v>12.75</v>
      </c>
      <c r="E81" s="29">
        <v>12.75</v>
      </c>
      <c r="F81" s="30">
        <v>29.99</v>
      </c>
      <c r="G81" s="29">
        <v>29.99</v>
      </c>
      <c r="H81" s="28" t="s">
        <v>1789</v>
      </c>
      <c r="I81" s="27" t="s">
        <v>29</v>
      </c>
      <c r="J81" s="31" t="s">
        <v>5</v>
      </c>
      <c r="K81" s="27" t="s">
        <v>200</v>
      </c>
      <c r="L81" s="27" t="s">
        <v>201</v>
      </c>
      <c r="M81" s="32" t="str">
        <f>HYPERLINK("http://slimages.macys.com/is/image/MCY/3826877 ")</f>
        <v xml:space="preserve">http://slimages.macys.com/is/image/MCY/3826877 </v>
      </c>
    </row>
    <row r="82" spans="1:13" ht="15.2" customHeight="1" x14ac:dyDescent="0.2">
      <c r="A82" s="26" t="s">
        <v>7937</v>
      </c>
      <c r="B82" s="27" t="s">
        <v>7938</v>
      </c>
      <c r="C82" s="28">
        <v>1</v>
      </c>
      <c r="D82" s="29">
        <v>12.6</v>
      </c>
      <c r="E82" s="29">
        <v>12.6</v>
      </c>
      <c r="F82" s="30">
        <v>29.99</v>
      </c>
      <c r="G82" s="29">
        <v>29.99</v>
      </c>
      <c r="H82" s="28" t="s">
        <v>769</v>
      </c>
      <c r="I82" s="27" t="s">
        <v>64</v>
      </c>
      <c r="J82" s="31" t="s">
        <v>5</v>
      </c>
      <c r="K82" s="27" t="s">
        <v>159</v>
      </c>
      <c r="L82" s="27" t="s">
        <v>160</v>
      </c>
      <c r="M82" s="32" t="str">
        <f>HYPERLINK("http://slimages.macys.com/is/image/MCY/3857674 ")</f>
        <v xml:space="preserve">http://slimages.macys.com/is/image/MCY/3857674 </v>
      </c>
    </row>
    <row r="83" spans="1:13" ht="15.2" customHeight="1" x14ac:dyDescent="0.2">
      <c r="A83" s="26" t="s">
        <v>2883</v>
      </c>
      <c r="B83" s="27" t="s">
        <v>2884</v>
      </c>
      <c r="C83" s="28">
        <v>1</v>
      </c>
      <c r="D83" s="29">
        <v>12.6</v>
      </c>
      <c r="E83" s="29">
        <v>12.6</v>
      </c>
      <c r="F83" s="30">
        <v>29.99</v>
      </c>
      <c r="G83" s="29">
        <v>29.99</v>
      </c>
      <c r="H83" s="28" t="s">
        <v>769</v>
      </c>
      <c r="I83" s="27" t="s">
        <v>146</v>
      </c>
      <c r="J83" s="31" t="s">
        <v>21</v>
      </c>
      <c r="K83" s="27" t="s">
        <v>159</v>
      </c>
      <c r="L83" s="27" t="s">
        <v>160</v>
      </c>
      <c r="M83" s="32" t="str">
        <f>HYPERLINK("http://slimages.macys.com/is/image/MCY/3857674 ")</f>
        <v xml:space="preserve">http://slimages.macys.com/is/image/MCY/3857674 </v>
      </c>
    </row>
    <row r="84" spans="1:13" ht="15.2" customHeight="1" x14ac:dyDescent="0.2">
      <c r="A84" s="26" t="s">
        <v>2602</v>
      </c>
      <c r="B84" s="27" t="s">
        <v>2603</v>
      </c>
      <c r="C84" s="28">
        <v>1</v>
      </c>
      <c r="D84" s="29">
        <v>12.6</v>
      </c>
      <c r="E84" s="29">
        <v>12.6</v>
      </c>
      <c r="F84" s="30">
        <v>29.99</v>
      </c>
      <c r="G84" s="29">
        <v>29.99</v>
      </c>
      <c r="H84" s="28" t="s">
        <v>769</v>
      </c>
      <c r="I84" s="27" t="s">
        <v>4</v>
      </c>
      <c r="J84" s="31" t="s">
        <v>21</v>
      </c>
      <c r="K84" s="27" t="s">
        <v>159</v>
      </c>
      <c r="L84" s="27" t="s">
        <v>160</v>
      </c>
      <c r="M84" s="32" t="str">
        <f>HYPERLINK("http://slimages.macys.com/is/image/MCY/3857674 ")</f>
        <v xml:space="preserve">http://slimages.macys.com/is/image/MCY/3857674 </v>
      </c>
    </row>
    <row r="85" spans="1:13" ht="15.2" customHeight="1" x14ac:dyDescent="0.2">
      <c r="A85" s="26" t="s">
        <v>7939</v>
      </c>
      <c r="B85" s="27" t="s">
        <v>7940</v>
      </c>
      <c r="C85" s="28">
        <v>1</v>
      </c>
      <c r="D85" s="29">
        <v>12.5</v>
      </c>
      <c r="E85" s="29">
        <v>12.5</v>
      </c>
      <c r="F85" s="30">
        <v>27.99</v>
      </c>
      <c r="G85" s="29">
        <v>27.99</v>
      </c>
      <c r="H85" s="28" t="s">
        <v>7941</v>
      </c>
      <c r="I85" s="27" t="s">
        <v>4</v>
      </c>
      <c r="J85" s="31" t="s">
        <v>21</v>
      </c>
      <c r="K85" s="27" t="s">
        <v>224</v>
      </c>
      <c r="L85" s="27" t="s">
        <v>325</v>
      </c>
      <c r="M85" s="32" t="str">
        <f>HYPERLINK("http://slimages.macys.com/is/image/MCY/3931163 ")</f>
        <v xml:space="preserve">http://slimages.macys.com/is/image/MCY/3931163 </v>
      </c>
    </row>
    <row r="86" spans="1:13" ht="15.2" customHeight="1" x14ac:dyDescent="0.2">
      <c r="A86" s="26" t="s">
        <v>7942</v>
      </c>
      <c r="B86" s="27" t="s">
        <v>7943</v>
      </c>
      <c r="C86" s="28">
        <v>1</v>
      </c>
      <c r="D86" s="29">
        <v>12.17</v>
      </c>
      <c r="E86" s="29">
        <v>12.17</v>
      </c>
      <c r="F86" s="30">
        <v>39.5</v>
      </c>
      <c r="G86" s="29">
        <v>39.5</v>
      </c>
      <c r="H86" s="28" t="s">
        <v>7944</v>
      </c>
      <c r="I86" s="27" t="s">
        <v>82</v>
      </c>
      <c r="J86" s="31" t="s">
        <v>21</v>
      </c>
      <c r="K86" s="27" t="s">
        <v>53</v>
      </c>
      <c r="L86" s="27" t="s">
        <v>54</v>
      </c>
      <c r="M86" s="32" t="str">
        <f>HYPERLINK("http://slimages.macys.com/is/image/MCY/3547342 ")</f>
        <v xml:space="preserve">http://slimages.macys.com/is/image/MCY/3547342 </v>
      </c>
    </row>
    <row r="87" spans="1:13" ht="15.2" customHeight="1" x14ac:dyDescent="0.2">
      <c r="A87" s="26" t="s">
        <v>7945</v>
      </c>
      <c r="B87" s="27" t="s">
        <v>7946</v>
      </c>
      <c r="C87" s="28">
        <v>1</v>
      </c>
      <c r="D87" s="29">
        <v>12</v>
      </c>
      <c r="E87" s="29">
        <v>12</v>
      </c>
      <c r="F87" s="30">
        <v>49</v>
      </c>
      <c r="G87" s="29">
        <v>49</v>
      </c>
      <c r="H87" s="28" t="s">
        <v>2179</v>
      </c>
      <c r="I87" s="27" t="s">
        <v>4</v>
      </c>
      <c r="J87" s="31" t="s">
        <v>65</v>
      </c>
      <c r="K87" s="27" t="s">
        <v>154</v>
      </c>
      <c r="L87" s="27" t="s">
        <v>155</v>
      </c>
      <c r="M87" s="32" t="str">
        <f>HYPERLINK("http://slimages.macys.com/is/image/MCY/3852663 ")</f>
        <v xml:space="preserve">http://slimages.macys.com/is/image/MCY/3852663 </v>
      </c>
    </row>
    <row r="88" spans="1:13" ht="15.2" customHeight="1" x14ac:dyDescent="0.2">
      <c r="A88" s="26" t="s">
        <v>4457</v>
      </c>
      <c r="B88" s="27" t="s">
        <v>4458</v>
      </c>
      <c r="C88" s="28">
        <v>1</v>
      </c>
      <c r="D88" s="29">
        <v>11.89</v>
      </c>
      <c r="E88" s="29">
        <v>11.89</v>
      </c>
      <c r="F88" s="30">
        <v>27.99</v>
      </c>
      <c r="G88" s="29">
        <v>27.99</v>
      </c>
      <c r="H88" s="28" t="s">
        <v>778</v>
      </c>
      <c r="I88" s="27" t="s">
        <v>29</v>
      </c>
      <c r="J88" s="31" t="s">
        <v>71</v>
      </c>
      <c r="K88" s="27" t="s">
        <v>224</v>
      </c>
      <c r="L88" s="27" t="s">
        <v>237</v>
      </c>
      <c r="M88" s="32" t="str">
        <f>HYPERLINK("http://slimages.macys.com/is/image/MCY/3910851 ")</f>
        <v xml:space="preserve">http://slimages.macys.com/is/image/MCY/3910851 </v>
      </c>
    </row>
    <row r="89" spans="1:13" ht="15.2" customHeight="1" x14ac:dyDescent="0.2">
      <c r="A89" s="26" t="s">
        <v>1244</v>
      </c>
      <c r="B89" s="27" t="s">
        <v>1245</v>
      </c>
      <c r="C89" s="28">
        <v>2</v>
      </c>
      <c r="D89" s="29">
        <v>11.89</v>
      </c>
      <c r="E89" s="29">
        <v>23.78</v>
      </c>
      <c r="F89" s="30">
        <v>27.99</v>
      </c>
      <c r="G89" s="29">
        <v>55.98</v>
      </c>
      <c r="H89" s="28" t="s">
        <v>778</v>
      </c>
      <c r="I89" s="27" t="s">
        <v>238</v>
      </c>
      <c r="J89" s="31" t="s">
        <v>21</v>
      </c>
      <c r="K89" s="27" t="s">
        <v>224</v>
      </c>
      <c r="L89" s="27" t="s">
        <v>237</v>
      </c>
      <c r="M89" s="32" t="str">
        <f>HYPERLINK("http://slimages.macys.com/is/image/MCY/3910851 ")</f>
        <v xml:space="preserve">http://slimages.macys.com/is/image/MCY/3910851 </v>
      </c>
    </row>
    <row r="90" spans="1:13" ht="15.2" customHeight="1" x14ac:dyDescent="0.2">
      <c r="A90" s="26" t="s">
        <v>2891</v>
      </c>
      <c r="B90" s="27" t="s">
        <v>2892</v>
      </c>
      <c r="C90" s="28">
        <v>1</v>
      </c>
      <c r="D90" s="29">
        <v>11.89</v>
      </c>
      <c r="E90" s="29">
        <v>11.89</v>
      </c>
      <c r="F90" s="30">
        <v>27.99</v>
      </c>
      <c r="G90" s="29">
        <v>27.99</v>
      </c>
      <c r="H90" s="28" t="s">
        <v>778</v>
      </c>
      <c r="I90" s="27" t="s">
        <v>238</v>
      </c>
      <c r="J90" s="31" t="s">
        <v>71</v>
      </c>
      <c r="K90" s="27" t="s">
        <v>224</v>
      </c>
      <c r="L90" s="27" t="s">
        <v>237</v>
      </c>
      <c r="M90" s="32" t="str">
        <f>HYPERLINK("http://slimages.macys.com/is/image/MCY/3910851 ")</f>
        <v xml:space="preserve">http://slimages.macys.com/is/image/MCY/3910851 </v>
      </c>
    </row>
    <row r="91" spans="1:13" ht="15.2" customHeight="1" x14ac:dyDescent="0.2">
      <c r="A91" s="26" t="s">
        <v>1242</v>
      </c>
      <c r="B91" s="27" t="s">
        <v>1243</v>
      </c>
      <c r="C91" s="28">
        <v>3</v>
      </c>
      <c r="D91" s="29">
        <v>11.89</v>
      </c>
      <c r="E91" s="29">
        <v>35.67</v>
      </c>
      <c r="F91" s="30">
        <v>27.99</v>
      </c>
      <c r="G91" s="29">
        <v>83.97</v>
      </c>
      <c r="H91" s="28" t="s">
        <v>778</v>
      </c>
      <c r="I91" s="27" t="s">
        <v>238</v>
      </c>
      <c r="J91" s="31" t="s">
        <v>5</v>
      </c>
      <c r="K91" s="27" t="s">
        <v>224</v>
      </c>
      <c r="L91" s="27" t="s">
        <v>237</v>
      </c>
      <c r="M91" s="32" t="str">
        <f>HYPERLINK("http://slimages.macys.com/is/image/MCY/3910851 ")</f>
        <v xml:space="preserve">http://slimages.macys.com/is/image/MCY/3910851 </v>
      </c>
    </row>
    <row r="92" spans="1:13" ht="15.2" customHeight="1" x14ac:dyDescent="0.2">
      <c r="A92" s="26" t="s">
        <v>776</v>
      </c>
      <c r="B92" s="27" t="s">
        <v>777</v>
      </c>
      <c r="C92" s="28">
        <v>2</v>
      </c>
      <c r="D92" s="29">
        <v>11.89</v>
      </c>
      <c r="E92" s="29">
        <v>23.78</v>
      </c>
      <c r="F92" s="30">
        <v>27.99</v>
      </c>
      <c r="G92" s="29">
        <v>55.98</v>
      </c>
      <c r="H92" s="28" t="s">
        <v>778</v>
      </c>
      <c r="I92" s="27" t="s">
        <v>238</v>
      </c>
      <c r="J92" s="31" t="s">
        <v>40</v>
      </c>
      <c r="K92" s="27" t="s">
        <v>224</v>
      </c>
      <c r="L92" s="27" t="s">
        <v>237</v>
      </c>
      <c r="M92" s="32" t="str">
        <f>HYPERLINK("http://slimages.macys.com/is/image/MCY/3910851 ")</f>
        <v xml:space="preserve">http://slimages.macys.com/is/image/MCY/3910851 </v>
      </c>
    </row>
    <row r="93" spans="1:13" ht="15.2" customHeight="1" x14ac:dyDescent="0.2">
      <c r="A93" s="26" t="s">
        <v>7947</v>
      </c>
      <c r="B93" s="27" t="s">
        <v>7948</v>
      </c>
      <c r="C93" s="28">
        <v>1</v>
      </c>
      <c r="D93" s="29">
        <v>11.5</v>
      </c>
      <c r="E93" s="29">
        <v>11.5</v>
      </c>
      <c r="F93" s="30">
        <v>59</v>
      </c>
      <c r="G93" s="29">
        <v>59</v>
      </c>
      <c r="H93" s="28" t="s">
        <v>7949</v>
      </c>
      <c r="I93" s="27" t="s">
        <v>4</v>
      </c>
      <c r="J93" s="31" t="s">
        <v>32</v>
      </c>
      <c r="K93" s="27" t="s">
        <v>132</v>
      </c>
      <c r="L93" s="27" t="s">
        <v>150</v>
      </c>
      <c r="M93" s="32" t="str">
        <f>HYPERLINK("http://slimages.macys.com/is/image/MCY/3946716 ")</f>
        <v xml:space="preserve">http://slimages.macys.com/is/image/MCY/3946716 </v>
      </c>
    </row>
    <row r="94" spans="1:13" ht="15.2" customHeight="1" x14ac:dyDescent="0.2">
      <c r="A94" s="26" t="s">
        <v>7950</v>
      </c>
      <c r="B94" s="27" t="s">
        <v>7951</v>
      </c>
      <c r="C94" s="28">
        <v>1</v>
      </c>
      <c r="D94" s="29">
        <v>11.25</v>
      </c>
      <c r="E94" s="29">
        <v>11.25</v>
      </c>
      <c r="F94" s="30">
        <v>27.99</v>
      </c>
      <c r="G94" s="29">
        <v>27.99</v>
      </c>
      <c r="H94" s="28" t="s">
        <v>7952</v>
      </c>
      <c r="I94" s="27" t="s">
        <v>274</v>
      </c>
      <c r="J94" s="31" t="s">
        <v>52</v>
      </c>
      <c r="K94" s="27" t="s">
        <v>224</v>
      </c>
      <c r="L94" s="27" t="s">
        <v>260</v>
      </c>
      <c r="M94" s="32" t="str">
        <f>HYPERLINK("http://slimages.macys.com/is/image/MCY/3843816 ")</f>
        <v xml:space="preserve">http://slimages.macys.com/is/image/MCY/3843816 </v>
      </c>
    </row>
    <row r="95" spans="1:13" ht="15.2" customHeight="1" x14ac:dyDescent="0.2">
      <c r="A95" s="26" t="s">
        <v>7953</v>
      </c>
      <c r="B95" s="27" t="s">
        <v>7954</v>
      </c>
      <c r="C95" s="28">
        <v>1</v>
      </c>
      <c r="D95" s="29">
        <v>11</v>
      </c>
      <c r="E95" s="29">
        <v>11</v>
      </c>
      <c r="F95" s="30">
        <v>29.99</v>
      </c>
      <c r="G95" s="29">
        <v>29.99</v>
      </c>
      <c r="H95" s="28" t="s">
        <v>2203</v>
      </c>
      <c r="I95" s="27" t="s">
        <v>1</v>
      </c>
      <c r="J95" s="31" t="s">
        <v>234</v>
      </c>
      <c r="K95" s="27" t="s">
        <v>200</v>
      </c>
      <c r="L95" s="27" t="s">
        <v>765</v>
      </c>
      <c r="M95" s="32" t="str">
        <f>HYPERLINK("http://slimages.macys.com/is/image/MCY/3364230 ")</f>
        <v xml:space="preserve">http://slimages.macys.com/is/image/MCY/3364230 </v>
      </c>
    </row>
    <row r="96" spans="1:13" ht="15.2" customHeight="1" x14ac:dyDescent="0.2">
      <c r="A96" s="26" t="s">
        <v>7955</v>
      </c>
      <c r="B96" s="27" t="s">
        <v>7956</v>
      </c>
      <c r="C96" s="28">
        <v>1</v>
      </c>
      <c r="D96" s="29">
        <v>11</v>
      </c>
      <c r="E96" s="29">
        <v>11</v>
      </c>
      <c r="F96" s="30">
        <v>24.99</v>
      </c>
      <c r="G96" s="29">
        <v>24.99</v>
      </c>
      <c r="H96" s="28">
        <v>47230</v>
      </c>
      <c r="I96" s="27" t="s">
        <v>274</v>
      </c>
      <c r="J96" s="31" t="s">
        <v>5</v>
      </c>
      <c r="K96" s="27" t="s">
        <v>196</v>
      </c>
      <c r="L96" s="27" t="s">
        <v>1808</v>
      </c>
      <c r="M96" s="32" t="str">
        <f>HYPERLINK("http://slimages.macys.com/is/image/MCY/3497522 ")</f>
        <v xml:space="preserve">http://slimages.macys.com/is/image/MCY/3497522 </v>
      </c>
    </row>
    <row r="97" spans="1:13" ht="15.2" customHeight="1" x14ac:dyDescent="0.2">
      <c r="A97" s="26" t="s">
        <v>1287</v>
      </c>
      <c r="B97" s="27" t="s">
        <v>1288</v>
      </c>
      <c r="C97" s="28">
        <v>1</v>
      </c>
      <c r="D97" s="29">
        <v>11</v>
      </c>
      <c r="E97" s="29">
        <v>11</v>
      </c>
      <c r="F97" s="30">
        <v>27.99</v>
      </c>
      <c r="G97" s="29">
        <v>27.99</v>
      </c>
      <c r="H97" s="28" t="s">
        <v>1279</v>
      </c>
      <c r="I97" s="27" t="s">
        <v>1280</v>
      </c>
      <c r="J97" s="31" t="s">
        <v>5</v>
      </c>
      <c r="K97" s="27" t="s">
        <v>224</v>
      </c>
      <c r="L97" s="27" t="s">
        <v>563</v>
      </c>
      <c r="M97" s="32" t="str">
        <f>HYPERLINK("http://slimages.macys.com/is/image/MCY/3852990 ")</f>
        <v xml:space="preserve">http://slimages.macys.com/is/image/MCY/3852990 </v>
      </c>
    </row>
    <row r="98" spans="1:13" ht="15.2" customHeight="1" x14ac:dyDescent="0.2">
      <c r="A98" s="26" t="s">
        <v>7957</v>
      </c>
      <c r="B98" s="27" t="s">
        <v>7958</v>
      </c>
      <c r="C98" s="28">
        <v>1</v>
      </c>
      <c r="D98" s="29">
        <v>10.85</v>
      </c>
      <c r="E98" s="29">
        <v>10.85</v>
      </c>
      <c r="F98" s="30">
        <v>27.99</v>
      </c>
      <c r="G98" s="29">
        <v>27.99</v>
      </c>
      <c r="H98" s="28" t="s">
        <v>7959</v>
      </c>
      <c r="I98" s="27" t="s">
        <v>248</v>
      </c>
      <c r="J98" s="31" t="s">
        <v>5</v>
      </c>
      <c r="K98" s="27" t="s">
        <v>224</v>
      </c>
      <c r="L98" s="27" t="s">
        <v>197</v>
      </c>
      <c r="M98" s="32" t="str">
        <f>HYPERLINK("http://slimages.macys.com/is/image/MCY/3719940 ")</f>
        <v xml:space="preserve">http://slimages.macys.com/is/image/MCY/3719940 </v>
      </c>
    </row>
    <row r="99" spans="1:13" ht="15.2" customHeight="1" x14ac:dyDescent="0.2">
      <c r="A99" s="26" t="s">
        <v>2901</v>
      </c>
      <c r="B99" s="27" t="s">
        <v>2902</v>
      </c>
      <c r="C99" s="28">
        <v>1</v>
      </c>
      <c r="D99" s="29">
        <v>10.75</v>
      </c>
      <c r="E99" s="29">
        <v>10.75</v>
      </c>
      <c r="F99" s="30">
        <v>26.99</v>
      </c>
      <c r="G99" s="29">
        <v>26.99</v>
      </c>
      <c r="H99" s="28" t="s">
        <v>2903</v>
      </c>
      <c r="I99" s="27" t="s">
        <v>22</v>
      </c>
      <c r="J99" s="31" t="s">
        <v>5</v>
      </c>
      <c r="K99" s="27" t="s">
        <v>70</v>
      </c>
      <c r="L99" s="27" t="s">
        <v>239</v>
      </c>
      <c r="M99" s="32" t="str">
        <f>HYPERLINK("http://slimages.macys.com/is/image/MCY/3771452 ")</f>
        <v xml:space="preserve">http://slimages.macys.com/is/image/MCY/3771452 </v>
      </c>
    </row>
    <row r="100" spans="1:13" ht="15.2" customHeight="1" x14ac:dyDescent="0.2">
      <c r="A100" s="26" t="s">
        <v>7960</v>
      </c>
      <c r="B100" s="27" t="s">
        <v>7961</v>
      </c>
      <c r="C100" s="28">
        <v>1</v>
      </c>
      <c r="D100" s="29">
        <v>10.5</v>
      </c>
      <c r="E100" s="29">
        <v>10.5</v>
      </c>
      <c r="F100" s="30">
        <v>25.99</v>
      </c>
      <c r="G100" s="29">
        <v>25.99</v>
      </c>
      <c r="H100" s="28" t="s">
        <v>1305</v>
      </c>
      <c r="I100" s="27" t="s">
        <v>36</v>
      </c>
      <c r="J100" s="31" t="s">
        <v>234</v>
      </c>
      <c r="K100" s="27" t="s">
        <v>200</v>
      </c>
      <c r="L100" s="27" t="s">
        <v>133</v>
      </c>
      <c r="M100" s="32" t="str">
        <f>HYPERLINK("http://slimages.macys.com/is/image/MCY/3773860 ")</f>
        <v xml:space="preserve">http://slimages.macys.com/is/image/MCY/3773860 </v>
      </c>
    </row>
    <row r="101" spans="1:13" ht="15.2" customHeight="1" x14ac:dyDescent="0.2">
      <c r="A101" s="26" t="s">
        <v>2621</v>
      </c>
      <c r="B101" s="27" t="s">
        <v>2622</v>
      </c>
      <c r="C101" s="28">
        <v>1</v>
      </c>
      <c r="D101" s="29">
        <v>10.5</v>
      </c>
      <c r="E101" s="29">
        <v>10.5</v>
      </c>
      <c r="F101" s="30">
        <v>25.99</v>
      </c>
      <c r="G101" s="29">
        <v>25.99</v>
      </c>
      <c r="H101" s="28" t="s">
        <v>1305</v>
      </c>
      <c r="I101" s="27" t="s">
        <v>94</v>
      </c>
      <c r="J101" s="31" t="s">
        <v>230</v>
      </c>
      <c r="K101" s="27" t="s">
        <v>200</v>
      </c>
      <c r="L101" s="27" t="s">
        <v>133</v>
      </c>
      <c r="M101" s="32" t="str">
        <f>HYPERLINK("http://slimages.macys.com/is/image/MCY/3773860 ")</f>
        <v xml:space="preserve">http://slimages.macys.com/is/image/MCY/3773860 </v>
      </c>
    </row>
    <row r="102" spans="1:13" ht="15.2" customHeight="1" x14ac:dyDescent="0.2">
      <c r="A102" s="26" t="s">
        <v>5044</v>
      </c>
      <c r="B102" s="27" t="s">
        <v>5045</v>
      </c>
      <c r="C102" s="28">
        <v>1</v>
      </c>
      <c r="D102" s="29">
        <v>10.5</v>
      </c>
      <c r="E102" s="29">
        <v>10.5</v>
      </c>
      <c r="F102" s="30">
        <v>24.99</v>
      </c>
      <c r="G102" s="29">
        <v>24.99</v>
      </c>
      <c r="H102" s="28" t="s">
        <v>259</v>
      </c>
      <c r="I102" s="27" t="s">
        <v>26</v>
      </c>
      <c r="J102" s="31" t="s">
        <v>52</v>
      </c>
      <c r="K102" s="27" t="s">
        <v>224</v>
      </c>
      <c r="L102" s="27" t="s">
        <v>260</v>
      </c>
      <c r="M102" s="32" t="str">
        <f>HYPERLINK("http://slimages.macys.com/is/image/MCY/3832935 ")</f>
        <v xml:space="preserve">http://slimages.macys.com/is/image/MCY/3832935 </v>
      </c>
    </row>
    <row r="103" spans="1:13" ht="15.2" customHeight="1" x14ac:dyDescent="0.2">
      <c r="A103" s="26" t="s">
        <v>1312</v>
      </c>
      <c r="B103" s="27" t="s">
        <v>1313</v>
      </c>
      <c r="C103" s="28">
        <v>1</v>
      </c>
      <c r="D103" s="29">
        <v>10.5</v>
      </c>
      <c r="E103" s="29">
        <v>10.5</v>
      </c>
      <c r="F103" s="30">
        <v>24.99</v>
      </c>
      <c r="G103" s="29">
        <v>24.99</v>
      </c>
      <c r="H103" s="28" t="s">
        <v>1314</v>
      </c>
      <c r="I103" s="27" t="s">
        <v>103</v>
      </c>
      <c r="J103" s="31" t="s">
        <v>5</v>
      </c>
      <c r="K103" s="27" t="s">
        <v>159</v>
      </c>
      <c r="L103" s="27" t="s">
        <v>160</v>
      </c>
      <c r="M103" s="32" t="str">
        <f>HYPERLINK("http://slimages.macys.com/is/image/MCY/3743320 ")</f>
        <v xml:space="preserve">http://slimages.macys.com/is/image/MCY/3743320 </v>
      </c>
    </row>
    <row r="104" spans="1:13" ht="15.2" customHeight="1" x14ac:dyDescent="0.2">
      <c r="A104" s="26" t="s">
        <v>257</v>
      </c>
      <c r="B104" s="27" t="s">
        <v>258</v>
      </c>
      <c r="C104" s="28">
        <v>1</v>
      </c>
      <c r="D104" s="29">
        <v>10.5</v>
      </c>
      <c r="E104" s="29">
        <v>10.5</v>
      </c>
      <c r="F104" s="30">
        <v>24.99</v>
      </c>
      <c r="G104" s="29">
        <v>24.99</v>
      </c>
      <c r="H104" s="28" t="s">
        <v>259</v>
      </c>
      <c r="I104" s="27" t="s">
        <v>189</v>
      </c>
      <c r="J104" s="31" t="s">
        <v>21</v>
      </c>
      <c r="K104" s="27" t="s">
        <v>224</v>
      </c>
      <c r="L104" s="27" t="s">
        <v>260</v>
      </c>
      <c r="M104" s="32" t="str">
        <f>HYPERLINK("http://slimages.macys.com/is/image/MCY/3832929 ")</f>
        <v xml:space="preserve">http://slimages.macys.com/is/image/MCY/3832929 </v>
      </c>
    </row>
    <row r="105" spans="1:13" ht="15.2" customHeight="1" x14ac:dyDescent="0.2">
      <c r="A105" s="26" t="s">
        <v>1308</v>
      </c>
      <c r="B105" s="27" t="s">
        <v>1309</v>
      </c>
      <c r="C105" s="28">
        <v>1</v>
      </c>
      <c r="D105" s="29">
        <v>10.5</v>
      </c>
      <c r="E105" s="29">
        <v>10.5</v>
      </c>
      <c r="F105" s="30">
        <v>27.99</v>
      </c>
      <c r="G105" s="29">
        <v>27.99</v>
      </c>
      <c r="H105" s="28" t="s">
        <v>790</v>
      </c>
      <c r="I105" s="27" t="s">
        <v>189</v>
      </c>
      <c r="J105" s="31" t="s">
        <v>71</v>
      </c>
      <c r="K105" s="27" t="s">
        <v>224</v>
      </c>
      <c r="L105" s="27" t="s">
        <v>239</v>
      </c>
      <c r="M105" s="32" t="str">
        <f>HYPERLINK("http://slimages.macys.com/is/image/MCY/3910858 ")</f>
        <v xml:space="preserve">http://slimages.macys.com/is/image/MCY/3910858 </v>
      </c>
    </row>
    <row r="106" spans="1:13" ht="15.2" customHeight="1" x14ac:dyDescent="0.2">
      <c r="A106" s="26" t="s">
        <v>4470</v>
      </c>
      <c r="B106" s="27" t="s">
        <v>4471</v>
      </c>
      <c r="C106" s="28">
        <v>5</v>
      </c>
      <c r="D106" s="29">
        <v>10.5</v>
      </c>
      <c r="E106" s="29">
        <v>52.5</v>
      </c>
      <c r="F106" s="30">
        <v>24.99</v>
      </c>
      <c r="G106" s="29">
        <v>124.95</v>
      </c>
      <c r="H106" s="28" t="s">
        <v>259</v>
      </c>
      <c r="I106" s="27" t="s">
        <v>26</v>
      </c>
      <c r="J106" s="31" t="s">
        <v>5</v>
      </c>
      <c r="K106" s="27" t="s">
        <v>224</v>
      </c>
      <c r="L106" s="27" t="s">
        <v>260</v>
      </c>
      <c r="M106" s="32" t="str">
        <f>HYPERLINK("http://slimages.macys.com/is/image/MCY/3832935 ")</f>
        <v xml:space="preserve">http://slimages.macys.com/is/image/MCY/3832935 </v>
      </c>
    </row>
    <row r="107" spans="1:13" ht="15.2" customHeight="1" x14ac:dyDescent="0.2">
      <c r="A107" s="26" t="s">
        <v>1299</v>
      </c>
      <c r="B107" s="27" t="s">
        <v>1300</v>
      </c>
      <c r="C107" s="28">
        <v>1</v>
      </c>
      <c r="D107" s="29">
        <v>10.5</v>
      </c>
      <c r="E107" s="29">
        <v>10.5</v>
      </c>
      <c r="F107" s="30">
        <v>24.99</v>
      </c>
      <c r="G107" s="29">
        <v>24.99</v>
      </c>
      <c r="H107" s="28" t="s">
        <v>259</v>
      </c>
      <c r="I107" s="27" t="s">
        <v>189</v>
      </c>
      <c r="J107" s="31" t="s">
        <v>5</v>
      </c>
      <c r="K107" s="27" t="s">
        <v>224</v>
      </c>
      <c r="L107" s="27" t="s">
        <v>260</v>
      </c>
      <c r="M107" s="32" t="str">
        <f>HYPERLINK("http://slimages.macys.com/is/image/MCY/3832929 ")</f>
        <v xml:space="preserve">http://slimages.macys.com/is/image/MCY/3832929 </v>
      </c>
    </row>
    <row r="108" spans="1:13" ht="15.2" customHeight="1" x14ac:dyDescent="0.2">
      <c r="A108" s="26" t="s">
        <v>7962</v>
      </c>
      <c r="B108" s="27" t="s">
        <v>7963</v>
      </c>
      <c r="C108" s="28">
        <v>1</v>
      </c>
      <c r="D108" s="29">
        <v>10.5</v>
      </c>
      <c r="E108" s="29">
        <v>10.5</v>
      </c>
      <c r="F108" s="30">
        <v>24.99</v>
      </c>
      <c r="G108" s="29">
        <v>24.99</v>
      </c>
      <c r="H108" s="28" t="s">
        <v>259</v>
      </c>
      <c r="I108" s="27" t="s">
        <v>10</v>
      </c>
      <c r="J108" s="31" t="s">
        <v>71</v>
      </c>
      <c r="K108" s="27" t="s">
        <v>224</v>
      </c>
      <c r="L108" s="27" t="s">
        <v>260</v>
      </c>
      <c r="M108" s="32" t="str">
        <f>HYPERLINK("http://slimages.macys.com/is/image/MCY/3832929 ")</f>
        <v xml:space="preserve">http://slimages.macys.com/is/image/MCY/3832929 </v>
      </c>
    </row>
    <row r="109" spans="1:13" ht="15.2" customHeight="1" x14ac:dyDescent="0.2">
      <c r="A109" s="26" t="s">
        <v>4466</v>
      </c>
      <c r="B109" s="27" t="s">
        <v>4467</v>
      </c>
      <c r="C109" s="28">
        <v>1</v>
      </c>
      <c r="D109" s="29">
        <v>10.5</v>
      </c>
      <c r="E109" s="29">
        <v>10.5</v>
      </c>
      <c r="F109" s="30">
        <v>24.99</v>
      </c>
      <c r="G109" s="29">
        <v>24.99</v>
      </c>
      <c r="H109" s="28" t="s">
        <v>259</v>
      </c>
      <c r="I109" s="27" t="s">
        <v>127</v>
      </c>
      <c r="J109" s="31" t="s">
        <v>5</v>
      </c>
      <c r="K109" s="27" t="s">
        <v>224</v>
      </c>
      <c r="L109" s="27" t="s">
        <v>260</v>
      </c>
      <c r="M109" s="32" t="str">
        <f>HYPERLINK("http://slimages.macys.com/is/image/MCY/3832935 ")</f>
        <v xml:space="preserve">http://slimages.macys.com/is/image/MCY/3832935 </v>
      </c>
    </row>
    <row r="110" spans="1:13" ht="15.2" customHeight="1" x14ac:dyDescent="0.2">
      <c r="A110" s="26" t="s">
        <v>7964</v>
      </c>
      <c r="B110" s="27" t="s">
        <v>7965</v>
      </c>
      <c r="C110" s="28">
        <v>1</v>
      </c>
      <c r="D110" s="29">
        <v>10.5</v>
      </c>
      <c r="E110" s="29">
        <v>10.5</v>
      </c>
      <c r="F110" s="30">
        <v>27.99</v>
      </c>
      <c r="G110" s="29">
        <v>27.99</v>
      </c>
      <c r="H110" s="28" t="s">
        <v>790</v>
      </c>
      <c r="I110" s="27" t="s">
        <v>29</v>
      </c>
      <c r="J110" s="31" t="s">
        <v>71</v>
      </c>
      <c r="K110" s="27" t="s">
        <v>224</v>
      </c>
      <c r="L110" s="27" t="s">
        <v>239</v>
      </c>
      <c r="M110" s="32" t="str">
        <f>HYPERLINK("http://slimages.macys.com/is/image/MCY/3910853 ")</f>
        <v xml:space="preserve">http://slimages.macys.com/is/image/MCY/3910853 </v>
      </c>
    </row>
    <row r="111" spans="1:13" ht="15.2" customHeight="1" x14ac:dyDescent="0.2">
      <c r="A111" s="26" t="s">
        <v>4468</v>
      </c>
      <c r="B111" s="27" t="s">
        <v>4469</v>
      </c>
      <c r="C111" s="28">
        <v>1</v>
      </c>
      <c r="D111" s="29">
        <v>10.5</v>
      </c>
      <c r="E111" s="29">
        <v>10.5</v>
      </c>
      <c r="F111" s="30">
        <v>24.99</v>
      </c>
      <c r="G111" s="29">
        <v>24.99</v>
      </c>
      <c r="H111" s="28" t="s">
        <v>259</v>
      </c>
      <c r="I111" s="27" t="s">
        <v>127</v>
      </c>
      <c r="J111" s="31" t="s">
        <v>21</v>
      </c>
      <c r="K111" s="27" t="s">
        <v>224</v>
      </c>
      <c r="L111" s="27" t="s">
        <v>260</v>
      </c>
      <c r="M111" s="32" t="str">
        <f>HYPERLINK("http://slimages.macys.com/is/image/MCY/3832935 ")</f>
        <v xml:space="preserve">http://slimages.macys.com/is/image/MCY/3832935 </v>
      </c>
    </row>
    <row r="112" spans="1:13" ht="15.2" customHeight="1" x14ac:dyDescent="0.2">
      <c r="A112" s="26" t="s">
        <v>1322</v>
      </c>
      <c r="B112" s="27" t="s">
        <v>1323</v>
      </c>
      <c r="C112" s="28">
        <v>1</v>
      </c>
      <c r="D112" s="29">
        <v>10</v>
      </c>
      <c r="E112" s="29">
        <v>10</v>
      </c>
      <c r="F112" s="30">
        <v>24.99</v>
      </c>
      <c r="G112" s="29">
        <v>24.99</v>
      </c>
      <c r="H112" s="28" t="s">
        <v>270</v>
      </c>
      <c r="I112" s="27" t="s">
        <v>4</v>
      </c>
      <c r="J112" s="31" t="s">
        <v>5</v>
      </c>
      <c r="K112" s="27" t="s">
        <v>224</v>
      </c>
      <c r="L112" s="27" t="s">
        <v>260</v>
      </c>
      <c r="M112" s="32" t="str">
        <f>HYPERLINK("http://slimages.macys.com/is/image/MCY/3931167 ")</f>
        <v xml:space="preserve">http://slimages.macys.com/is/image/MCY/3931167 </v>
      </c>
    </row>
    <row r="113" spans="1:13" ht="15.2" customHeight="1" x14ac:dyDescent="0.2">
      <c r="A113" s="26" t="s">
        <v>7966</v>
      </c>
      <c r="B113" s="27" t="s">
        <v>7967</v>
      </c>
      <c r="C113" s="28">
        <v>1</v>
      </c>
      <c r="D113" s="29">
        <v>10</v>
      </c>
      <c r="E113" s="29">
        <v>10</v>
      </c>
      <c r="F113" s="30">
        <v>39</v>
      </c>
      <c r="G113" s="29">
        <v>39</v>
      </c>
      <c r="H113" s="28" t="s">
        <v>7968</v>
      </c>
      <c r="I113" s="27"/>
      <c r="J113" s="31" t="s">
        <v>71</v>
      </c>
      <c r="K113" s="27" t="s">
        <v>154</v>
      </c>
      <c r="L113" s="27" t="s">
        <v>155</v>
      </c>
      <c r="M113" s="32" t="str">
        <f>HYPERLINK("http://slimages.macys.com/is/image/MCY/3623037 ")</f>
        <v xml:space="preserve">http://slimages.macys.com/is/image/MCY/3623037 </v>
      </c>
    </row>
    <row r="114" spans="1:13" ht="15.2" customHeight="1" x14ac:dyDescent="0.2">
      <c r="A114" s="26" t="s">
        <v>4218</v>
      </c>
      <c r="B114" s="27" t="s">
        <v>4219</v>
      </c>
      <c r="C114" s="28">
        <v>1</v>
      </c>
      <c r="D114" s="29">
        <v>10</v>
      </c>
      <c r="E114" s="29">
        <v>10</v>
      </c>
      <c r="F114" s="30">
        <v>24.99</v>
      </c>
      <c r="G114" s="29">
        <v>24.99</v>
      </c>
      <c r="H114" s="28" t="s">
        <v>270</v>
      </c>
      <c r="I114" s="27" t="s">
        <v>75</v>
      </c>
      <c r="J114" s="31" t="s">
        <v>5</v>
      </c>
      <c r="K114" s="27" t="s">
        <v>224</v>
      </c>
      <c r="L114" s="27" t="s">
        <v>260</v>
      </c>
      <c r="M114" s="32" t="str">
        <f>HYPERLINK("http://slimages.macys.com/is/image/MCY/3931167 ")</f>
        <v xml:space="preserve">http://slimages.macys.com/is/image/MCY/3931167 </v>
      </c>
    </row>
    <row r="115" spans="1:13" ht="15.2" customHeight="1" x14ac:dyDescent="0.2">
      <c r="A115" s="26" t="s">
        <v>6087</v>
      </c>
      <c r="B115" s="27" t="s">
        <v>6088</v>
      </c>
      <c r="C115" s="28">
        <v>1</v>
      </c>
      <c r="D115" s="29">
        <v>10</v>
      </c>
      <c r="E115" s="29">
        <v>10</v>
      </c>
      <c r="F115" s="30">
        <v>24.99</v>
      </c>
      <c r="G115" s="29">
        <v>24.99</v>
      </c>
      <c r="H115" s="28" t="s">
        <v>270</v>
      </c>
      <c r="I115" s="27" t="s">
        <v>271</v>
      </c>
      <c r="J115" s="31" t="s">
        <v>21</v>
      </c>
      <c r="K115" s="27" t="s">
        <v>224</v>
      </c>
      <c r="L115" s="27" t="s">
        <v>260</v>
      </c>
      <c r="M115" s="32" t="str">
        <f>HYPERLINK("http://slimages.macys.com/is/image/MCY/3931167 ")</f>
        <v xml:space="preserve">http://slimages.macys.com/is/image/MCY/3931167 </v>
      </c>
    </row>
    <row r="116" spans="1:13" ht="15.2" customHeight="1" x14ac:dyDescent="0.2">
      <c r="A116" s="26" t="s">
        <v>3843</v>
      </c>
      <c r="B116" s="27" t="s">
        <v>3844</v>
      </c>
      <c r="C116" s="28">
        <v>1</v>
      </c>
      <c r="D116" s="29">
        <v>10</v>
      </c>
      <c r="E116" s="29">
        <v>10</v>
      </c>
      <c r="F116" s="30">
        <v>24.99</v>
      </c>
      <c r="G116" s="29">
        <v>24.99</v>
      </c>
      <c r="H116" s="28" t="s">
        <v>270</v>
      </c>
      <c r="I116" s="27" t="s">
        <v>75</v>
      </c>
      <c r="J116" s="31" t="s">
        <v>40</v>
      </c>
      <c r="K116" s="27" t="s">
        <v>224</v>
      </c>
      <c r="L116" s="27" t="s">
        <v>260</v>
      </c>
      <c r="M116" s="32" t="str">
        <f>HYPERLINK("http://slimages.macys.com/is/image/MCY/3931167 ")</f>
        <v xml:space="preserve">http://slimages.macys.com/is/image/MCY/3931167 </v>
      </c>
    </row>
    <row r="117" spans="1:13" ht="15.2" customHeight="1" x14ac:dyDescent="0.2">
      <c r="A117" s="26" t="s">
        <v>268</v>
      </c>
      <c r="B117" s="27" t="s">
        <v>269</v>
      </c>
      <c r="C117" s="28">
        <v>1</v>
      </c>
      <c r="D117" s="29">
        <v>10</v>
      </c>
      <c r="E117" s="29">
        <v>10</v>
      </c>
      <c r="F117" s="30">
        <v>24.99</v>
      </c>
      <c r="G117" s="29">
        <v>24.99</v>
      </c>
      <c r="H117" s="28" t="s">
        <v>270</v>
      </c>
      <c r="I117" s="27" t="s">
        <v>271</v>
      </c>
      <c r="J117" s="31" t="s">
        <v>40</v>
      </c>
      <c r="K117" s="27" t="s">
        <v>224</v>
      </c>
      <c r="L117" s="27" t="s">
        <v>260</v>
      </c>
      <c r="M117" s="32" t="str">
        <f>HYPERLINK("http://slimages.macys.com/is/image/MCY/3931167 ")</f>
        <v xml:space="preserve">http://slimages.macys.com/is/image/MCY/3931167 </v>
      </c>
    </row>
    <row r="118" spans="1:13" ht="15.2" customHeight="1" x14ac:dyDescent="0.2">
      <c r="A118" s="26" t="s">
        <v>272</v>
      </c>
      <c r="B118" s="27" t="s">
        <v>273</v>
      </c>
      <c r="C118" s="28">
        <v>1</v>
      </c>
      <c r="D118" s="29">
        <v>10</v>
      </c>
      <c r="E118" s="29">
        <v>10</v>
      </c>
      <c r="F118" s="30">
        <v>24.99</v>
      </c>
      <c r="G118" s="29">
        <v>24.99</v>
      </c>
      <c r="H118" s="28" t="s">
        <v>270</v>
      </c>
      <c r="I118" s="27" t="s">
        <v>274</v>
      </c>
      <c r="J118" s="31" t="s">
        <v>71</v>
      </c>
      <c r="K118" s="27" t="s">
        <v>224</v>
      </c>
      <c r="L118" s="27" t="s">
        <v>260</v>
      </c>
      <c r="M118" s="32" t="str">
        <f>HYPERLINK("http://slimages.macys.com/is/image/MCY/3931167 ")</f>
        <v xml:space="preserve">http://slimages.macys.com/is/image/MCY/3931167 </v>
      </c>
    </row>
    <row r="119" spans="1:13" ht="15.2" customHeight="1" x14ac:dyDescent="0.2">
      <c r="A119" s="26" t="s">
        <v>7401</v>
      </c>
      <c r="B119" s="27" t="s">
        <v>7402</v>
      </c>
      <c r="C119" s="28">
        <v>1</v>
      </c>
      <c r="D119" s="29">
        <v>9.5</v>
      </c>
      <c r="E119" s="29">
        <v>9.5</v>
      </c>
      <c r="F119" s="30">
        <v>22.99</v>
      </c>
      <c r="G119" s="29">
        <v>22.99</v>
      </c>
      <c r="H119" s="28" t="s">
        <v>1328</v>
      </c>
      <c r="I119" s="27" t="s">
        <v>144</v>
      </c>
      <c r="J119" s="31" t="s">
        <v>71</v>
      </c>
      <c r="K119" s="27" t="s">
        <v>196</v>
      </c>
      <c r="L119" s="27" t="s">
        <v>1329</v>
      </c>
      <c r="M119" s="32" t="str">
        <f>HYPERLINK("http://slimages.macys.com/is/image/MCY/3732859 ")</f>
        <v xml:space="preserve">http://slimages.macys.com/is/image/MCY/3732859 </v>
      </c>
    </row>
    <row r="120" spans="1:13" ht="15.2" customHeight="1" x14ac:dyDescent="0.2">
      <c r="A120" s="26" t="s">
        <v>5066</v>
      </c>
      <c r="B120" s="27" t="s">
        <v>5067</v>
      </c>
      <c r="C120" s="28">
        <v>1</v>
      </c>
      <c r="D120" s="29">
        <v>9.5</v>
      </c>
      <c r="E120" s="29">
        <v>9.5</v>
      </c>
      <c r="F120" s="30">
        <v>24.99</v>
      </c>
      <c r="G120" s="29">
        <v>24.99</v>
      </c>
      <c r="H120" s="28" t="s">
        <v>288</v>
      </c>
      <c r="I120" s="27" t="s">
        <v>1</v>
      </c>
      <c r="J120" s="31" t="s">
        <v>71</v>
      </c>
      <c r="K120" s="27" t="s">
        <v>224</v>
      </c>
      <c r="L120" s="27" t="s">
        <v>239</v>
      </c>
      <c r="M120" s="32" t="str">
        <f>HYPERLINK("http://slimages.macys.com/is/image/MCY/3719840 ")</f>
        <v xml:space="preserve">http://slimages.macys.com/is/image/MCY/3719840 </v>
      </c>
    </row>
    <row r="121" spans="1:13" ht="15.2" customHeight="1" x14ac:dyDescent="0.2">
      <c r="A121" s="26" t="s">
        <v>7969</v>
      </c>
      <c r="B121" s="27" t="s">
        <v>7970</v>
      </c>
      <c r="C121" s="28">
        <v>1</v>
      </c>
      <c r="D121" s="29">
        <v>9.5</v>
      </c>
      <c r="E121" s="29">
        <v>9.5</v>
      </c>
      <c r="F121" s="30">
        <v>19.989999999999998</v>
      </c>
      <c r="G121" s="29">
        <v>19.989999999999998</v>
      </c>
      <c r="H121" s="28" t="s">
        <v>7971</v>
      </c>
      <c r="I121" s="27" t="s">
        <v>15</v>
      </c>
      <c r="J121" s="31" t="s">
        <v>5</v>
      </c>
      <c r="K121" s="27" t="s">
        <v>196</v>
      </c>
      <c r="L121" s="27" t="s">
        <v>289</v>
      </c>
      <c r="M121" s="32" t="str">
        <f>HYPERLINK("http://slimages.macys.com/is/image/MCY/2962677 ")</f>
        <v xml:space="preserve">http://slimages.macys.com/is/image/MCY/2962677 </v>
      </c>
    </row>
    <row r="122" spans="1:13" ht="15.2" customHeight="1" x14ac:dyDescent="0.2">
      <c r="A122" s="26" t="s">
        <v>2229</v>
      </c>
      <c r="B122" s="27" t="s">
        <v>2230</v>
      </c>
      <c r="C122" s="28">
        <v>1</v>
      </c>
      <c r="D122" s="29">
        <v>9.25</v>
      </c>
      <c r="E122" s="29">
        <v>9.25</v>
      </c>
      <c r="F122" s="30">
        <v>19.989999999999998</v>
      </c>
      <c r="G122" s="29">
        <v>19.989999999999998</v>
      </c>
      <c r="H122" s="28" t="s">
        <v>2231</v>
      </c>
      <c r="I122" s="27" t="s">
        <v>271</v>
      </c>
      <c r="J122" s="31" t="s">
        <v>5</v>
      </c>
      <c r="K122" s="27" t="s">
        <v>282</v>
      </c>
      <c r="L122" s="27" t="s">
        <v>283</v>
      </c>
      <c r="M122" s="32" t="str">
        <f>HYPERLINK("http://slimages.macys.com/is/image/MCY/3832193 ")</f>
        <v xml:space="preserve">http://slimages.macys.com/is/image/MCY/3832193 </v>
      </c>
    </row>
    <row r="123" spans="1:13" ht="15.2" customHeight="1" x14ac:dyDescent="0.2">
      <c r="A123" s="26" t="s">
        <v>7972</v>
      </c>
      <c r="B123" s="27" t="s">
        <v>7973</v>
      </c>
      <c r="C123" s="28">
        <v>1</v>
      </c>
      <c r="D123" s="29">
        <v>9.25</v>
      </c>
      <c r="E123" s="29">
        <v>9.25</v>
      </c>
      <c r="F123" s="30">
        <v>19.989999999999998</v>
      </c>
      <c r="G123" s="29">
        <v>19.989999999999998</v>
      </c>
      <c r="H123" s="28">
        <v>60444964</v>
      </c>
      <c r="I123" s="27" t="s">
        <v>302</v>
      </c>
      <c r="J123" s="31" t="s">
        <v>21</v>
      </c>
      <c r="K123" s="27" t="s">
        <v>208</v>
      </c>
      <c r="L123" s="27" t="s">
        <v>255</v>
      </c>
      <c r="M123" s="32" t="str">
        <f>HYPERLINK("http://slimages.macys.com/is/image/MCY/3835715 ")</f>
        <v xml:space="preserve">http://slimages.macys.com/is/image/MCY/3835715 </v>
      </c>
    </row>
    <row r="124" spans="1:13" ht="15.2" customHeight="1" x14ac:dyDescent="0.2">
      <c r="A124" s="26" t="s">
        <v>7026</v>
      </c>
      <c r="B124" s="27" t="s">
        <v>7027</v>
      </c>
      <c r="C124" s="28">
        <v>1</v>
      </c>
      <c r="D124" s="29">
        <v>9.24</v>
      </c>
      <c r="E124" s="29">
        <v>9.24</v>
      </c>
      <c r="F124" s="30">
        <v>21.99</v>
      </c>
      <c r="G124" s="29">
        <v>21.99</v>
      </c>
      <c r="H124" s="28" t="s">
        <v>1340</v>
      </c>
      <c r="I124" s="27" t="s">
        <v>4</v>
      </c>
      <c r="J124" s="31" t="s">
        <v>5</v>
      </c>
      <c r="K124" s="27" t="s">
        <v>159</v>
      </c>
      <c r="L124" s="27" t="s">
        <v>160</v>
      </c>
      <c r="M124" s="32" t="str">
        <f>HYPERLINK("http://slimages.macys.com/is/image/MCY/3738496 ")</f>
        <v xml:space="preserve">http://slimages.macys.com/is/image/MCY/3738496 </v>
      </c>
    </row>
    <row r="125" spans="1:13" ht="15.2" customHeight="1" x14ac:dyDescent="0.2">
      <c r="A125" s="26" t="s">
        <v>7974</v>
      </c>
      <c r="B125" s="27" t="s">
        <v>7975</v>
      </c>
      <c r="C125" s="28">
        <v>2</v>
      </c>
      <c r="D125" s="29">
        <v>9.24</v>
      </c>
      <c r="E125" s="29">
        <v>18.48</v>
      </c>
      <c r="F125" s="30">
        <v>21.99</v>
      </c>
      <c r="G125" s="29">
        <v>43.98</v>
      </c>
      <c r="H125" s="28" t="s">
        <v>809</v>
      </c>
      <c r="I125" s="27" t="s">
        <v>4</v>
      </c>
      <c r="J125" s="31" t="s">
        <v>21</v>
      </c>
      <c r="K125" s="27" t="s">
        <v>159</v>
      </c>
      <c r="L125" s="27" t="s">
        <v>376</v>
      </c>
      <c r="M125" s="32" t="str">
        <f>HYPERLINK("http://slimages.macys.com/is/image/MCY/3781157 ")</f>
        <v xml:space="preserve">http://slimages.macys.com/is/image/MCY/3781157 </v>
      </c>
    </row>
    <row r="126" spans="1:13" ht="15.2" customHeight="1" x14ac:dyDescent="0.2">
      <c r="A126" s="26" t="s">
        <v>7976</v>
      </c>
      <c r="B126" s="27" t="s">
        <v>7977</v>
      </c>
      <c r="C126" s="28">
        <v>1</v>
      </c>
      <c r="D126" s="29">
        <v>9.24</v>
      </c>
      <c r="E126" s="29">
        <v>9.24</v>
      </c>
      <c r="F126" s="30">
        <v>21.99</v>
      </c>
      <c r="G126" s="29">
        <v>21.99</v>
      </c>
      <c r="H126" s="28" t="s">
        <v>2232</v>
      </c>
      <c r="I126" s="27" t="s">
        <v>4</v>
      </c>
      <c r="J126" s="31" t="s">
        <v>40</v>
      </c>
      <c r="K126" s="27" t="s">
        <v>159</v>
      </c>
      <c r="L126" s="27" t="s">
        <v>160</v>
      </c>
      <c r="M126" s="32" t="str">
        <f>HYPERLINK("http://slimages.macys.com/is/image/MCY/3813787 ")</f>
        <v xml:space="preserve">http://slimages.macys.com/is/image/MCY/3813787 </v>
      </c>
    </row>
    <row r="127" spans="1:13" ht="15.2" customHeight="1" x14ac:dyDescent="0.2">
      <c r="A127" s="26" t="s">
        <v>5076</v>
      </c>
      <c r="B127" s="27" t="s">
        <v>5077</v>
      </c>
      <c r="C127" s="28">
        <v>1</v>
      </c>
      <c r="D127" s="29">
        <v>9.24</v>
      </c>
      <c r="E127" s="29">
        <v>9.24</v>
      </c>
      <c r="F127" s="30">
        <v>21.99</v>
      </c>
      <c r="G127" s="29">
        <v>21.99</v>
      </c>
      <c r="H127" s="28" t="s">
        <v>2232</v>
      </c>
      <c r="I127" s="27" t="s">
        <v>4</v>
      </c>
      <c r="J127" s="31" t="s">
        <v>52</v>
      </c>
      <c r="K127" s="27" t="s">
        <v>159</v>
      </c>
      <c r="L127" s="27" t="s">
        <v>160</v>
      </c>
      <c r="M127" s="32" t="str">
        <f>HYPERLINK("http://slimages.macys.com/is/image/MCY/3813787 ")</f>
        <v xml:space="preserve">http://slimages.macys.com/is/image/MCY/3813787 </v>
      </c>
    </row>
    <row r="128" spans="1:13" ht="15.2" customHeight="1" x14ac:dyDescent="0.2">
      <c r="A128" s="26" t="s">
        <v>3350</v>
      </c>
      <c r="B128" s="27" t="s">
        <v>3351</v>
      </c>
      <c r="C128" s="28">
        <v>1</v>
      </c>
      <c r="D128" s="29">
        <v>9.24</v>
      </c>
      <c r="E128" s="29">
        <v>9.24</v>
      </c>
      <c r="F128" s="30">
        <v>21.99</v>
      </c>
      <c r="G128" s="29">
        <v>21.99</v>
      </c>
      <c r="H128" s="28" t="s">
        <v>1340</v>
      </c>
      <c r="I128" s="27" t="s">
        <v>4</v>
      </c>
      <c r="J128" s="31" t="s">
        <v>21</v>
      </c>
      <c r="K128" s="27" t="s">
        <v>159</v>
      </c>
      <c r="L128" s="27" t="s">
        <v>160</v>
      </c>
      <c r="M128" s="32" t="str">
        <f>HYPERLINK("http://slimages.macys.com/is/image/MCY/3738496 ")</f>
        <v xml:space="preserve">http://slimages.macys.com/is/image/MCY/3738496 </v>
      </c>
    </row>
    <row r="129" spans="1:13" ht="15.2" customHeight="1" x14ac:dyDescent="0.2">
      <c r="A129" s="26" t="s">
        <v>1343</v>
      </c>
      <c r="B129" s="27" t="s">
        <v>1344</v>
      </c>
      <c r="C129" s="28">
        <v>2</v>
      </c>
      <c r="D129" s="29">
        <v>9.2200000000000006</v>
      </c>
      <c r="E129" s="29">
        <v>18.440000000000001</v>
      </c>
      <c r="F129" s="30">
        <v>21.99</v>
      </c>
      <c r="G129" s="29">
        <v>43.98</v>
      </c>
      <c r="H129" s="28" t="s">
        <v>294</v>
      </c>
      <c r="I129" s="27" t="s">
        <v>4</v>
      </c>
      <c r="J129" s="31" t="s">
        <v>5</v>
      </c>
      <c r="K129" s="27" t="s">
        <v>159</v>
      </c>
      <c r="L129" s="27" t="s">
        <v>160</v>
      </c>
      <c r="M129" s="32" t="str">
        <f>HYPERLINK("http://slimages.macys.com/is/image/MCY/3857709 ")</f>
        <v xml:space="preserve">http://slimages.macys.com/is/image/MCY/3857709 </v>
      </c>
    </row>
    <row r="130" spans="1:13" ht="15.2" customHeight="1" x14ac:dyDescent="0.2">
      <c r="A130" s="26" t="s">
        <v>292</v>
      </c>
      <c r="B130" s="27" t="s">
        <v>293</v>
      </c>
      <c r="C130" s="28">
        <v>1</v>
      </c>
      <c r="D130" s="29">
        <v>9.2200000000000006</v>
      </c>
      <c r="E130" s="29">
        <v>9.2200000000000006</v>
      </c>
      <c r="F130" s="30">
        <v>21.99</v>
      </c>
      <c r="G130" s="29">
        <v>21.99</v>
      </c>
      <c r="H130" s="28" t="s">
        <v>294</v>
      </c>
      <c r="I130" s="27" t="s">
        <v>295</v>
      </c>
      <c r="J130" s="31" t="s">
        <v>52</v>
      </c>
      <c r="K130" s="27" t="s">
        <v>159</v>
      </c>
      <c r="L130" s="27" t="s">
        <v>160</v>
      </c>
      <c r="M130" s="32" t="str">
        <f>HYPERLINK("http://slimages.macys.com/is/image/MCY/3857709 ")</f>
        <v xml:space="preserve">http://slimages.macys.com/is/image/MCY/3857709 </v>
      </c>
    </row>
    <row r="131" spans="1:13" ht="15.2" customHeight="1" x14ac:dyDescent="0.2">
      <c r="A131" s="26" t="s">
        <v>2639</v>
      </c>
      <c r="B131" s="27" t="s">
        <v>2640</v>
      </c>
      <c r="C131" s="28">
        <v>2</v>
      </c>
      <c r="D131" s="29">
        <v>9.2200000000000006</v>
      </c>
      <c r="E131" s="29">
        <v>18.440000000000001</v>
      </c>
      <c r="F131" s="30">
        <v>21.99</v>
      </c>
      <c r="G131" s="29">
        <v>43.98</v>
      </c>
      <c r="H131" s="28" t="s">
        <v>294</v>
      </c>
      <c r="I131" s="27" t="s">
        <v>295</v>
      </c>
      <c r="J131" s="31" t="s">
        <v>5</v>
      </c>
      <c r="K131" s="27" t="s">
        <v>159</v>
      </c>
      <c r="L131" s="27" t="s">
        <v>160</v>
      </c>
      <c r="M131" s="32" t="str">
        <f>HYPERLINK("http://slimages.macys.com/is/image/MCY/3857709 ")</f>
        <v xml:space="preserve">http://slimages.macys.com/is/image/MCY/3857709 </v>
      </c>
    </row>
    <row r="132" spans="1:13" ht="15.2" customHeight="1" x14ac:dyDescent="0.2">
      <c r="A132" s="26" t="s">
        <v>7978</v>
      </c>
      <c r="B132" s="27" t="s">
        <v>7979</v>
      </c>
      <c r="C132" s="28">
        <v>1</v>
      </c>
      <c r="D132" s="29">
        <v>9.2200000000000006</v>
      </c>
      <c r="E132" s="29">
        <v>9.2200000000000006</v>
      </c>
      <c r="F132" s="30">
        <v>21.99</v>
      </c>
      <c r="G132" s="29">
        <v>21.99</v>
      </c>
      <c r="H132" s="28" t="s">
        <v>1822</v>
      </c>
      <c r="I132" s="27" t="s">
        <v>36</v>
      </c>
      <c r="J132" s="31" t="s">
        <v>71</v>
      </c>
      <c r="K132" s="27" t="s">
        <v>159</v>
      </c>
      <c r="L132" s="27" t="s">
        <v>160</v>
      </c>
      <c r="M132" s="32" t="str">
        <f>HYPERLINK("http://slimages.macys.com/is/image/MCY/3857708 ")</f>
        <v xml:space="preserve">http://slimages.macys.com/is/image/MCY/3857708 </v>
      </c>
    </row>
    <row r="133" spans="1:13" ht="15.2" customHeight="1" x14ac:dyDescent="0.2">
      <c r="A133" s="26" t="s">
        <v>1823</v>
      </c>
      <c r="B133" s="27" t="s">
        <v>1824</v>
      </c>
      <c r="C133" s="28">
        <v>1</v>
      </c>
      <c r="D133" s="29">
        <v>9.2200000000000006</v>
      </c>
      <c r="E133" s="29">
        <v>9.2200000000000006</v>
      </c>
      <c r="F133" s="30">
        <v>21.99</v>
      </c>
      <c r="G133" s="29">
        <v>21.99</v>
      </c>
      <c r="H133" s="28" t="s">
        <v>299</v>
      </c>
      <c r="I133" s="27" t="s">
        <v>4</v>
      </c>
      <c r="J133" s="31" t="s">
        <v>52</v>
      </c>
      <c r="K133" s="27" t="s">
        <v>159</v>
      </c>
      <c r="L133" s="27" t="s">
        <v>160</v>
      </c>
      <c r="M133" s="32" t="str">
        <f>HYPERLINK("http://slimages.macys.com/is/image/MCY/3857694 ")</f>
        <v xml:space="preserve">http://slimages.macys.com/is/image/MCY/3857694 </v>
      </c>
    </row>
    <row r="134" spans="1:13" ht="15.2" customHeight="1" x14ac:dyDescent="0.2">
      <c r="A134" s="26" t="s">
        <v>2643</v>
      </c>
      <c r="B134" s="27" t="s">
        <v>2644</v>
      </c>
      <c r="C134" s="28">
        <v>1</v>
      </c>
      <c r="D134" s="29">
        <v>9.2200000000000006</v>
      </c>
      <c r="E134" s="29">
        <v>9.2200000000000006</v>
      </c>
      <c r="F134" s="30">
        <v>21.99</v>
      </c>
      <c r="G134" s="29">
        <v>21.99</v>
      </c>
      <c r="H134" s="28" t="s">
        <v>299</v>
      </c>
      <c r="I134" s="27" t="s">
        <v>4</v>
      </c>
      <c r="J134" s="31" t="s">
        <v>5</v>
      </c>
      <c r="K134" s="27" t="s">
        <v>159</v>
      </c>
      <c r="L134" s="27" t="s">
        <v>160</v>
      </c>
      <c r="M134" s="32" t="str">
        <f>HYPERLINK("http://slimages.macys.com/is/image/MCY/3857694 ")</f>
        <v xml:space="preserve">http://slimages.macys.com/is/image/MCY/3857694 </v>
      </c>
    </row>
    <row r="135" spans="1:13" ht="15.2" customHeight="1" x14ac:dyDescent="0.2">
      <c r="A135" s="26" t="s">
        <v>297</v>
      </c>
      <c r="B135" s="27" t="s">
        <v>298</v>
      </c>
      <c r="C135" s="28">
        <v>1</v>
      </c>
      <c r="D135" s="29">
        <v>9.2200000000000006</v>
      </c>
      <c r="E135" s="29">
        <v>9.2200000000000006</v>
      </c>
      <c r="F135" s="30">
        <v>21.99</v>
      </c>
      <c r="G135" s="29">
        <v>21.99</v>
      </c>
      <c r="H135" s="28" t="s">
        <v>296</v>
      </c>
      <c r="I135" s="27" t="s">
        <v>36</v>
      </c>
      <c r="J135" s="31" t="s">
        <v>71</v>
      </c>
      <c r="K135" s="27" t="s">
        <v>159</v>
      </c>
      <c r="L135" s="27" t="s">
        <v>160</v>
      </c>
      <c r="M135" s="32" t="str">
        <f>HYPERLINK("http://slimages.macys.com/is/image/MCY/3857710 ")</f>
        <v xml:space="preserve">http://slimages.macys.com/is/image/MCY/3857710 </v>
      </c>
    </row>
    <row r="136" spans="1:13" ht="15.2" customHeight="1" x14ac:dyDescent="0.2">
      <c r="A136" s="26" t="s">
        <v>1829</v>
      </c>
      <c r="B136" s="27" t="s">
        <v>1830</v>
      </c>
      <c r="C136" s="28">
        <v>1</v>
      </c>
      <c r="D136" s="29">
        <v>9.2200000000000006</v>
      </c>
      <c r="E136" s="29">
        <v>9.2200000000000006</v>
      </c>
      <c r="F136" s="30">
        <v>21.99</v>
      </c>
      <c r="G136" s="29">
        <v>21.99</v>
      </c>
      <c r="H136" s="28" t="s">
        <v>1822</v>
      </c>
      <c r="I136" s="27" t="s">
        <v>36</v>
      </c>
      <c r="J136" s="31" t="s">
        <v>40</v>
      </c>
      <c r="K136" s="27" t="s">
        <v>159</v>
      </c>
      <c r="L136" s="27" t="s">
        <v>160</v>
      </c>
      <c r="M136" s="32" t="str">
        <f>HYPERLINK("http://slimages.macys.com/is/image/MCY/3857708 ")</f>
        <v xml:space="preserve">http://slimages.macys.com/is/image/MCY/3857708 </v>
      </c>
    </row>
    <row r="137" spans="1:13" ht="15.2" customHeight="1" x14ac:dyDescent="0.2">
      <c r="A137" s="26" t="s">
        <v>6223</v>
      </c>
      <c r="B137" s="27" t="s">
        <v>6224</v>
      </c>
      <c r="C137" s="28">
        <v>2</v>
      </c>
      <c r="D137" s="29">
        <v>9.2200000000000006</v>
      </c>
      <c r="E137" s="29">
        <v>18.440000000000001</v>
      </c>
      <c r="F137" s="30">
        <v>21.99</v>
      </c>
      <c r="G137" s="29">
        <v>43.98</v>
      </c>
      <c r="H137" s="28" t="s">
        <v>294</v>
      </c>
      <c r="I137" s="27" t="s">
        <v>295</v>
      </c>
      <c r="J137" s="31" t="s">
        <v>21</v>
      </c>
      <c r="K137" s="27" t="s">
        <v>159</v>
      </c>
      <c r="L137" s="27" t="s">
        <v>160</v>
      </c>
      <c r="M137" s="32" t="str">
        <f>HYPERLINK("http://slimages.macys.com/is/image/MCY/3857709 ")</f>
        <v xml:space="preserve">http://slimages.macys.com/is/image/MCY/3857709 </v>
      </c>
    </row>
    <row r="138" spans="1:13" ht="15.2" customHeight="1" x14ac:dyDescent="0.2">
      <c r="A138" s="26" t="s">
        <v>810</v>
      </c>
      <c r="B138" s="27" t="s">
        <v>811</v>
      </c>
      <c r="C138" s="28">
        <v>3</v>
      </c>
      <c r="D138" s="29">
        <v>9.2200000000000006</v>
      </c>
      <c r="E138" s="29">
        <v>27.66</v>
      </c>
      <c r="F138" s="30">
        <v>21.99</v>
      </c>
      <c r="G138" s="29">
        <v>65.97</v>
      </c>
      <c r="H138" s="28" t="s">
        <v>812</v>
      </c>
      <c r="I138" s="27" t="s">
        <v>4</v>
      </c>
      <c r="J138" s="31" t="s">
        <v>21</v>
      </c>
      <c r="K138" s="27" t="s">
        <v>159</v>
      </c>
      <c r="L138" s="27" t="s">
        <v>160</v>
      </c>
      <c r="M138" s="32" t="str">
        <f>HYPERLINK("http://slimages.macys.com/is/image/MCY/3857711 ")</f>
        <v xml:space="preserve">http://slimages.macys.com/is/image/MCY/3857711 </v>
      </c>
    </row>
    <row r="139" spans="1:13" ht="15.2" customHeight="1" x14ac:dyDescent="0.2">
      <c r="A139" s="26" t="s">
        <v>2235</v>
      </c>
      <c r="B139" s="27" t="s">
        <v>2236</v>
      </c>
      <c r="C139" s="28">
        <v>2</v>
      </c>
      <c r="D139" s="29">
        <v>9.2200000000000006</v>
      </c>
      <c r="E139" s="29">
        <v>18.440000000000001</v>
      </c>
      <c r="F139" s="30">
        <v>21.99</v>
      </c>
      <c r="G139" s="29">
        <v>43.98</v>
      </c>
      <c r="H139" s="28" t="s">
        <v>812</v>
      </c>
      <c r="I139" s="27" t="s">
        <v>4</v>
      </c>
      <c r="J139" s="31" t="s">
        <v>5</v>
      </c>
      <c r="K139" s="27" t="s">
        <v>159</v>
      </c>
      <c r="L139" s="27" t="s">
        <v>160</v>
      </c>
      <c r="M139" s="32" t="str">
        <f>HYPERLINK("http://slimages.macys.com/is/image/MCY/3857711 ")</f>
        <v xml:space="preserve">http://slimages.macys.com/is/image/MCY/3857711 </v>
      </c>
    </row>
    <row r="140" spans="1:13" ht="15.2" customHeight="1" x14ac:dyDescent="0.2">
      <c r="A140" s="26" t="s">
        <v>1831</v>
      </c>
      <c r="B140" s="27" t="s">
        <v>1832</v>
      </c>
      <c r="C140" s="28">
        <v>1</v>
      </c>
      <c r="D140" s="29">
        <v>9.2200000000000006</v>
      </c>
      <c r="E140" s="29">
        <v>9.2200000000000006</v>
      </c>
      <c r="F140" s="30">
        <v>21.99</v>
      </c>
      <c r="G140" s="29">
        <v>21.99</v>
      </c>
      <c r="H140" s="28" t="s">
        <v>294</v>
      </c>
      <c r="I140" s="27" t="s">
        <v>4</v>
      </c>
      <c r="J140" s="31" t="s">
        <v>21</v>
      </c>
      <c r="K140" s="27" t="s">
        <v>159</v>
      </c>
      <c r="L140" s="27" t="s">
        <v>160</v>
      </c>
      <c r="M140" s="32" t="str">
        <f>HYPERLINK("http://slimages.macys.com/is/image/MCY/3857709 ")</f>
        <v xml:space="preserve">http://slimages.macys.com/is/image/MCY/3857709 </v>
      </c>
    </row>
    <row r="141" spans="1:13" ht="15.2" customHeight="1" x14ac:dyDescent="0.2">
      <c r="A141" s="26" t="s">
        <v>1835</v>
      </c>
      <c r="B141" s="27" t="s">
        <v>1836</v>
      </c>
      <c r="C141" s="28">
        <v>1</v>
      </c>
      <c r="D141" s="29">
        <v>9.2200000000000006</v>
      </c>
      <c r="E141" s="29">
        <v>9.2200000000000006</v>
      </c>
      <c r="F141" s="30">
        <v>21.99</v>
      </c>
      <c r="G141" s="29">
        <v>21.99</v>
      </c>
      <c r="H141" s="28" t="s">
        <v>296</v>
      </c>
      <c r="I141" s="27" t="s">
        <v>36</v>
      </c>
      <c r="J141" s="31" t="s">
        <v>40</v>
      </c>
      <c r="K141" s="27" t="s">
        <v>159</v>
      </c>
      <c r="L141" s="27" t="s">
        <v>160</v>
      </c>
      <c r="M141" s="32" t="str">
        <f>HYPERLINK("http://slimages.macys.com/is/image/MCY/3857710 ")</f>
        <v xml:space="preserve">http://slimages.macys.com/is/image/MCY/3857710 </v>
      </c>
    </row>
    <row r="142" spans="1:13" ht="15.2" customHeight="1" x14ac:dyDescent="0.2">
      <c r="A142" s="26" t="s">
        <v>3358</v>
      </c>
      <c r="B142" s="27" t="s">
        <v>3359</v>
      </c>
      <c r="C142" s="28">
        <v>2</v>
      </c>
      <c r="D142" s="29">
        <v>9.2200000000000006</v>
      </c>
      <c r="E142" s="29">
        <v>18.440000000000001</v>
      </c>
      <c r="F142" s="30">
        <v>21.99</v>
      </c>
      <c r="G142" s="29">
        <v>43.98</v>
      </c>
      <c r="H142" s="28" t="s">
        <v>1347</v>
      </c>
      <c r="I142" s="27" t="s">
        <v>4</v>
      </c>
      <c r="J142" s="31" t="s">
        <v>21</v>
      </c>
      <c r="K142" s="27" t="s">
        <v>159</v>
      </c>
      <c r="L142" s="27" t="s">
        <v>160</v>
      </c>
      <c r="M142" s="32" t="str">
        <f>HYPERLINK("http://slimages.macys.com/is/image/MCY/3870610 ")</f>
        <v xml:space="preserve">http://slimages.macys.com/is/image/MCY/3870610 </v>
      </c>
    </row>
    <row r="143" spans="1:13" ht="15.2" customHeight="1" x14ac:dyDescent="0.2">
      <c r="A143" s="26" t="s">
        <v>2637</v>
      </c>
      <c r="B143" s="27" t="s">
        <v>2638</v>
      </c>
      <c r="C143" s="28">
        <v>1</v>
      </c>
      <c r="D143" s="29">
        <v>9.2200000000000006</v>
      </c>
      <c r="E143" s="29">
        <v>9.2200000000000006</v>
      </c>
      <c r="F143" s="30">
        <v>21.99</v>
      </c>
      <c r="G143" s="29">
        <v>21.99</v>
      </c>
      <c r="H143" s="28" t="s">
        <v>812</v>
      </c>
      <c r="I143" s="27" t="s">
        <v>4</v>
      </c>
      <c r="J143" s="31" t="s">
        <v>40</v>
      </c>
      <c r="K143" s="27" t="s">
        <v>159</v>
      </c>
      <c r="L143" s="27" t="s">
        <v>160</v>
      </c>
      <c r="M143" s="32" t="str">
        <f>HYPERLINK("http://slimages.macys.com/is/image/MCY/3857711 ")</f>
        <v xml:space="preserve">http://slimages.macys.com/is/image/MCY/3857711 </v>
      </c>
    </row>
    <row r="144" spans="1:13" ht="15.2" customHeight="1" x14ac:dyDescent="0.2">
      <c r="A144" s="26" t="s">
        <v>7980</v>
      </c>
      <c r="B144" s="27" t="s">
        <v>7981</v>
      </c>
      <c r="C144" s="28">
        <v>1</v>
      </c>
      <c r="D144" s="29">
        <v>9.2200000000000006</v>
      </c>
      <c r="E144" s="29">
        <v>9.2200000000000006</v>
      </c>
      <c r="F144" s="30">
        <v>21.99</v>
      </c>
      <c r="G144" s="29">
        <v>21.99</v>
      </c>
      <c r="H144" s="28" t="s">
        <v>294</v>
      </c>
      <c r="I144" s="27" t="s">
        <v>4</v>
      </c>
      <c r="J144" s="31" t="s">
        <v>172</v>
      </c>
      <c r="K144" s="27" t="s">
        <v>159</v>
      </c>
      <c r="L144" s="27" t="s">
        <v>160</v>
      </c>
      <c r="M144" s="32" t="str">
        <f>HYPERLINK("http://slimages.macys.com/is/image/MCY/3857709 ")</f>
        <v xml:space="preserve">http://slimages.macys.com/is/image/MCY/3857709 </v>
      </c>
    </row>
    <row r="145" spans="1:13" ht="15.2" customHeight="1" x14ac:dyDescent="0.2">
      <c r="A145" s="26" t="s">
        <v>2641</v>
      </c>
      <c r="B145" s="27" t="s">
        <v>2642</v>
      </c>
      <c r="C145" s="28">
        <v>1</v>
      </c>
      <c r="D145" s="29">
        <v>9.2200000000000006</v>
      </c>
      <c r="E145" s="29">
        <v>9.2200000000000006</v>
      </c>
      <c r="F145" s="30">
        <v>21.99</v>
      </c>
      <c r="G145" s="29">
        <v>21.99</v>
      </c>
      <c r="H145" s="28" t="s">
        <v>1347</v>
      </c>
      <c r="I145" s="27" t="s">
        <v>4</v>
      </c>
      <c r="J145" s="31" t="s">
        <v>5</v>
      </c>
      <c r="K145" s="27" t="s">
        <v>159</v>
      </c>
      <c r="L145" s="27" t="s">
        <v>160</v>
      </c>
      <c r="M145" s="32" t="str">
        <f>HYPERLINK("http://slimages.macys.com/is/image/MCY/3870610 ")</f>
        <v xml:space="preserve">http://slimages.macys.com/is/image/MCY/3870610 </v>
      </c>
    </row>
    <row r="146" spans="1:13" ht="15.2" customHeight="1" x14ac:dyDescent="0.2">
      <c r="A146" s="26" t="s">
        <v>3352</v>
      </c>
      <c r="B146" s="27" t="s">
        <v>3353</v>
      </c>
      <c r="C146" s="28">
        <v>1</v>
      </c>
      <c r="D146" s="29">
        <v>9.2200000000000006</v>
      </c>
      <c r="E146" s="29">
        <v>9.2200000000000006</v>
      </c>
      <c r="F146" s="30">
        <v>21.99</v>
      </c>
      <c r="G146" s="29">
        <v>21.99</v>
      </c>
      <c r="H146" s="28" t="s">
        <v>1822</v>
      </c>
      <c r="I146" s="27" t="s">
        <v>36</v>
      </c>
      <c r="J146" s="31" t="s">
        <v>21</v>
      </c>
      <c r="K146" s="27" t="s">
        <v>159</v>
      </c>
      <c r="L146" s="27" t="s">
        <v>160</v>
      </c>
      <c r="M146" s="32" t="str">
        <f>HYPERLINK("http://slimages.macys.com/is/image/MCY/3857708 ")</f>
        <v xml:space="preserve">http://slimages.macys.com/is/image/MCY/3857708 </v>
      </c>
    </row>
    <row r="147" spans="1:13" ht="15.2" customHeight="1" x14ac:dyDescent="0.2">
      <c r="A147" s="26" t="s">
        <v>2647</v>
      </c>
      <c r="B147" s="27" t="s">
        <v>2648</v>
      </c>
      <c r="C147" s="28">
        <v>2</v>
      </c>
      <c r="D147" s="29">
        <v>9.1999999999999993</v>
      </c>
      <c r="E147" s="29">
        <v>18.399999999999999</v>
      </c>
      <c r="F147" s="30">
        <v>21.99</v>
      </c>
      <c r="G147" s="29">
        <v>43.98</v>
      </c>
      <c r="H147" s="28" t="s">
        <v>1837</v>
      </c>
      <c r="I147" s="27" t="s">
        <v>103</v>
      </c>
      <c r="J147" s="31" t="s">
        <v>21</v>
      </c>
      <c r="K147" s="27" t="s">
        <v>159</v>
      </c>
      <c r="L147" s="27" t="s">
        <v>160</v>
      </c>
      <c r="M147" s="32" t="str">
        <f>HYPERLINK("http://slimages.macys.com/is/image/MCY/3857655 ")</f>
        <v xml:space="preserve">http://slimages.macys.com/is/image/MCY/3857655 </v>
      </c>
    </row>
    <row r="148" spans="1:13" ht="15.2" customHeight="1" x14ac:dyDescent="0.2">
      <c r="A148" s="26" t="s">
        <v>7982</v>
      </c>
      <c r="B148" s="27" t="s">
        <v>7983</v>
      </c>
      <c r="C148" s="28">
        <v>1</v>
      </c>
      <c r="D148" s="29">
        <v>9.1999999999999993</v>
      </c>
      <c r="E148" s="29">
        <v>9.1999999999999993</v>
      </c>
      <c r="F148" s="30">
        <v>21.99</v>
      </c>
      <c r="G148" s="29">
        <v>21.99</v>
      </c>
      <c r="H148" s="28" t="s">
        <v>1837</v>
      </c>
      <c r="I148" s="27" t="s">
        <v>103</v>
      </c>
      <c r="J148" s="31" t="s">
        <v>52</v>
      </c>
      <c r="K148" s="27" t="s">
        <v>159</v>
      </c>
      <c r="L148" s="27" t="s">
        <v>160</v>
      </c>
      <c r="M148" s="32" t="str">
        <f>HYPERLINK("http://slimages.macys.com/is/image/MCY/3857655 ")</f>
        <v xml:space="preserve">http://slimages.macys.com/is/image/MCY/3857655 </v>
      </c>
    </row>
    <row r="149" spans="1:13" ht="15.2" customHeight="1" x14ac:dyDescent="0.2">
      <c r="A149" s="26" t="s">
        <v>2653</v>
      </c>
      <c r="B149" s="27" t="s">
        <v>2654</v>
      </c>
      <c r="C149" s="28">
        <v>2</v>
      </c>
      <c r="D149" s="29">
        <v>9.1999999999999993</v>
      </c>
      <c r="E149" s="29">
        <v>18.399999999999999</v>
      </c>
      <c r="F149" s="30">
        <v>21.99</v>
      </c>
      <c r="G149" s="29">
        <v>43.98</v>
      </c>
      <c r="H149" s="28" t="s">
        <v>1837</v>
      </c>
      <c r="I149" s="27" t="s">
        <v>103</v>
      </c>
      <c r="J149" s="31" t="s">
        <v>5</v>
      </c>
      <c r="K149" s="27" t="s">
        <v>159</v>
      </c>
      <c r="L149" s="27" t="s">
        <v>160</v>
      </c>
      <c r="M149" s="32" t="str">
        <f>HYPERLINK("http://slimages.macys.com/is/image/MCY/3857655 ")</f>
        <v xml:space="preserve">http://slimages.macys.com/is/image/MCY/3857655 </v>
      </c>
    </row>
    <row r="150" spans="1:13" ht="15.2" customHeight="1" x14ac:dyDescent="0.2">
      <c r="A150" s="26" t="s">
        <v>3368</v>
      </c>
      <c r="B150" s="27" t="s">
        <v>3369</v>
      </c>
      <c r="C150" s="28">
        <v>1</v>
      </c>
      <c r="D150" s="29">
        <v>9.1</v>
      </c>
      <c r="E150" s="29">
        <v>9.1</v>
      </c>
      <c r="F150" s="30">
        <v>19.989999999999998</v>
      </c>
      <c r="G150" s="29">
        <v>19.989999999999998</v>
      </c>
      <c r="H150" s="28" t="s">
        <v>1353</v>
      </c>
      <c r="I150" s="27" t="s">
        <v>94</v>
      </c>
      <c r="J150" s="31" t="s">
        <v>40</v>
      </c>
      <c r="K150" s="27" t="s">
        <v>224</v>
      </c>
      <c r="L150" s="27" t="s">
        <v>276</v>
      </c>
      <c r="M150" s="32" t="str">
        <f>HYPERLINK("http://slimages.macys.com/is/image/MCY/3820944 ")</f>
        <v xml:space="preserve">http://slimages.macys.com/is/image/MCY/3820944 </v>
      </c>
    </row>
    <row r="151" spans="1:13" ht="15.2" customHeight="1" x14ac:dyDescent="0.2">
      <c r="A151" s="26" t="s">
        <v>7984</v>
      </c>
      <c r="B151" s="27" t="s">
        <v>7985</v>
      </c>
      <c r="C151" s="28">
        <v>3</v>
      </c>
      <c r="D151" s="29">
        <v>9.1</v>
      </c>
      <c r="E151" s="29">
        <v>27.3</v>
      </c>
      <c r="F151" s="30">
        <v>19.989999999999998</v>
      </c>
      <c r="G151" s="29">
        <v>59.97</v>
      </c>
      <c r="H151" s="28" t="s">
        <v>1838</v>
      </c>
      <c r="I151" s="27" t="s">
        <v>1311</v>
      </c>
      <c r="J151" s="31" t="s">
        <v>40</v>
      </c>
      <c r="K151" s="27" t="s">
        <v>224</v>
      </c>
      <c r="L151" s="27" t="s">
        <v>276</v>
      </c>
      <c r="M151" s="32" t="str">
        <f>HYPERLINK("http://slimages.macys.com/is/image/MCY/3853655 ")</f>
        <v xml:space="preserve">http://slimages.macys.com/is/image/MCY/3853655 </v>
      </c>
    </row>
    <row r="152" spans="1:13" ht="15.2" customHeight="1" x14ac:dyDescent="0.2">
      <c r="A152" s="26" t="s">
        <v>7986</v>
      </c>
      <c r="B152" s="27" t="s">
        <v>7987</v>
      </c>
      <c r="C152" s="28">
        <v>1</v>
      </c>
      <c r="D152" s="29">
        <v>9.1</v>
      </c>
      <c r="E152" s="29">
        <v>9.1</v>
      </c>
      <c r="F152" s="30">
        <v>19.989999999999998</v>
      </c>
      <c r="G152" s="29">
        <v>19.989999999999998</v>
      </c>
      <c r="H152" s="28" t="s">
        <v>1838</v>
      </c>
      <c r="I152" s="27" t="s">
        <v>66</v>
      </c>
      <c r="J152" s="31" t="s">
        <v>71</v>
      </c>
      <c r="K152" s="27" t="s">
        <v>224</v>
      </c>
      <c r="L152" s="27" t="s">
        <v>276</v>
      </c>
      <c r="M152" s="32" t="str">
        <f>HYPERLINK("http://slimages.macys.com/is/image/MCY/3853655 ")</f>
        <v xml:space="preserve">http://slimages.macys.com/is/image/MCY/3853655 </v>
      </c>
    </row>
    <row r="153" spans="1:13" ht="15.2" customHeight="1" x14ac:dyDescent="0.2">
      <c r="A153" s="26" t="s">
        <v>7988</v>
      </c>
      <c r="B153" s="27" t="s">
        <v>7989</v>
      </c>
      <c r="C153" s="28">
        <v>1</v>
      </c>
      <c r="D153" s="29">
        <v>9</v>
      </c>
      <c r="E153" s="29">
        <v>9</v>
      </c>
      <c r="F153" s="30">
        <v>19.989999999999998</v>
      </c>
      <c r="G153" s="29">
        <v>19.989999999999998</v>
      </c>
      <c r="H153" s="28">
        <v>60433237</v>
      </c>
      <c r="I153" s="27" t="s">
        <v>4</v>
      </c>
      <c r="J153" s="31" t="s">
        <v>5</v>
      </c>
      <c r="K153" s="27" t="s">
        <v>208</v>
      </c>
      <c r="L153" s="27" t="s">
        <v>255</v>
      </c>
      <c r="M153" s="32" t="str">
        <f>HYPERLINK("http://slimages.macys.com/is/image/MCY/3580235 ")</f>
        <v xml:space="preserve">http://slimages.macys.com/is/image/MCY/3580235 </v>
      </c>
    </row>
    <row r="154" spans="1:13" ht="15.2" customHeight="1" x14ac:dyDescent="0.2">
      <c r="A154" s="26" t="s">
        <v>7990</v>
      </c>
      <c r="B154" s="27" t="s">
        <v>7991</v>
      </c>
      <c r="C154" s="28">
        <v>1</v>
      </c>
      <c r="D154" s="29">
        <v>9</v>
      </c>
      <c r="E154" s="29">
        <v>9</v>
      </c>
      <c r="F154" s="30">
        <v>19.989999999999998</v>
      </c>
      <c r="G154" s="29">
        <v>19.989999999999998</v>
      </c>
      <c r="H154" s="28" t="s">
        <v>311</v>
      </c>
      <c r="I154" s="27" t="s">
        <v>10</v>
      </c>
      <c r="J154" s="31" t="s">
        <v>71</v>
      </c>
      <c r="K154" s="27" t="s">
        <v>196</v>
      </c>
      <c r="L154" s="27" t="s">
        <v>239</v>
      </c>
      <c r="M154" s="32" t="str">
        <f>HYPERLINK("http://slimages.macys.com/is/image/MCY/3890895 ")</f>
        <v xml:space="preserve">http://slimages.macys.com/is/image/MCY/3890895 </v>
      </c>
    </row>
    <row r="155" spans="1:13" ht="15.2" customHeight="1" x14ac:dyDescent="0.2">
      <c r="A155" s="26" t="s">
        <v>1857</v>
      </c>
      <c r="B155" s="27" t="s">
        <v>1858</v>
      </c>
      <c r="C155" s="28">
        <v>1</v>
      </c>
      <c r="D155" s="29">
        <v>8.9</v>
      </c>
      <c r="E155" s="29">
        <v>8.9</v>
      </c>
      <c r="F155" s="30">
        <v>19.989999999999998</v>
      </c>
      <c r="G155" s="29">
        <v>19.989999999999998</v>
      </c>
      <c r="H155" s="28" t="s">
        <v>1856</v>
      </c>
      <c r="I155" s="27" t="s">
        <v>4</v>
      </c>
      <c r="J155" s="31" t="s">
        <v>40</v>
      </c>
      <c r="K155" s="27" t="s">
        <v>224</v>
      </c>
      <c r="L155" s="27" t="s">
        <v>239</v>
      </c>
      <c r="M155" s="32" t="str">
        <f>HYPERLINK("http://slimages.macys.com/is/image/MCY/3844915 ")</f>
        <v xml:space="preserve">http://slimages.macys.com/is/image/MCY/3844915 </v>
      </c>
    </row>
    <row r="156" spans="1:13" ht="15.2" customHeight="1" x14ac:dyDescent="0.2">
      <c r="A156" s="26" t="s">
        <v>7992</v>
      </c>
      <c r="B156" s="27" t="s">
        <v>7993</v>
      </c>
      <c r="C156" s="28">
        <v>2</v>
      </c>
      <c r="D156" s="29">
        <v>8.9</v>
      </c>
      <c r="E156" s="29">
        <v>17.8</v>
      </c>
      <c r="F156" s="30">
        <v>19.989999999999998</v>
      </c>
      <c r="G156" s="29">
        <v>39.979999999999997</v>
      </c>
      <c r="H156" s="28" t="s">
        <v>1856</v>
      </c>
      <c r="I156" s="27" t="s">
        <v>285</v>
      </c>
      <c r="J156" s="31" t="s">
        <v>40</v>
      </c>
      <c r="K156" s="27" t="s">
        <v>224</v>
      </c>
      <c r="L156" s="27" t="s">
        <v>239</v>
      </c>
      <c r="M156" s="32" t="str">
        <f>HYPERLINK("http://slimages.macys.com/is/image/MCY/3844915 ")</f>
        <v xml:space="preserve">http://slimages.macys.com/is/image/MCY/3844915 </v>
      </c>
    </row>
    <row r="157" spans="1:13" ht="15.2" customHeight="1" x14ac:dyDescent="0.2">
      <c r="A157" s="26" t="s">
        <v>7994</v>
      </c>
      <c r="B157" s="27" t="s">
        <v>7995</v>
      </c>
      <c r="C157" s="28">
        <v>1</v>
      </c>
      <c r="D157" s="29">
        <v>8.9</v>
      </c>
      <c r="E157" s="29">
        <v>8.9</v>
      </c>
      <c r="F157" s="30">
        <v>19.989999999999998</v>
      </c>
      <c r="G157" s="29">
        <v>19.989999999999998</v>
      </c>
      <c r="H157" s="28" t="s">
        <v>5438</v>
      </c>
      <c r="I157" s="27" t="s">
        <v>66</v>
      </c>
      <c r="J157" s="31" t="s">
        <v>40</v>
      </c>
      <c r="K157" s="27" t="s">
        <v>224</v>
      </c>
      <c r="L157" s="27" t="s">
        <v>239</v>
      </c>
      <c r="M157" s="32" t="str">
        <f>HYPERLINK("http://slimages.macys.com/is/image/MCY/3832923 ")</f>
        <v xml:space="preserve">http://slimages.macys.com/is/image/MCY/3832923 </v>
      </c>
    </row>
    <row r="158" spans="1:13" ht="15.2" customHeight="1" x14ac:dyDescent="0.2">
      <c r="A158" s="26" t="s">
        <v>7996</v>
      </c>
      <c r="B158" s="27" t="s">
        <v>7997</v>
      </c>
      <c r="C158" s="28">
        <v>1</v>
      </c>
      <c r="D158" s="29">
        <v>8.85</v>
      </c>
      <c r="E158" s="29">
        <v>8.85</v>
      </c>
      <c r="F158" s="30">
        <v>19.989999999999998</v>
      </c>
      <c r="G158" s="29">
        <v>19.989999999999998</v>
      </c>
      <c r="H158" s="28">
        <v>512215</v>
      </c>
      <c r="I158" s="27" t="s">
        <v>7998</v>
      </c>
      <c r="J158" s="31" t="s">
        <v>21</v>
      </c>
      <c r="K158" s="27" t="s">
        <v>196</v>
      </c>
      <c r="L158" s="27" t="s">
        <v>1808</v>
      </c>
      <c r="M158" s="32" t="str">
        <f>HYPERLINK("http://slimages.macys.com/is/image/MCY/3787589 ")</f>
        <v xml:space="preserve">http://slimages.macys.com/is/image/MCY/3787589 </v>
      </c>
    </row>
    <row r="159" spans="1:13" ht="15.2" customHeight="1" x14ac:dyDescent="0.2">
      <c r="A159" s="26" t="s">
        <v>7047</v>
      </c>
      <c r="B159" s="27" t="s">
        <v>7048</v>
      </c>
      <c r="C159" s="28">
        <v>1</v>
      </c>
      <c r="D159" s="29">
        <v>8.75</v>
      </c>
      <c r="E159" s="29">
        <v>8.75</v>
      </c>
      <c r="F159" s="30">
        <v>19.989999999999998</v>
      </c>
      <c r="G159" s="29">
        <v>19.989999999999998</v>
      </c>
      <c r="H159" s="28">
        <v>60433875</v>
      </c>
      <c r="I159" s="27" t="s">
        <v>4</v>
      </c>
      <c r="J159" s="31" t="s">
        <v>21</v>
      </c>
      <c r="K159" s="27" t="s">
        <v>224</v>
      </c>
      <c r="L159" s="27" t="s">
        <v>255</v>
      </c>
      <c r="M159" s="32" t="str">
        <f>HYPERLINK("http://slimages.macys.com/is/image/MCY/3915853 ")</f>
        <v xml:space="preserve">http://slimages.macys.com/is/image/MCY/3915853 </v>
      </c>
    </row>
    <row r="160" spans="1:13" ht="15.2" customHeight="1" x14ac:dyDescent="0.2">
      <c r="A160" s="26" t="s">
        <v>3388</v>
      </c>
      <c r="B160" s="27" t="s">
        <v>3389</v>
      </c>
      <c r="C160" s="28">
        <v>1</v>
      </c>
      <c r="D160" s="29">
        <v>8.75</v>
      </c>
      <c r="E160" s="29">
        <v>8.75</v>
      </c>
      <c r="F160" s="30">
        <v>19.989999999999998</v>
      </c>
      <c r="G160" s="29">
        <v>19.989999999999998</v>
      </c>
      <c r="H160" s="28">
        <v>60433875</v>
      </c>
      <c r="I160" s="27" t="s">
        <v>4</v>
      </c>
      <c r="J160" s="31" t="s">
        <v>5</v>
      </c>
      <c r="K160" s="27" t="s">
        <v>224</v>
      </c>
      <c r="L160" s="27" t="s">
        <v>255</v>
      </c>
      <c r="M160" s="32" t="str">
        <f>HYPERLINK("http://slimages.macys.com/is/image/MCY/3915853 ")</f>
        <v xml:space="preserve">http://slimages.macys.com/is/image/MCY/3915853 </v>
      </c>
    </row>
    <row r="161" spans="1:13" ht="15.2" customHeight="1" x14ac:dyDescent="0.2">
      <c r="A161" s="26" t="s">
        <v>1868</v>
      </c>
      <c r="B161" s="27" t="s">
        <v>1869</v>
      </c>
      <c r="C161" s="28">
        <v>1</v>
      </c>
      <c r="D161" s="29">
        <v>8.5</v>
      </c>
      <c r="E161" s="29">
        <v>8.5</v>
      </c>
      <c r="F161" s="30">
        <v>19.989999999999998</v>
      </c>
      <c r="G161" s="29">
        <v>19.989999999999998</v>
      </c>
      <c r="H161" s="28" t="s">
        <v>1867</v>
      </c>
      <c r="I161" s="27" t="s">
        <v>343</v>
      </c>
      <c r="J161" s="31" t="s">
        <v>40</v>
      </c>
      <c r="K161" s="27" t="s">
        <v>282</v>
      </c>
      <c r="L161" s="27" t="s">
        <v>312</v>
      </c>
      <c r="M161" s="32" t="str">
        <f>HYPERLINK("http://slimages.macys.com/is/image/MCY/3905651 ")</f>
        <v xml:space="preserve">http://slimages.macys.com/is/image/MCY/3905651 </v>
      </c>
    </row>
    <row r="162" spans="1:13" ht="15.2" customHeight="1" x14ac:dyDescent="0.2">
      <c r="A162" s="26" t="s">
        <v>822</v>
      </c>
      <c r="B162" s="27" t="s">
        <v>823</v>
      </c>
      <c r="C162" s="28">
        <v>1</v>
      </c>
      <c r="D162" s="29">
        <v>8.5</v>
      </c>
      <c r="E162" s="29">
        <v>8.5</v>
      </c>
      <c r="F162" s="30">
        <v>19.989999999999998</v>
      </c>
      <c r="G162" s="29">
        <v>19.989999999999998</v>
      </c>
      <c r="H162" s="28" t="s">
        <v>323</v>
      </c>
      <c r="I162" s="27" t="s">
        <v>33</v>
      </c>
      <c r="J162" s="31" t="s">
        <v>40</v>
      </c>
      <c r="K162" s="27" t="s">
        <v>196</v>
      </c>
      <c r="L162" s="27" t="s">
        <v>239</v>
      </c>
      <c r="M162" s="32" t="str">
        <f>HYPERLINK("http://slimages.macys.com/is/image/MCY/3890900 ")</f>
        <v xml:space="preserve">http://slimages.macys.com/is/image/MCY/3890900 </v>
      </c>
    </row>
    <row r="163" spans="1:13" ht="15.2" customHeight="1" x14ac:dyDescent="0.2">
      <c r="A163" s="26" t="s">
        <v>7999</v>
      </c>
      <c r="B163" s="27" t="s">
        <v>8000</v>
      </c>
      <c r="C163" s="28">
        <v>1</v>
      </c>
      <c r="D163" s="29">
        <v>8.5</v>
      </c>
      <c r="E163" s="29">
        <v>8.5</v>
      </c>
      <c r="F163" s="30">
        <v>19.989999999999998</v>
      </c>
      <c r="G163" s="29">
        <v>19.989999999999998</v>
      </c>
      <c r="H163" s="28" t="s">
        <v>1862</v>
      </c>
      <c r="I163" s="27" t="s">
        <v>29</v>
      </c>
      <c r="J163" s="31" t="s">
        <v>71</v>
      </c>
      <c r="K163" s="27" t="s">
        <v>282</v>
      </c>
      <c r="L163" s="27" t="s">
        <v>322</v>
      </c>
      <c r="M163" s="32" t="str">
        <f>HYPERLINK("http://slimages.macys.com/is/image/MCY/3931084 ")</f>
        <v xml:space="preserve">http://slimages.macys.com/is/image/MCY/3931084 </v>
      </c>
    </row>
    <row r="164" spans="1:13" ht="15.2" customHeight="1" x14ac:dyDescent="0.2">
      <c r="A164" s="26" t="s">
        <v>8001</v>
      </c>
      <c r="B164" s="27" t="s">
        <v>8002</v>
      </c>
      <c r="C164" s="28">
        <v>1</v>
      </c>
      <c r="D164" s="29">
        <v>8.5</v>
      </c>
      <c r="E164" s="29">
        <v>8.5</v>
      </c>
      <c r="F164" s="30">
        <v>19.989999999999998</v>
      </c>
      <c r="G164" s="29">
        <v>19.989999999999998</v>
      </c>
      <c r="H164" s="28" t="s">
        <v>7760</v>
      </c>
      <c r="I164" s="27" t="s">
        <v>189</v>
      </c>
      <c r="J164" s="31" t="s">
        <v>21</v>
      </c>
      <c r="K164" s="27" t="s">
        <v>282</v>
      </c>
      <c r="L164" s="27" t="s">
        <v>327</v>
      </c>
      <c r="M164" s="32" t="str">
        <f>HYPERLINK("http://slimages.macys.com/is/image/MCY/3961906 ")</f>
        <v xml:space="preserve">http://slimages.macys.com/is/image/MCY/3961906 </v>
      </c>
    </row>
    <row r="165" spans="1:13" ht="15.2" customHeight="1" x14ac:dyDescent="0.2">
      <c r="A165" s="26" t="s">
        <v>828</v>
      </c>
      <c r="B165" s="27" t="s">
        <v>829</v>
      </c>
      <c r="C165" s="28">
        <v>2</v>
      </c>
      <c r="D165" s="29">
        <v>8.5</v>
      </c>
      <c r="E165" s="29">
        <v>17</v>
      </c>
      <c r="F165" s="30">
        <v>19.989999999999998</v>
      </c>
      <c r="G165" s="29">
        <v>39.979999999999997</v>
      </c>
      <c r="H165" s="28" t="s">
        <v>830</v>
      </c>
      <c r="I165" s="27" t="s">
        <v>4</v>
      </c>
      <c r="J165" s="31" t="s">
        <v>5</v>
      </c>
      <c r="K165" s="27" t="s">
        <v>282</v>
      </c>
      <c r="L165" s="27" t="s">
        <v>312</v>
      </c>
      <c r="M165" s="32" t="str">
        <f>HYPERLINK("http://slimages.macys.com/is/image/MCY/3853693 ")</f>
        <v xml:space="preserve">http://slimages.macys.com/is/image/MCY/3853693 </v>
      </c>
    </row>
    <row r="166" spans="1:13" ht="15.2" customHeight="1" x14ac:dyDescent="0.2">
      <c r="A166" s="26" t="s">
        <v>8003</v>
      </c>
      <c r="B166" s="27" t="s">
        <v>8004</v>
      </c>
      <c r="C166" s="28">
        <v>1</v>
      </c>
      <c r="D166" s="29">
        <v>8.5</v>
      </c>
      <c r="E166" s="29">
        <v>8.5</v>
      </c>
      <c r="F166" s="30">
        <v>19.989999999999998</v>
      </c>
      <c r="G166" s="29">
        <v>19.989999999999998</v>
      </c>
      <c r="H166" s="28" t="s">
        <v>7760</v>
      </c>
      <c r="I166" s="27" t="s">
        <v>189</v>
      </c>
      <c r="J166" s="31" t="s">
        <v>52</v>
      </c>
      <c r="K166" s="27" t="s">
        <v>282</v>
      </c>
      <c r="L166" s="27" t="s">
        <v>327</v>
      </c>
      <c r="M166" s="32" t="str">
        <f>HYPERLINK("http://slimages.macys.com/is/image/MCY/3961906 ")</f>
        <v xml:space="preserve">http://slimages.macys.com/is/image/MCY/3961906 </v>
      </c>
    </row>
    <row r="167" spans="1:13" ht="15.2" customHeight="1" x14ac:dyDescent="0.2">
      <c r="A167" s="26" t="s">
        <v>8005</v>
      </c>
      <c r="B167" s="27" t="s">
        <v>8006</v>
      </c>
      <c r="C167" s="28">
        <v>1</v>
      </c>
      <c r="D167" s="29">
        <v>8.5</v>
      </c>
      <c r="E167" s="29">
        <v>8.5</v>
      </c>
      <c r="F167" s="30">
        <v>24.99</v>
      </c>
      <c r="G167" s="29">
        <v>24.99</v>
      </c>
      <c r="H167" s="28" t="s">
        <v>324</v>
      </c>
      <c r="I167" s="27" t="s">
        <v>59</v>
      </c>
      <c r="J167" s="31" t="s">
        <v>52</v>
      </c>
      <c r="K167" s="27" t="s">
        <v>224</v>
      </c>
      <c r="L167" s="27" t="s">
        <v>325</v>
      </c>
      <c r="M167" s="32" t="str">
        <f>HYPERLINK("http://slimages.macys.com/is/image/MCY/3910868 ")</f>
        <v xml:space="preserve">http://slimages.macys.com/is/image/MCY/3910868 </v>
      </c>
    </row>
    <row r="168" spans="1:13" ht="15.2" customHeight="1" x14ac:dyDescent="0.2">
      <c r="A168" s="26" t="s">
        <v>1378</v>
      </c>
      <c r="B168" s="27" t="s">
        <v>1379</v>
      </c>
      <c r="C168" s="28">
        <v>1</v>
      </c>
      <c r="D168" s="29">
        <v>8.5</v>
      </c>
      <c r="E168" s="29">
        <v>8.5</v>
      </c>
      <c r="F168" s="30">
        <v>22.99</v>
      </c>
      <c r="G168" s="29">
        <v>22.99</v>
      </c>
      <c r="H168" s="28" t="s">
        <v>1380</v>
      </c>
      <c r="I168" s="27" t="s">
        <v>4</v>
      </c>
      <c r="J168" s="31" t="s">
        <v>21</v>
      </c>
      <c r="K168" s="27" t="s">
        <v>200</v>
      </c>
      <c r="L168" s="27" t="s">
        <v>325</v>
      </c>
      <c r="M168" s="32" t="str">
        <f>HYPERLINK("http://slimages.macys.com/is/image/MCY/3937156 ")</f>
        <v xml:space="preserve">http://slimages.macys.com/is/image/MCY/3937156 </v>
      </c>
    </row>
    <row r="169" spans="1:13" ht="15.2" customHeight="1" x14ac:dyDescent="0.2">
      <c r="A169" s="26" t="s">
        <v>7761</v>
      </c>
      <c r="B169" s="27" t="s">
        <v>7762</v>
      </c>
      <c r="C169" s="28">
        <v>1</v>
      </c>
      <c r="D169" s="29">
        <v>8.5</v>
      </c>
      <c r="E169" s="29">
        <v>8.5</v>
      </c>
      <c r="F169" s="30">
        <v>19.989999999999998</v>
      </c>
      <c r="G169" s="29">
        <v>19.989999999999998</v>
      </c>
      <c r="H169" s="28" t="s">
        <v>826</v>
      </c>
      <c r="I169" s="27" t="s">
        <v>4</v>
      </c>
      <c r="J169" s="31" t="s">
        <v>5</v>
      </c>
      <c r="K169" s="27" t="s">
        <v>282</v>
      </c>
      <c r="L169" s="27" t="s">
        <v>312</v>
      </c>
      <c r="M169" s="32" t="str">
        <f>HYPERLINK("http://slimages.macys.com/is/image/MCY/3853697 ")</f>
        <v xml:space="preserve">http://slimages.macys.com/is/image/MCY/3853697 </v>
      </c>
    </row>
    <row r="170" spans="1:13" ht="15.2" customHeight="1" x14ac:dyDescent="0.2">
      <c r="A170" s="26" t="s">
        <v>1860</v>
      </c>
      <c r="B170" s="27" t="s">
        <v>1861</v>
      </c>
      <c r="C170" s="28">
        <v>1</v>
      </c>
      <c r="D170" s="29">
        <v>8.5</v>
      </c>
      <c r="E170" s="29">
        <v>8.5</v>
      </c>
      <c r="F170" s="30">
        <v>19.989999999999998</v>
      </c>
      <c r="G170" s="29">
        <v>19.989999999999998</v>
      </c>
      <c r="H170" s="28" t="s">
        <v>1862</v>
      </c>
      <c r="I170" s="27" t="s">
        <v>29</v>
      </c>
      <c r="J170" s="31" t="s">
        <v>5</v>
      </c>
      <c r="K170" s="27" t="s">
        <v>282</v>
      </c>
      <c r="L170" s="27" t="s">
        <v>322</v>
      </c>
      <c r="M170" s="32" t="str">
        <f>HYPERLINK("http://slimages.macys.com/is/image/MCY/3931084 ")</f>
        <v xml:space="preserve">http://slimages.macys.com/is/image/MCY/3931084 </v>
      </c>
    </row>
    <row r="171" spans="1:13" ht="15.2" customHeight="1" x14ac:dyDescent="0.2">
      <c r="A171" s="26" t="s">
        <v>1863</v>
      </c>
      <c r="B171" s="27" t="s">
        <v>1864</v>
      </c>
      <c r="C171" s="28">
        <v>3</v>
      </c>
      <c r="D171" s="29">
        <v>8.5</v>
      </c>
      <c r="E171" s="29">
        <v>25.5</v>
      </c>
      <c r="F171" s="30">
        <v>19.989999999999998</v>
      </c>
      <c r="G171" s="29">
        <v>59.97</v>
      </c>
      <c r="H171" s="28" t="s">
        <v>830</v>
      </c>
      <c r="I171" s="27" t="s">
        <v>4</v>
      </c>
      <c r="J171" s="31" t="s">
        <v>40</v>
      </c>
      <c r="K171" s="27" t="s">
        <v>282</v>
      </c>
      <c r="L171" s="27" t="s">
        <v>312</v>
      </c>
      <c r="M171" s="32" t="str">
        <f>HYPERLINK("http://slimages.macys.com/is/image/MCY/3853693 ")</f>
        <v xml:space="preserve">http://slimages.macys.com/is/image/MCY/3853693 </v>
      </c>
    </row>
    <row r="172" spans="1:13" ht="15.2" customHeight="1" x14ac:dyDescent="0.2">
      <c r="A172" s="26" t="s">
        <v>2971</v>
      </c>
      <c r="B172" s="27" t="s">
        <v>2972</v>
      </c>
      <c r="C172" s="28">
        <v>1</v>
      </c>
      <c r="D172" s="29">
        <v>8.5</v>
      </c>
      <c r="E172" s="29">
        <v>8.5</v>
      </c>
      <c r="F172" s="30">
        <v>19.989999999999998</v>
      </c>
      <c r="G172" s="29">
        <v>19.989999999999998</v>
      </c>
      <c r="H172" s="28" t="s">
        <v>830</v>
      </c>
      <c r="I172" s="27" t="s">
        <v>4</v>
      </c>
      <c r="J172" s="31" t="s">
        <v>71</v>
      </c>
      <c r="K172" s="27" t="s">
        <v>282</v>
      </c>
      <c r="L172" s="27" t="s">
        <v>312</v>
      </c>
      <c r="M172" s="32" t="str">
        <f>HYPERLINK("http://slimages.macys.com/is/image/MCY/3853693 ")</f>
        <v xml:space="preserve">http://slimages.macys.com/is/image/MCY/3853693 </v>
      </c>
    </row>
    <row r="173" spans="1:13" ht="15.2" customHeight="1" x14ac:dyDescent="0.2">
      <c r="A173" s="26" t="s">
        <v>2275</v>
      </c>
      <c r="B173" s="27" t="s">
        <v>2276</v>
      </c>
      <c r="C173" s="28">
        <v>1</v>
      </c>
      <c r="D173" s="29">
        <v>8.5</v>
      </c>
      <c r="E173" s="29">
        <v>8.5</v>
      </c>
      <c r="F173" s="30">
        <v>19.989999999999998</v>
      </c>
      <c r="G173" s="29">
        <v>19.989999999999998</v>
      </c>
      <c r="H173" s="28" t="s">
        <v>323</v>
      </c>
      <c r="I173" s="27" t="s">
        <v>274</v>
      </c>
      <c r="J173" s="31" t="s">
        <v>40</v>
      </c>
      <c r="K173" s="27" t="s">
        <v>196</v>
      </c>
      <c r="L173" s="27" t="s">
        <v>239</v>
      </c>
      <c r="M173" s="32" t="str">
        <f>HYPERLINK("http://slimages.macys.com/is/image/MCY/3890900 ")</f>
        <v xml:space="preserve">http://slimages.macys.com/is/image/MCY/3890900 </v>
      </c>
    </row>
    <row r="174" spans="1:13" ht="15.2" customHeight="1" x14ac:dyDescent="0.2">
      <c r="A174" s="26" t="s">
        <v>7058</v>
      </c>
      <c r="B174" s="27" t="s">
        <v>7059</v>
      </c>
      <c r="C174" s="28">
        <v>1</v>
      </c>
      <c r="D174" s="29">
        <v>8.5</v>
      </c>
      <c r="E174" s="29">
        <v>8.5</v>
      </c>
      <c r="F174" s="30">
        <v>19.989999999999998</v>
      </c>
      <c r="G174" s="29">
        <v>19.989999999999998</v>
      </c>
      <c r="H174" s="28" t="s">
        <v>321</v>
      </c>
      <c r="I174" s="27" t="s">
        <v>333</v>
      </c>
      <c r="J174" s="31" t="s">
        <v>71</v>
      </c>
      <c r="K174" s="27" t="s">
        <v>196</v>
      </c>
      <c r="L174" s="27" t="s">
        <v>322</v>
      </c>
      <c r="M174" s="32" t="str">
        <f>HYPERLINK("http://slimages.macys.com/is/image/MCY/3910788 ")</f>
        <v xml:space="preserve">http://slimages.macys.com/is/image/MCY/3910788 </v>
      </c>
    </row>
    <row r="175" spans="1:13" ht="15.2" customHeight="1" x14ac:dyDescent="0.2">
      <c r="A175" s="26" t="s">
        <v>1878</v>
      </c>
      <c r="B175" s="27" t="s">
        <v>1879</v>
      </c>
      <c r="C175" s="28">
        <v>1</v>
      </c>
      <c r="D175" s="29">
        <v>8.5</v>
      </c>
      <c r="E175" s="29">
        <v>8.5</v>
      </c>
      <c r="F175" s="30">
        <v>19.989999999999998</v>
      </c>
      <c r="G175" s="29">
        <v>19.989999999999998</v>
      </c>
      <c r="H175" s="28" t="s">
        <v>1880</v>
      </c>
      <c r="I175" s="27" t="s">
        <v>4</v>
      </c>
      <c r="J175" s="31" t="s">
        <v>40</v>
      </c>
      <c r="K175" s="27" t="s">
        <v>196</v>
      </c>
      <c r="L175" s="27" t="s">
        <v>1329</v>
      </c>
      <c r="M175" s="32" t="str">
        <f>HYPERLINK("http://slimages.macys.com/is/image/MCY/3947073 ")</f>
        <v xml:space="preserve">http://slimages.macys.com/is/image/MCY/3947073 </v>
      </c>
    </row>
    <row r="176" spans="1:13" ht="15.2" customHeight="1" x14ac:dyDescent="0.2">
      <c r="A176" s="26" t="s">
        <v>8007</v>
      </c>
      <c r="B176" s="27" t="s">
        <v>8008</v>
      </c>
      <c r="C176" s="28">
        <v>1</v>
      </c>
      <c r="D176" s="29">
        <v>8.5</v>
      </c>
      <c r="E176" s="29">
        <v>8.5</v>
      </c>
      <c r="F176" s="30">
        <v>19.989999999999998</v>
      </c>
      <c r="G176" s="29">
        <v>19.989999999999998</v>
      </c>
      <c r="H176" s="28" t="s">
        <v>2272</v>
      </c>
      <c r="I176" s="27" t="s">
        <v>4</v>
      </c>
      <c r="J176" s="31" t="s">
        <v>52</v>
      </c>
      <c r="K176" s="27" t="s">
        <v>196</v>
      </c>
      <c r="L176" s="27" t="s">
        <v>1329</v>
      </c>
      <c r="M176" s="32" t="str">
        <f>HYPERLINK("http://slimages.macys.com/is/image/MCY/3947075 ")</f>
        <v xml:space="preserve">http://slimages.macys.com/is/image/MCY/3947075 </v>
      </c>
    </row>
    <row r="177" spans="1:13" ht="15.2" customHeight="1" x14ac:dyDescent="0.2">
      <c r="A177" s="26" t="s">
        <v>2264</v>
      </c>
      <c r="B177" s="27" t="s">
        <v>2265</v>
      </c>
      <c r="C177" s="28">
        <v>1</v>
      </c>
      <c r="D177" s="29">
        <v>8.5</v>
      </c>
      <c r="E177" s="29">
        <v>8.5</v>
      </c>
      <c r="F177" s="30">
        <v>19.989999999999998</v>
      </c>
      <c r="G177" s="29">
        <v>19.989999999999998</v>
      </c>
      <c r="H177" s="28" t="s">
        <v>321</v>
      </c>
      <c r="I177" s="27" t="s">
        <v>4</v>
      </c>
      <c r="J177" s="31" t="s">
        <v>21</v>
      </c>
      <c r="K177" s="27" t="s">
        <v>196</v>
      </c>
      <c r="L177" s="27" t="s">
        <v>322</v>
      </c>
      <c r="M177" s="32" t="str">
        <f>HYPERLINK("http://slimages.macys.com/is/image/MCY/3910788 ")</f>
        <v xml:space="preserve">http://slimages.macys.com/is/image/MCY/3910788 </v>
      </c>
    </row>
    <row r="178" spans="1:13" ht="15.2" customHeight="1" x14ac:dyDescent="0.2">
      <c r="A178" s="26" t="s">
        <v>3868</v>
      </c>
      <c r="B178" s="27" t="s">
        <v>3869</v>
      </c>
      <c r="C178" s="28">
        <v>1</v>
      </c>
      <c r="D178" s="29">
        <v>8.5</v>
      </c>
      <c r="E178" s="29">
        <v>8.5</v>
      </c>
      <c r="F178" s="30">
        <v>19.989999999999998</v>
      </c>
      <c r="G178" s="29">
        <v>19.989999999999998</v>
      </c>
      <c r="H178" s="28" t="s">
        <v>334</v>
      </c>
      <c r="I178" s="27" t="s">
        <v>274</v>
      </c>
      <c r="J178" s="31" t="s">
        <v>5</v>
      </c>
      <c r="K178" s="27" t="s">
        <v>196</v>
      </c>
      <c r="L178" s="27" t="s">
        <v>239</v>
      </c>
      <c r="M178" s="32" t="str">
        <f>HYPERLINK("http://slimages.macys.com/is/image/MCY/3890886 ")</f>
        <v xml:space="preserve">http://slimages.macys.com/is/image/MCY/3890886 </v>
      </c>
    </row>
    <row r="179" spans="1:13" ht="15.2" customHeight="1" x14ac:dyDescent="0.2">
      <c r="A179" s="26" t="s">
        <v>8009</v>
      </c>
      <c r="B179" s="27" t="s">
        <v>8010</v>
      </c>
      <c r="C179" s="28">
        <v>1</v>
      </c>
      <c r="D179" s="29">
        <v>8.5</v>
      </c>
      <c r="E179" s="29">
        <v>8.5</v>
      </c>
      <c r="F179" s="30">
        <v>19.989999999999998</v>
      </c>
      <c r="G179" s="29">
        <v>19.989999999999998</v>
      </c>
      <c r="H179" s="28" t="s">
        <v>2970</v>
      </c>
      <c r="I179" s="27" t="s">
        <v>26</v>
      </c>
      <c r="J179" s="31" t="s">
        <v>5</v>
      </c>
      <c r="K179" s="27" t="s">
        <v>196</v>
      </c>
      <c r="L179" s="27" t="s">
        <v>322</v>
      </c>
      <c r="M179" s="32" t="str">
        <f>HYPERLINK("http://slimages.macys.com/is/image/MCY/3915487 ")</f>
        <v xml:space="preserve">http://slimages.macys.com/is/image/MCY/3915487 </v>
      </c>
    </row>
    <row r="180" spans="1:13" ht="15.2" customHeight="1" x14ac:dyDescent="0.2">
      <c r="A180" s="26" t="s">
        <v>2659</v>
      </c>
      <c r="B180" s="27" t="s">
        <v>2660</v>
      </c>
      <c r="C180" s="28">
        <v>1</v>
      </c>
      <c r="D180" s="29">
        <v>8.5</v>
      </c>
      <c r="E180" s="29">
        <v>8.5</v>
      </c>
      <c r="F180" s="30">
        <v>19.989999999999998</v>
      </c>
      <c r="G180" s="29">
        <v>19.989999999999998</v>
      </c>
      <c r="H180" s="28" t="s">
        <v>334</v>
      </c>
      <c r="I180" s="27" t="s">
        <v>33</v>
      </c>
      <c r="J180" s="31" t="s">
        <v>21</v>
      </c>
      <c r="K180" s="27" t="s">
        <v>196</v>
      </c>
      <c r="L180" s="27" t="s">
        <v>239</v>
      </c>
      <c r="M180" s="32" t="str">
        <f>HYPERLINK("http://slimages.macys.com/is/image/MCY/3890886 ")</f>
        <v xml:space="preserve">http://slimages.macys.com/is/image/MCY/3890886 </v>
      </c>
    </row>
    <row r="181" spans="1:13" ht="15.2" customHeight="1" x14ac:dyDescent="0.2">
      <c r="A181" s="26" t="s">
        <v>8011</v>
      </c>
      <c r="B181" s="27" t="s">
        <v>8012</v>
      </c>
      <c r="C181" s="28">
        <v>1</v>
      </c>
      <c r="D181" s="29">
        <v>8.5</v>
      </c>
      <c r="E181" s="29">
        <v>8.5</v>
      </c>
      <c r="F181" s="30">
        <v>19.989999999999998</v>
      </c>
      <c r="G181" s="29">
        <v>19.989999999999998</v>
      </c>
      <c r="H181" s="28" t="s">
        <v>2970</v>
      </c>
      <c r="I181" s="27" t="s">
        <v>26</v>
      </c>
      <c r="J181" s="31" t="s">
        <v>40</v>
      </c>
      <c r="K181" s="27" t="s">
        <v>196</v>
      </c>
      <c r="L181" s="27" t="s">
        <v>322</v>
      </c>
      <c r="M181" s="32" t="str">
        <f>HYPERLINK("http://slimages.macys.com/is/image/MCY/3915487 ")</f>
        <v xml:space="preserve">http://slimages.macys.com/is/image/MCY/3915487 </v>
      </c>
    </row>
    <row r="182" spans="1:13" ht="15.2" customHeight="1" x14ac:dyDescent="0.2">
      <c r="A182" s="26" t="s">
        <v>7066</v>
      </c>
      <c r="B182" s="27" t="s">
        <v>7067</v>
      </c>
      <c r="C182" s="28">
        <v>1</v>
      </c>
      <c r="D182" s="29">
        <v>8.5</v>
      </c>
      <c r="E182" s="29">
        <v>8.5</v>
      </c>
      <c r="F182" s="30">
        <v>19.989999999999998</v>
      </c>
      <c r="G182" s="29">
        <v>19.989999999999998</v>
      </c>
      <c r="H182" s="28" t="s">
        <v>321</v>
      </c>
      <c r="I182" s="27" t="s">
        <v>280</v>
      </c>
      <c r="J182" s="31" t="s">
        <v>71</v>
      </c>
      <c r="K182" s="27" t="s">
        <v>196</v>
      </c>
      <c r="L182" s="27" t="s">
        <v>322</v>
      </c>
      <c r="M182" s="32" t="str">
        <f>HYPERLINK("http://slimages.macys.com/is/image/MCY/3910788 ")</f>
        <v xml:space="preserve">http://slimages.macys.com/is/image/MCY/3910788 </v>
      </c>
    </row>
    <row r="183" spans="1:13" ht="15.2" customHeight="1" x14ac:dyDescent="0.2">
      <c r="A183" s="26" t="s">
        <v>8013</v>
      </c>
      <c r="B183" s="27" t="s">
        <v>8014</v>
      </c>
      <c r="C183" s="28">
        <v>1</v>
      </c>
      <c r="D183" s="29">
        <v>8.5</v>
      </c>
      <c r="E183" s="29">
        <v>8.5</v>
      </c>
      <c r="F183" s="30">
        <v>19.989999999999998</v>
      </c>
      <c r="G183" s="29">
        <v>19.989999999999998</v>
      </c>
      <c r="H183" s="28" t="s">
        <v>323</v>
      </c>
      <c r="I183" s="27" t="s">
        <v>1</v>
      </c>
      <c r="J183" s="31" t="s">
        <v>71</v>
      </c>
      <c r="K183" s="27" t="s">
        <v>196</v>
      </c>
      <c r="L183" s="27" t="s">
        <v>239</v>
      </c>
      <c r="M183" s="32" t="str">
        <f>HYPERLINK("http://slimages.macys.com/is/image/MCY/3890900 ")</f>
        <v xml:space="preserve">http://slimages.macys.com/is/image/MCY/3890900 </v>
      </c>
    </row>
    <row r="184" spans="1:13" ht="15.2" customHeight="1" x14ac:dyDescent="0.2">
      <c r="A184" s="26" t="s">
        <v>2257</v>
      </c>
      <c r="B184" s="27" t="s">
        <v>2258</v>
      </c>
      <c r="C184" s="28">
        <v>1</v>
      </c>
      <c r="D184" s="29">
        <v>8.5</v>
      </c>
      <c r="E184" s="29">
        <v>8.5</v>
      </c>
      <c r="F184" s="30">
        <v>19.989999999999998</v>
      </c>
      <c r="G184" s="29">
        <v>19.989999999999998</v>
      </c>
      <c r="H184" s="28" t="s">
        <v>321</v>
      </c>
      <c r="I184" s="27" t="s">
        <v>75</v>
      </c>
      <c r="J184" s="31" t="s">
        <v>21</v>
      </c>
      <c r="K184" s="27" t="s">
        <v>196</v>
      </c>
      <c r="L184" s="27" t="s">
        <v>322</v>
      </c>
      <c r="M184" s="32" t="str">
        <f>HYPERLINK("http://slimages.macys.com/is/image/MCY/3910788 ")</f>
        <v xml:space="preserve">http://slimages.macys.com/is/image/MCY/3910788 </v>
      </c>
    </row>
    <row r="185" spans="1:13" ht="15.2" customHeight="1" x14ac:dyDescent="0.2">
      <c r="A185" s="26" t="s">
        <v>2287</v>
      </c>
      <c r="B185" s="27" t="s">
        <v>2288</v>
      </c>
      <c r="C185" s="28">
        <v>1</v>
      </c>
      <c r="D185" s="29">
        <v>8.5</v>
      </c>
      <c r="E185" s="29">
        <v>8.5</v>
      </c>
      <c r="F185" s="30">
        <v>19.989999999999998</v>
      </c>
      <c r="G185" s="29">
        <v>19.989999999999998</v>
      </c>
      <c r="H185" s="28" t="s">
        <v>321</v>
      </c>
      <c r="I185" s="27" t="s">
        <v>333</v>
      </c>
      <c r="J185" s="31" t="s">
        <v>5</v>
      </c>
      <c r="K185" s="27" t="s">
        <v>196</v>
      </c>
      <c r="L185" s="27" t="s">
        <v>322</v>
      </c>
      <c r="M185" s="32" t="str">
        <f>HYPERLINK("http://slimages.macys.com/is/image/MCY/3910788 ")</f>
        <v xml:space="preserve">http://slimages.macys.com/is/image/MCY/3910788 </v>
      </c>
    </row>
    <row r="186" spans="1:13" ht="15.2" customHeight="1" x14ac:dyDescent="0.2">
      <c r="A186" s="26" t="s">
        <v>2273</v>
      </c>
      <c r="B186" s="27" t="s">
        <v>2274</v>
      </c>
      <c r="C186" s="28">
        <v>2</v>
      </c>
      <c r="D186" s="29">
        <v>8.5</v>
      </c>
      <c r="E186" s="29">
        <v>17</v>
      </c>
      <c r="F186" s="30">
        <v>19.989999999999998</v>
      </c>
      <c r="G186" s="29">
        <v>39.979999999999997</v>
      </c>
      <c r="H186" s="28" t="s">
        <v>830</v>
      </c>
      <c r="I186" s="27" t="s">
        <v>4</v>
      </c>
      <c r="J186" s="31" t="s">
        <v>21</v>
      </c>
      <c r="K186" s="27" t="s">
        <v>282</v>
      </c>
      <c r="L186" s="27" t="s">
        <v>312</v>
      </c>
      <c r="M186" s="32" t="str">
        <f>HYPERLINK("http://slimages.macys.com/is/image/MCY/3853693 ")</f>
        <v xml:space="preserve">http://slimages.macys.com/is/image/MCY/3853693 </v>
      </c>
    </row>
    <row r="187" spans="1:13" ht="15.2" customHeight="1" x14ac:dyDescent="0.2">
      <c r="A187" s="26" t="s">
        <v>3875</v>
      </c>
      <c r="B187" s="27" t="s">
        <v>3876</v>
      </c>
      <c r="C187" s="28">
        <v>1</v>
      </c>
      <c r="D187" s="29">
        <v>8.4499999999999993</v>
      </c>
      <c r="E187" s="29">
        <v>8.4499999999999993</v>
      </c>
      <c r="F187" s="30">
        <v>19.989999999999998</v>
      </c>
      <c r="G187" s="29">
        <v>19.989999999999998</v>
      </c>
      <c r="H187" s="28" t="s">
        <v>3424</v>
      </c>
      <c r="I187" s="27" t="s">
        <v>4</v>
      </c>
      <c r="J187" s="31" t="s">
        <v>52</v>
      </c>
      <c r="K187" s="27" t="s">
        <v>196</v>
      </c>
      <c r="L187" s="27" t="s">
        <v>322</v>
      </c>
      <c r="M187" s="32" t="str">
        <f>HYPERLINK("http://slimages.macys.com/is/image/MCY/3947122 ")</f>
        <v xml:space="preserve">http://slimages.macys.com/is/image/MCY/3947122 </v>
      </c>
    </row>
    <row r="188" spans="1:13" ht="15.2" customHeight="1" x14ac:dyDescent="0.2">
      <c r="A188" s="26" t="s">
        <v>8015</v>
      </c>
      <c r="B188" s="27" t="s">
        <v>8016</v>
      </c>
      <c r="C188" s="28">
        <v>1</v>
      </c>
      <c r="D188" s="29">
        <v>8.25</v>
      </c>
      <c r="E188" s="29">
        <v>8.25</v>
      </c>
      <c r="F188" s="30">
        <v>19.989999999999998</v>
      </c>
      <c r="G188" s="29">
        <v>19.989999999999998</v>
      </c>
      <c r="H188" s="28" t="s">
        <v>8017</v>
      </c>
      <c r="I188" s="27" t="s">
        <v>215</v>
      </c>
      <c r="J188" s="31" t="s">
        <v>5</v>
      </c>
      <c r="K188" s="27" t="s">
        <v>282</v>
      </c>
      <c r="L188" s="27" t="s">
        <v>283</v>
      </c>
      <c r="M188" s="32" t="str">
        <f>HYPERLINK("http://slimages.macys.com/is/image/MCY/3820936 ")</f>
        <v xml:space="preserve">http://slimages.macys.com/is/image/MCY/3820936 </v>
      </c>
    </row>
    <row r="189" spans="1:13" ht="15.2" customHeight="1" x14ac:dyDescent="0.2">
      <c r="A189" s="26" t="s">
        <v>8018</v>
      </c>
      <c r="B189" s="27" t="s">
        <v>8019</v>
      </c>
      <c r="C189" s="28">
        <v>2</v>
      </c>
      <c r="D189" s="29">
        <v>8.1</v>
      </c>
      <c r="E189" s="29">
        <v>16.2</v>
      </c>
      <c r="F189" s="30">
        <v>19.989999999999998</v>
      </c>
      <c r="G189" s="29">
        <v>39.979999999999997</v>
      </c>
      <c r="H189" s="28" t="s">
        <v>5095</v>
      </c>
      <c r="I189" s="27" t="s">
        <v>302</v>
      </c>
      <c r="J189" s="31" t="s">
        <v>40</v>
      </c>
      <c r="K189" s="27" t="s">
        <v>196</v>
      </c>
      <c r="L189" s="27" t="s">
        <v>322</v>
      </c>
      <c r="M189" s="32" t="str">
        <f>HYPERLINK("http://slimages.macys.com/is/image/MCY/3947130 ")</f>
        <v xml:space="preserve">http://slimages.macys.com/is/image/MCY/3947130 </v>
      </c>
    </row>
    <row r="190" spans="1:13" ht="15.2" customHeight="1" x14ac:dyDescent="0.2">
      <c r="A190" s="26" t="s">
        <v>341</v>
      </c>
      <c r="B190" s="27" t="s">
        <v>342</v>
      </c>
      <c r="C190" s="28">
        <v>3</v>
      </c>
      <c r="D190" s="29">
        <v>8.1</v>
      </c>
      <c r="E190" s="29">
        <v>24.3</v>
      </c>
      <c r="F190" s="30">
        <v>19.989999999999998</v>
      </c>
      <c r="G190" s="29">
        <v>59.97</v>
      </c>
      <c r="H190" s="28">
        <v>60449400</v>
      </c>
      <c r="I190" s="27" t="s">
        <v>4</v>
      </c>
      <c r="J190" s="31" t="s">
        <v>5</v>
      </c>
      <c r="K190" s="27" t="s">
        <v>208</v>
      </c>
      <c r="L190" s="27" t="s">
        <v>255</v>
      </c>
      <c r="M190" s="32" t="str">
        <f>HYPERLINK("http://slimages.macys.com/is/image/MCY/3940667 ")</f>
        <v xml:space="preserve">http://slimages.macys.com/is/image/MCY/3940667 </v>
      </c>
    </row>
    <row r="191" spans="1:13" ht="15.2" customHeight="1" x14ac:dyDescent="0.2">
      <c r="A191" s="26" t="s">
        <v>8020</v>
      </c>
      <c r="B191" s="27" t="s">
        <v>8021</v>
      </c>
      <c r="C191" s="28">
        <v>1</v>
      </c>
      <c r="D191" s="29">
        <v>8</v>
      </c>
      <c r="E191" s="29">
        <v>8</v>
      </c>
      <c r="F191" s="30">
        <v>19.989999999999998</v>
      </c>
      <c r="G191" s="29">
        <v>19.989999999999998</v>
      </c>
      <c r="H191" s="28" t="s">
        <v>848</v>
      </c>
      <c r="I191" s="27" t="s">
        <v>265</v>
      </c>
      <c r="J191" s="31" t="s">
        <v>71</v>
      </c>
      <c r="K191" s="27" t="s">
        <v>282</v>
      </c>
      <c r="L191" s="27" t="s">
        <v>358</v>
      </c>
      <c r="M191" s="32" t="str">
        <f>HYPERLINK("http://slimages.macys.com/is/image/MCY/3931076 ")</f>
        <v xml:space="preserve">http://slimages.macys.com/is/image/MCY/3931076 </v>
      </c>
    </row>
    <row r="192" spans="1:13" ht="15.2" customHeight="1" x14ac:dyDescent="0.2">
      <c r="A192" s="26" t="s">
        <v>1398</v>
      </c>
      <c r="B192" s="27" t="s">
        <v>1399</v>
      </c>
      <c r="C192" s="28">
        <v>2</v>
      </c>
      <c r="D192" s="29">
        <v>8</v>
      </c>
      <c r="E192" s="29">
        <v>16</v>
      </c>
      <c r="F192" s="30">
        <v>22.99</v>
      </c>
      <c r="G192" s="29">
        <v>45.98</v>
      </c>
      <c r="H192" s="28" t="s">
        <v>1397</v>
      </c>
      <c r="I192" s="27" t="s">
        <v>94</v>
      </c>
      <c r="J192" s="31" t="s">
        <v>5</v>
      </c>
      <c r="K192" s="27" t="s">
        <v>200</v>
      </c>
      <c r="L192" s="27" t="s">
        <v>325</v>
      </c>
      <c r="M192" s="32" t="str">
        <f>HYPERLINK("http://slimages.macys.com/is/image/MCY/3937194 ")</f>
        <v xml:space="preserve">http://slimages.macys.com/is/image/MCY/3937194 </v>
      </c>
    </row>
    <row r="193" spans="1:13" ht="15.2" customHeight="1" x14ac:dyDescent="0.2">
      <c r="A193" s="26" t="s">
        <v>1400</v>
      </c>
      <c r="B193" s="27" t="s">
        <v>1401</v>
      </c>
      <c r="C193" s="28">
        <v>1</v>
      </c>
      <c r="D193" s="29">
        <v>8</v>
      </c>
      <c r="E193" s="29">
        <v>8</v>
      </c>
      <c r="F193" s="30">
        <v>22.99</v>
      </c>
      <c r="G193" s="29">
        <v>22.99</v>
      </c>
      <c r="H193" s="28" t="s">
        <v>1397</v>
      </c>
      <c r="I193" s="27" t="s">
        <v>94</v>
      </c>
      <c r="J193" s="31" t="s">
        <v>40</v>
      </c>
      <c r="K193" s="27" t="s">
        <v>200</v>
      </c>
      <c r="L193" s="27" t="s">
        <v>325</v>
      </c>
      <c r="M193" s="32" t="str">
        <f>HYPERLINK("http://slimages.macys.com/is/image/MCY/3937194 ")</f>
        <v xml:space="preserve">http://slimages.macys.com/is/image/MCY/3937194 </v>
      </c>
    </row>
    <row r="194" spans="1:13" ht="15.2" customHeight="1" x14ac:dyDescent="0.2">
      <c r="A194" s="26" t="s">
        <v>841</v>
      </c>
      <c r="B194" s="27" t="s">
        <v>842</v>
      </c>
      <c r="C194" s="28">
        <v>1</v>
      </c>
      <c r="D194" s="29">
        <v>8</v>
      </c>
      <c r="E194" s="29">
        <v>8</v>
      </c>
      <c r="F194" s="30">
        <v>19.989999999999998</v>
      </c>
      <c r="G194" s="29">
        <v>19.989999999999998</v>
      </c>
      <c r="H194" s="28" t="s">
        <v>843</v>
      </c>
      <c r="I194" s="27" t="s">
        <v>265</v>
      </c>
      <c r="J194" s="31" t="s">
        <v>40</v>
      </c>
      <c r="K194" s="27" t="s">
        <v>282</v>
      </c>
      <c r="L194" s="27" t="s">
        <v>358</v>
      </c>
      <c r="M194" s="32" t="str">
        <f>HYPERLINK("http://slimages.macys.com/is/image/MCY/3931078 ")</f>
        <v xml:space="preserve">http://slimages.macys.com/is/image/MCY/3931078 </v>
      </c>
    </row>
    <row r="195" spans="1:13" ht="15.2" customHeight="1" x14ac:dyDescent="0.2">
      <c r="A195" s="26" t="s">
        <v>1395</v>
      </c>
      <c r="B195" s="27" t="s">
        <v>1396</v>
      </c>
      <c r="C195" s="28">
        <v>3</v>
      </c>
      <c r="D195" s="29">
        <v>8</v>
      </c>
      <c r="E195" s="29">
        <v>24</v>
      </c>
      <c r="F195" s="30">
        <v>22.99</v>
      </c>
      <c r="G195" s="29">
        <v>68.97</v>
      </c>
      <c r="H195" s="28" t="s">
        <v>1397</v>
      </c>
      <c r="I195" s="27" t="s">
        <v>94</v>
      </c>
      <c r="J195" s="31" t="s">
        <v>21</v>
      </c>
      <c r="K195" s="27" t="s">
        <v>200</v>
      </c>
      <c r="L195" s="27" t="s">
        <v>325</v>
      </c>
      <c r="M195" s="32" t="str">
        <f>HYPERLINK("http://slimages.macys.com/is/image/MCY/3937194 ")</f>
        <v xml:space="preserve">http://slimages.macys.com/is/image/MCY/3937194 </v>
      </c>
    </row>
    <row r="196" spans="1:13" ht="15.2" customHeight="1" x14ac:dyDescent="0.2">
      <c r="A196" s="26" t="s">
        <v>838</v>
      </c>
      <c r="B196" s="27" t="s">
        <v>839</v>
      </c>
      <c r="C196" s="28">
        <v>2</v>
      </c>
      <c r="D196" s="29">
        <v>8</v>
      </c>
      <c r="E196" s="29">
        <v>16</v>
      </c>
      <c r="F196" s="30">
        <v>19.989999999999998</v>
      </c>
      <c r="G196" s="29">
        <v>39.979999999999997</v>
      </c>
      <c r="H196" s="28" t="s">
        <v>840</v>
      </c>
      <c r="I196" s="27" t="s">
        <v>189</v>
      </c>
      <c r="J196" s="31" t="s">
        <v>5</v>
      </c>
      <c r="K196" s="27" t="s">
        <v>282</v>
      </c>
      <c r="L196" s="27" t="s">
        <v>349</v>
      </c>
      <c r="M196" s="32" t="str">
        <f>HYPERLINK("http://slimages.macys.com/is/image/MCY/3799630 ")</f>
        <v xml:space="preserve">http://slimages.macys.com/is/image/MCY/3799630 </v>
      </c>
    </row>
    <row r="197" spans="1:13" ht="15.2" customHeight="1" x14ac:dyDescent="0.2">
      <c r="A197" s="26" t="s">
        <v>8022</v>
      </c>
      <c r="B197" s="27" t="s">
        <v>8023</v>
      </c>
      <c r="C197" s="28">
        <v>1</v>
      </c>
      <c r="D197" s="29">
        <v>8</v>
      </c>
      <c r="E197" s="29">
        <v>8</v>
      </c>
      <c r="F197" s="30">
        <v>19.989999999999998</v>
      </c>
      <c r="G197" s="29">
        <v>19.989999999999998</v>
      </c>
      <c r="H197" s="28" t="s">
        <v>1394</v>
      </c>
      <c r="I197" s="27" t="s">
        <v>94</v>
      </c>
      <c r="J197" s="31" t="s">
        <v>71</v>
      </c>
      <c r="K197" s="27" t="s">
        <v>224</v>
      </c>
      <c r="L197" s="27" t="s">
        <v>254</v>
      </c>
      <c r="M197" s="32" t="str">
        <f>HYPERLINK("http://slimages.macys.com/is/image/MCY/3825537 ")</f>
        <v xml:space="preserve">http://slimages.macys.com/is/image/MCY/3825537 </v>
      </c>
    </row>
    <row r="198" spans="1:13" ht="15.2" customHeight="1" x14ac:dyDescent="0.2">
      <c r="A198" s="26" t="s">
        <v>7563</v>
      </c>
      <c r="B198" s="27" t="s">
        <v>7564</v>
      </c>
      <c r="C198" s="28">
        <v>1</v>
      </c>
      <c r="D198" s="29">
        <v>8</v>
      </c>
      <c r="E198" s="29">
        <v>8</v>
      </c>
      <c r="F198" s="30">
        <v>19.989999999999998</v>
      </c>
      <c r="G198" s="29">
        <v>19.989999999999998</v>
      </c>
      <c r="H198" s="28" t="s">
        <v>7565</v>
      </c>
      <c r="I198" s="27"/>
      <c r="J198" s="31" t="s">
        <v>21</v>
      </c>
      <c r="K198" s="27" t="s">
        <v>224</v>
      </c>
      <c r="L198" s="27" t="s">
        <v>254</v>
      </c>
      <c r="M198" s="32" t="str">
        <f>HYPERLINK("http://slimages.macys.com/is/image/MCY/3719811 ")</f>
        <v xml:space="preserve">http://slimages.macys.com/is/image/MCY/3719811 </v>
      </c>
    </row>
    <row r="199" spans="1:13" ht="15.2" customHeight="1" x14ac:dyDescent="0.2">
      <c r="A199" s="26" t="s">
        <v>8024</v>
      </c>
      <c r="B199" s="27" t="s">
        <v>8025</v>
      </c>
      <c r="C199" s="28">
        <v>1</v>
      </c>
      <c r="D199" s="29">
        <v>8</v>
      </c>
      <c r="E199" s="29">
        <v>8</v>
      </c>
      <c r="F199" s="30">
        <v>19.989999999999998</v>
      </c>
      <c r="G199" s="29">
        <v>19.989999999999998</v>
      </c>
      <c r="H199" s="28" t="s">
        <v>827</v>
      </c>
      <c r="I199" s="27" t="s">
        <v>94</v>
      </c>
      <c r="J199" s="31" t="s">
        <v>5</v>
      </c>
      <c r="K199" s="27" t="s">
        <v>196</v>
      </c>
      <c r="L199" s="27" t="s">
        <v>260</v>
      </c>
      <c r="M199" s="32" t="str">
        <f>HYPERLINK("http://slimages.macys.com/is/image/MCY/3910796 ")</f>
        <v xml:space="preserve">http://slimages.macys.com/is/image/MCY/3910796 </v>
      </c>
    </row>
    <row r="200" spans="1:13" ht="15.2" customHeight="1" x14ac:dyDescent="0.2">
      <c r="A200" s="26" t="s">
        <v>7783</v>
      </c>
      <c r="B200" s="27" t="s">
        <v>7784</v>
      </c>
      <c r="C200" s="28">
        <v>1</v>
      </c>
      <c r="D200" s="29">
        <v>7.85</v>
      </c>
      <c r="E200" s="29">
        <v>7.85</v>
      </c>
      <c r="F200" s="30">
        <v>24.99</v>
      </c>
      <c r="G200" s="29">
        <v>24.99</v>
      </c>
      <c r="H200" s="28" t="s">
        <v>367</v>
      </c>
      <c r="I200" s="27" t="s">
        <v>26</v>
      </c>
      <c r="J200" s="31" t="s">
        <v>40</v>
      </c>
      <c r="K200" s="27" t="s">
        <v>224</v>
      </c>
      <c r="L200" s="27" t="s">
        <v>260</v>
      </c>
      <c r="M200" s="32" t="str">
        <f>HYPERLINK("http://slimages.macys.com/is/image/MCY/3853703 ")</f>
        <v xml:space="preserve">http://slimages.macys.com/is/image/MCY/3853703 </v>
      </c>
    </row>
    <row r="201" spans="1:13" ht="15.2" customHeight="1" x14ac:dyDescent="0.2">
      <c r="A201" s="26" t="s">
        <v>8026</v>
      </c>
      <c r="B201" s="27" t="s">
        <v>8027</v>
      </c>
      <c r="C201" s="28">
        <v>1</v>
      </c>
      <c r="D201" s="29">
        <v>7.85</v>
      </c>
      <c r="E201" s="29">
        <v>7.85</v>
      </c>
      <c r="F201" s="30">
        <v>24.99</v>
      </c>
      <c r="G201" s="29">
        <v>24.99</v>
      </c>
      <c r="H201" s="28" t="s">
        <v>367</v>
      </c>
      <c r="I201" s="27" t="s">
        <v>82</v>
      </c>
      <c r="J201" s="31" t="s">
        <v>40</v>
      </c>
      <c r="K201" s="27" t="s">
        <v>224</v>
      </c>
      <c r="L201" s="27" t="s">
        <v>260</v>
      </c>
      <c r="M201" s="32" t="str">
        <f>HYPERLINK("http://slimages.macys.com/is/image/MCY/3853703 ")</f>
        <v xml:space="preserve">http://slimages.macys.com/is/image/MCY/3853703 </v>
      </c>
    </row>
    <row r="202" spans="1:13" ht="15.2" customHeight="1" x14ac:dyDescent="0.2">
      <c r="A202" s="26" t="s">
        <v>4486</v>
      </c>
      <c r="B202" s="27" t="s">
        <v>4487</v>
      </c>
      <c r="C202" s="28">
        <v>1</v>
      </c>
      <c r="D202" s="29">
        <v>7.85</v>
      </c>
      <c r="E202" s="29">
        <v>7.85</v>
      </c>
      <c r="F202" s="30">
        <v>24.99</v>
      </c>
      <c r="G202" s="29">
        <v>24.99</v>
      </c>
      <c r="H202" s="28" t="s">
        <v>367</v>
      </c>
      <c r="I202" s="27" t="s">
        <v>274</v>
      </c>
      <c r="J202" s="31" t="s">
        <v>5</v>
      </c>
      <c r="K202" s="27" t="s">
        <v>224</v>
      </c>
      <c r="L202" s="27" t="s">
        <v>260</v>
      </c>
      <c r="M202" s="32" t="str">
        <f>HYPERLINK("http://slimages.macys.com/is/image/MCY/3853703 ")</f>
        <v xml:space="preserve">http://slimages.macys.com/is/image/MCY/3853703 </v>
      </c>
    </row>
    <row r="203" spans="1:13" ht="15.2" customHeight="1" x14ac:dyDescent="0.2">
      <c r="A203" s="26" t="s">
        <v>8028</v>
      </c>
      <c r="B203" s="27" t="s">
        <v>8029</v>
      </c>
      <c r="C203" s="28">
        <v>1</v>
      </c>
      <c r="D203" s="29">
        <v>7.82</v>
      </c>
      <c r="E203" s="29">
        <v>7.82</v>
      </c>
      <c r="F203" s="30">
        <v>16.989999999999998</v>
      </c>
      <c r="G203" s="29">
        <v>16.989999999999998</v>
      </c>
      <c r="H203" s="28">
        <v>60450149</v>
      </c>
      <c r="I203" s="27" t="s">
        <v>4</v>
      </c>
      <c r="J203" s="31" t="s">
        <v>21</v>
      </c>
      <c r="K203" s="27" t="s">
        <v>208</v>
      </c>
      <c r="L203" s="27" t="s">
        <v>255</v>
      </c>
      <c r="M203" s="32" t="str">
        <f>HYPERLINK("http://slimages.macys.com/is/image/MCY/3955026 ")</f>
        <v xml:space="preserve">http://slimages.macys.com/is/image/MCY/3955026 </v>
      </c>
    </row>
    <row r="204" spans="1:13" ht="15.2" customHeight="1" x14ac:dyDescent="0.2">
      <c r="A204" s="26" t="s">
        <v>8030</v>
      </c>
      <c r="B204" s="27" t="s">
        <v>8031</v>
      </c>
      <c r="C204" s="28">
        <v>1</v>
      </c>
      <c r="D204" s="29">
        <v>7.75</v>
      </c>
      <c r="E204" s="29">
        <v>7.75</v>
      </c>
      <c r="F204" s="30">
        <v>19.989999999999998</v>
      </c>
      <c r="G204" s="29">
        <v>19.989999999999998</v>
      </c>
      <c r="H204" s="28">
        <v>505887</v>
      </c>
      <c r="I204" s="27"/>
      <c r="J204" s="31" t="s">
        <v>52</v>
      </c>
      <c r="K204" s="27" t="s">
        <v>196</v>
      </c>
      <c r="L204" s="27" t="s">
        <v>1808</v>
      </c>
      <c r="M204" s="32" t="str">
        <f>HYPERLINK("http://slimages.macys.com/is/image/MCY/3562343 ")</f>
        <v xml:space="preserve">http://slimages.macys.com/is/image/MCY/3562343 </v>
      </c>
    </row>
    <row r="205" spans="1:13" ht="15.2" customHeight="1" x14ac:dyDescent="0.2">
      <c r="A205" s="26" t="s">
        <v>8032</v>
      </c>
      <c r="B205" s="27" t="s">
        <v>8033</v>
      </c>
      <c r="C205" s="28">
        <v>1</v>
      </c>
      <c r="D205" s="29">
        <v>7.5</v>
      </c>
      <c r="E205" s="29">
        <v>7.5</v>
      </c>
      <c r="F205" s="30">
        <v>18.989999999999998</v>
      </c>
      <c r="G205" s="29">
        <v>18.989999999999998</v>
      </c>
      <c r="H205" s="28" t="s">
        <v>8034</v>
      </c>
      <c r="I205" s="27" t="s">
        <v>59</v>
      </c>
      <c r="J205" s="31" t="s">
        <v>65</v>
      </c>
      <c r="K205" s="27" t="s">
        <v>70</v>
      </c>
      <c r="L205" s="27" t="s">
        <v>1355</v>
      </c>
      <c r="M205" s="32" t="str">
        <f>HYPERLINK("http://slimages.macys.com/is/image/MCY/3677953 ")</f>
        <v xml:space="preserve">http://slimages.macys.com/is/image/MCY/3677953 </v>
      </c>
    </row>
    <row r="206" spans="1:13" ht="15.2" customHeight="1" x14ac:dyDescent="0.2">
      <c r="A206" s="26" t="s">
        <v>7678</v>
      </c>
      <c r="B206" s="27" t="s">
        <v>7679</v>
      </c>
      <c r="C206" s="28">
        <v>1</v>
      </c>
      <c r="D206" s="29">
        <v>7.5</v>
      </c>
      <c r="E206" s="29">
        <v>7.5</v>
      </c>
      <c r="F206" s="30">
        <v>21.5</v>
      </c>
      <c r="G206" s="29">
        <v>21.5</v>
      </c>
      <c r="H206" s="28" t="s">
        <v>371</v>
      </c>
      <c r="I206" s="27" t="s">
        <v>4</v>
      </c>
      <c r="J206" s="31" t="s">
        <v>52</v>
      </c>
      <c r="K206" s="27" t="s">
        <v>70</v>
      </c>
      <c r="L206" s="27" t="s">
        <v>353</v>
      </c>
      <c r="M206" s="32" t="str">
        <f>HYPERLINK("http://slimages.macys.com/is/image/MCY/3845992 ")</f>
        <v xml:space="preserve">http://slimages.macys.com/is/image/MCY/3845992 </v>
      </c>
    </row>
    <row r="207" spans="1:13" ht="15.2" customHeight="1" x14ac:dyDescent="0.2">
      <c r="A207" s="26" t="s">
        <v>7425</v>
      </c>
      <c r="B207" s="27" t="s">
        <v>7426</v>
      </c>
      <c r="C207" s="28">
        <v>1</v>
      </c>
      <c r="D207" s="29">
        <v>7.5</v>
      </c>
      <c r="E207" s="29">
        <v>7.5</v>
      </c>
      <c r="F207" s="30">
        <v>21.5</v>
      </c>
      <c r="G207" s="29">
        <v>21.5</v>
      </c>
      <c r="H207" s="28" t="s">
        <v>371</v>
      </c>
      <c r="I207" s="27" t="s">
        <v>4</v>
      </c>
      <c r="J207" s="31" t="s">
        <v>5</v>
      </c>
      <c r="K207" s="27" t="s">
        <v>70</v>
      </c>
      <c r="L207" s="27" t="s">
        <v>353</v>
      </c>
      <c r="M207" s="32" t="str">
        <f>HYPERLINK("http://slimages.macys.com/is/image/MCY/3845992 ")</f>
        <v xml:space="preserve">http://slimages.macys.com/is/image/MCY/3845992 </v>
      </c>
    </row>
    <row r="208" spans="1:13" ht="15.2" customHeight="1" x14ac:dyDescent="0.2">
      <c r="A208" s="26" t="s">
        <v>8035</v>
      </c>
      <c r="B208" s="27" t="s">
        <v>8036</v>
      </c>
      <c r="C208" s="28">
        <v>1</v>
      </c>
      <c r="D208" s="29">
        <v>7.5</v>
      </c>
      <c r="E208" s="29">
        <v>7.5</v>
      </c>
      <c r="F208" s="30">
        <v>19.989999999999998</v>
      </c>
      <c r="G208" s="29">
        <v>19.989999999999998</v>
      </c>
      <c r="H208" s="28" t="s">
        <v>1900</v>
      </c>
      <c r="I208" s="27" t="s">
        <v>248</v>
      </c>
      <c r="J208" s="31" t="s">
        <v>71</v>
      </c>
      <c r="K208" s="27" t="s">
        <v>196</v>
      </c>
      <c r="L208" s="27" t="s">
        <v>225</v>
      </c>
      <c r="M208" s="32" t="str">
        <f>HYPERLINK("http://slimages.macys.com/is/image/MCY/3953461 ")</f>
        <v xml:space="preserve">http://slimages.macys.com/is/image/MCY/3953461 </v>
      </c>
    </row>
    <row r="209" spans="1:13" ht="15.2" customHeight="1" x14ac:dyDescent="0.2">
      <c r="A209" s="26" t="s">
        <v>8037</v>
      </c>
      <c r="B209" s="27" t="s">
        <v>8038</v>
      </c>
      <c r="C209" s="28">
        <v>1</v>
      </c>
      <c r="D209" s="29">
        <v>7.5</v>
      </c>
      <c r="E209" s="29">
        <v>7.5</v>
      </c>
      <c r="F209" s="30">
        <v>18.989999999999998</v>
      </c>
      <c r="G209" s="29">
        <v>18.989999999999998</v>
      </c>
      <c r="H209" s="28" t="s">
        <v>8039</v>
      </c>
      <c r="I209" s="27" t="s">
        <v>22</v>
      </c>
      <c r="J209" s="31" t="s">
        <v>21</v>
      </c>
      <c r="K209" s="27" t="s">
        <v>70</v>
      </c>
      <c r="L209" s="27" t="s">
        <v>353</v>
      </c>
      <c r="M209" s="32" t="str">
        <f>HYPERLINK("http://slimages.macys.com/is/image/MCY/3721280 ")</f>
        <v xml:space="preserve">http://slimages.macys.com/is/image/MCY/3721280 </v>
      </c>
    </row>
    <row r="210" spans="1:13" ht="15.2" customHeight="1" x14ac:dyDescent="0.2">
      <c r="A210" s="26" t="s">
        <v>8040</v>
      </c>
      <c r="B210" s="27" t="s">
        <v>8041</v>
      </c>
      <c r="C210" s="28">
        <v>1</v>
      </c>
      <c r="D210" s="29">
        <v>7.5</v>
      </c>
      <c r="E210" s="29">
        <v>7.5</v>
      </c>
      <c r="F210" s="30">
        <v>19.989999999999998</v>
      </c>
      <c r="G210" s="29">
        <v>19.989999999999998</v>
      </c>
      <c r="H210" s="28" t="s">
        <v>1900</v>
      </c>
      <c r="I210" s="27" t="s">
        <v>248</v>
      </c>
      <c r="J210" s="31" t="s">
        <v>40</v>
      </c>
      <c r="K210" s="27" t="s">
        <v>196</v>
      </c>
      <c r="L210" s="27" t="s">
        <v>225</v>
      </c>
      <c r="M210" s="32" t="str">
        <f>HYPERLINK("http://slimages.macys.com/is/image/MCY/3953461 ")</f>
        <v xml:space="preserve">http://slimages.macys.com/is/image/MCY/3953461 </v>
      </c>
    </row>
    <row r="211" spans="1:13" ht="15.2" customHeight="1" x14ac:dyDescent="0.2">
      <c r="A211" s="26" t="s">
        <v>4644</v>
      </c>
      <c r="B211" s="27" t="s">
        <v>4645</v>
      </c>
      <c r="C211" s="28">
        <v>1</v>
      </c>
      <c r="D211" s="29">
        <v>7.2</v>
      </c>
      <c r="E211" s="29">
        <v>7.2</v>
      </c>
      <c r="F211" s="30">
        <v>19.989999999999998</v>
      </c>
      <c r="G211" s="29">
        <v>19.989999999999998</v>
      </c>
      <c r="H211" s="28" t="s">
        <v>2354</v>
      </c>
      <c r="I211" s="27" t="s">
        <v>4</v>
      </c>
      <c r="J211" s="31" t="s">
        <v>5</v>
      </c>
      <c r="K211" s="27" t="s">
        <v>282</v>
      </c>
      <c r="L211" s="27" t="s">
        <v>349</v>
      </c>
      <c r="M211" s="32" t="str">
        <f>HYPERLINK("http://slimages.macys.com/is/image/MCY/3799633 ")</f>
        <v xml:space="preserve">http://slimages.macys.com/is/image/MCY/3799633 </v>
      </c>
    </row>
    <row r="212" spans="1:13" ht="15.2" customHeight="1" x14ac:dyDescent="0.2">
      <c r="A212" s="26" t="s">
        <v>8042</v>
      </c>
      <c r="B212" s="27" t="s">
        <v>8043</v>
      </c>
      <c r="C212" s="28">
        <v>1</v>
      </c>
      <c r="D212" s="29">
        <v>7.06</v>
      </c>
      <c r="E212" s="29">
        <v>7.06</v>
      </c>
      <c r="F212" s="30">
        <v>14.99</v>
      </c>
      <c r="G212" s="29">
        <v>14.99</v>
      </c>
      <c r="H212" s="28">
        <v>60433968</v>
      </c>
      <c r="I212" s="27" t="s">
        <v>343</v>
      </c>
      <c r="J212" s="31" t="s">
        <v>40</v>
      </c>
      <c r="K212" s="27" t="s">
        <v>208</v>
      </c>
      <c r="L212" s="27" t="s">
        <v>255</v>
      </c>
      <c r="M212" s="32" t="str">
        <f>HYPERLINK("http://slimages.macys.com/is/image/MCY/3660101 ")</f>
        <v xml:space="preserve">http://slimages.macys.com/is/image/MCY/3660101 </v>
      </c>
    </row>
    <row r="213" spans="1:13" ht="15.2" customHeight="1" x14ac:dyDescent="0.2">
      <c r="A213" s="26" t="s">
        <v>1904</v>
      </c>
      <c r="B213" s="27" t="s">
        <v>1905</v>
      </c>
      <c r="C213" s="28">
        <v>2</v>
      </c>
      <c r="D213" s="29">
        <v>7</v>
      </c>
      <c r="E213" s="29">
        <v>14</v>
      </c>
      <c r="F213" s="30">
        <v>19.989999999999998</v>
      </c>
      <c r="G213" s="29">
        <v>39.979999999999997</v>
      </c>
      <c r="H213" s="28" t="s">
        <v>1906</v>
      </c>
      <c r="I213" s="27" t="s">
        <v>280</v>
      </c>
      <c r="J213" s="31" t="s">
        <v>52</v>
      </c>
      <c r="K213" s="27" t="s">
        <v>282</v>
      </c>
      <c r="L213" s="27" t="s">
        <v>358</v>
      </c>
      <c r="M213" s="32" t="str">
        <f>HYPERLINK("http://slimages.macys.com/is/image/MCY/3773685 ")</f>
        <v xml:space="preserve">http://slimages.macys.com/is/image/MCY/3773685 </v>
      </c>
    </row>
    <row r="214" spans="1:13" ht="15.2" customHeight="1" x14ac:dyDescent="0.2">
      <c r="A214" s="26" t="s">
        <v>7787</v>
      </c>
      <c r="B214" s="27" t="s">
        <v>7788</v>
      </c>
      <c r="C214" s="28">
        <v>1</v>
      </c>
      <c r="D214" s="29">
        <v>7</v>
      </c>
      <c r="E214" s="29">
        <v>7</v>
      </c>
      <c r="F214" s="30">
        <v>19.989999999999998</v>
      </c>
      <c r="G214" s="29">
        <v>19.989999999999998</v>
      </c>
      <c r="H214" s="28" t="s">
        <v>1906</v>
      </c>
      <c r="I214" s="27" t="s">
        <v>280</v>
      </c>
      <c r="J214" s="31" t="s">
        <v>21</v>
      </c>
      <c r="K214" s="27" t="s">
        <v>282</v>
      </c>
      <c r="L214" s="27" t="s">
        <v>358</v>
      </c>
      <c r="M214" s="32" t="str">
        <f>HYPERLINK("http://slimages.macys.com/is/image/MCY/3773685 ")</f>
        <v xml:space="preserve">http://slimages.macys.com/is/image/MCY/3773685 </v>
      </c>
    </row>
    <row r="215" spans="1:13" ht="15.2" customHeight="1" x14ac:dyDescent="0.2">
      <c r="A215" s="26" t="s">
        <v>2664</v>
      </c>
      <c r="B215" s="27" t="s">
        <v>2665</v>
      </c>
      <c r="C215" s="28">
        <v>1</v>
      </c>
      <c r="D215" s="29">
        <v>7</v>
      </c>
      <c r="E215" s="29">
        <v>7</v>
      </c>
      <c r="F215" s="30">
        <v>19.989999999999998</v>
      </c>
      <c r="G215" s="29">
        <v>19.989999999999998</v>
      </c>
      <c r="H215" s="28" t="s">
        <v>2666</v>
      </c>
      <c r="I215" s="27" t="s">
        <v>280</v>
      </c>
      <c r="J215" s="31" t="s">
        <v>5</v>
      </c>
      <c r="K215" s="27" t="s">
        <v>282</v>
      </c>
      <c r="L215" s="27" t="s">
        <v>358</v>
      </c>
      <c r="M215" s="32" t="str">
        <f>HYPERLINK("http://slimages.macys.com/is/image/MCY/3774255 ")</f>
        <v xml:space="preserve">http://slimages.macys.com/is/image/MCY/3774255 </v>
      </c>
    </row>
    <row r="216" spans="1:13" ht="15.2" customHeight="1" x14ac:dyDescent="0.2">
      <c r="A216" s="26" t="s">
        <v>8044</v>
      </c>
      <c r="B216" s="27" t="s">
        <v>8045</v>
      </c>
      <c r="C216" s="28">
        <v>1</v>
      </c>
      <c r="D216" s="29">
        <v>7</v>
      </c>
      <c r="E216" s="29">
        <v>7</v>
      </c>
      <c r="F216" s="30">
        <v>19.989999999999998</v>
      </c>
      <c r="G216" s="29">
        <v>19.989999999999998</v>
      </c>
      <c r="H216" s="28" t="s">
        <v>5137</v>
      </c>
      <c r="I216" s="27" t="s">
        <v>4</v>
      </c>
      <c r="J216" s="31" t="s">
        <v>40</v>
      </c>
      <c r="K216" s="27" t="s">
        <v>196</v>
      </c>
      <c r="L216" s="27" t="s">
        <v>260</v>
      </c>
      <c r="M216" s="32" t="str">
        <f>HYPERLINK("http://slimages.macys.com/is/image/MCY/3787593 ")</f>
        <v xml:space="preserve">http://slimages.macys.com/is/image/MCY/3787593 </v>
      </c>
    </row>
    <row r="217" spans="1:13" ht="15.2" customHeight="1" x14ac:dyDescent="0.2">
      <c r="A217" s="26" t="s">
        <v>1910</v>
      </c>
      <c r="B217" s="27" t="s">
        <v>1911</v>
      </c>
      <c r="C217" s="28">
        <v>2</v>
      </c>
      <c r="D217" s="29">
        <v>7</v>
      </c>
      <c r="E217" s="29">
        <v>14</v>
      </c>
      <c r="F217" s="30">
        <v>19.989999999999998</v>
      </c>
      <c r="G217" s="29">
        <v>39.979999999999997</v>
      </c>
      <c r="H217" s="28" t="s">
        <v>1906</v>
      </c>
      <c r="I217" s="27" t="s">
        <v>280</v>
      </c>
      <c r="J217" s="31" t="s">
        <v>5</v>
      </c>
      <c r="K217" s="27" t="s">
        <v>282</v>
      </c>
      <c r="L217" s="27" t="s">
        <v>358</v>
      </c>
      <c r="M217" s="32" t="str">
        <f>HYPERLINK("http://slimages.macys.com/is/image/MCY/3773685 ")</f>
        <v xml:space="preserve">http://slimages.macys.com/is/image/MCY/3773685 </v>
      </c>
    </row>
    <row r="218" spans="1:13" ht="15.2" customHeight="1" x14ac:dyDescent="0.2">
      <c r="A218" s="26" t="s">
        <v>2667</v>
      </c>
      <c r="B218" s="27" t="s">
        <v>2668</v>
      </c>
      <c r="C218" s="28">
        <v>1</v>
      </c>
      <c r="D218" s="29">
        <v>7</v>
      </c>
      <c r="E218" s="29">
        <v>7</v>
      </c>
      <c r="F218" s="30">
        <v>19.989999999999998</v>
      </c>
      <c r="G218" s="29">
        <v>19.989999999999998</v>
      </c>
      <c r="H218" s="28" t="s">
        <v>2666</v>
      </c>
      <c r="I218" s="27" t="s">
        <v>280</v>
      </c>
      <c r="J218" s="31" t="s">
        <v>40</v>
      </c>
      <c r="K218" s="27" t="s">
        <v>282</v>
      </c>
      <c r="L218" s="27" t="s">
        <v>358</v>
      </c>
      <c r="M218" s="32" t="str">
        <f>HYPERLINK("http://slimages.macys.com/is/image/MCY/3774255 ")</f>
        <v xml:space="preserve">http://slimages.macys.com/is/image/MCY/3774255 </v>
      </c>
    </row>
    <row r="219" spans="1:13" ht="15.2" customHeight="1" x14ac:dyDescent="0.2">
      <c r="A219" s="26" t="s">
        <v>5469</v>
      </c>
      <c r="B219" s="27" t="s">
        <v>5470</v>
      </c>
      <c r="C219" s="28">
        <v>3</v>
      </c>
      <c r="D219" s="29">
        <v>7</v>
      </c>
      <c r="E219" s="29">
        <v>21</v>
      </c>
      <c r="F219" s="30">
        <v>19.989999999999998</v>
      </c>
      <c r="G219" s="29">
        <v>59.97</v>
      </c>
      <c r="H219" s="28" t="s">
        <v>1909</v>
      </c>
      <c r="I219" s="27" t="s">
        <v>82</v>
      </c>
      <c r="J219" s="31" t="s">
        <v>52</v>
      </c>
      <c r="K219" s="27" t="s">
        <v>282</v>
      </c>
      <c r="L219" s="27" t="s">
        <v>358</v>
      </c>
      <c r="M219" s="32" t="str">
        <f>HYPERLINK("http://slimages.macys.com/is/image/MCY/3773262 ")</f>
        <v xml:space="preserve">http://slimages.macys.com/is/image/MCY/3773262 </v>
      </c>
    </row>
    <row r="220" spans="1:13" ht="15.2" customHeight="1" x14ac:dyDescent="0.2">
      <c r="A220" s="26" t="s">
        <v>8046</v>
      </c>
      <c r="B220" s="27" t="s">
        <v>8047</v>
      </c>
      <c r="C220" s="28">
        <v>1</v>
      </c>
      <c r="D220" s="29">
        <v>7</v>
      </c>
      <c r="E220" s="29">
        <v>7</v>
      </c>
      <c r="F220" s="30">
        <v>19.989999999999998</v>
      </c>
      <c r="G220" s="29">
        <v>19.989999999999998</v>
      </c>
      <c r="H220" s="28" t="s">
        <v>8048</v>
      </c>
      <c r="I220" s="27" t="s">
        <v>144</v>
      </c>
      <c r="J220" s="31" t="s">
        <v>71</v>
      </c>
      <c r="K220" s="27" t="s">
        <v>282</v>
      </c>
      <c r="L220" s="27" t="s">
        <v>358</v>
      </c>
      <c r="M220" s="32" t="str">
        <f>HYPERLINK("http://slimages.macys.com/is/image/MCY/3832150 ")</f>
        <v xml:space="preserve">http://slimages.macys.com/is/image/MCY/3832150 </v>
      </c>
    </row>
    <row r="221" spans="1:13" ht="15.2" customHeight="1" x14ac:dyDescent="0.2">
      <c r="A221" s="26" t="s">
        <v>5127</v>
      </c>
      <c r="B221" s="27" t="s">
        <v>5128</v>
      </c>
      <c r="C221" s="28">
        <v>2</v>
      </c>
      <c r="D221" s="29">
        <v>7</v>
      </c>
      <c r="E221" s="29">
        <v>14</v>
      </c>
      <c r="F221" s="30">
        <v>19.989999999999998</v>
      </c>
      <c r="G221" s="29">
        <v>39.979999999999997</v>
      </c>
      <c r="H221" s="28" t="s">
        <v>1906</v>
      </c>
      <c r="I221" s="27" t="s">
        <v>280</v>
      </c>
      <c r="J221" s="31" t="s">
        <v>40</v>
      </c>
      <c r="K221" s="27" t="s">
        <v>282</v>
      </c>
      <c r="L221" s="27" t="s">
        <v>358</v>
      </c>
      <c r="M221" s="32" t="str">
        <f>HYPERLINK("http://slimages.macys.com/is/image/MCY/3773685 ")</f>
        <v xml:space="preserve">http://slimages.macys.com/is/image/MCY/3773685 </v>
      </c>
    </row>
    <row r="222" spans="1:13" ht="15.2" customHeight="1" x14ac:dyDescent="0.2">
      <c r="A222" s="26" t="s">
        <v>7108</v>
      </c>
      <c r="B222" s="27" t="s">
        <v>7109</v>
      </c>
      <c r="C222" s="28">
        <v>2</v>
      </c>
      <c r="D222" s="29">
        <v>7</v>
      </c>
      <c r="E222" s="29">
        <v>14</v>
      </c>
      <c r="F222" s="30">
        <v>19.989999999999998</v>
      </c>
      <c r="G222" s="29">
        <v>39.979999999999997</v>
      </c>
      <c r="H222" s="28" t="s">
        <v>1906</v>
      </c>
      <c r="I222" s="27" t="s">
        <v>280</v>
      </c>
      <c r="J222" s="31" t="s">
        <v>71</v>
      </c>
      <c r="K222" s="27" t="s">
        <v>282</v>
      </c>
      <c r="L222" s="27" t="s">
        <v>358</v>
      </c>
      <c r="M222" s="32" t="str">
        <f>HYPERLINK("http://slimages.macys.com/is/image/MCY/3773685 ")</f>
        <v xml:space="preserve">http://slimages.macys.com/is/image/MCY/3773685 </v>
      </c>
    </row>
    <row r="223" spans="1:13" ht="15.2" customHeight="1" x14ac:dyDescent="0.2">
      <c r="A223" s="26" t="s">
        <v>4358</v>
      </c>
      <c r="B223" s="27" t="s">
        <v>4359</v>
      </c>
      <c r="C223" s="28">
        <v>2</v>
      </c>
      <c r="D223" s="29">
        <v>7</v>
      </c>
      <c r="E223" s="29">
        <v>14</v>
      </c>
      <c r="F223" s="30">
        <v>19.989999999999998</v>
      </c>
      <c r="G223" s="29">
        <v>39.979999999999997</v>
      </c>
      <c r="H223" s="28" t="s">
        <v>1909</v>
      </c>
      <c r="I223" s="27" t="s">
        <v>82</v>
      </c>
      <c r="J223" s="31" t="s">
        <v>21</v>
      </c>
      <c r="K223" s="27" t="s">
        <v>282</v>
      </c>
      <c r="L223" s="27" t="s">
        <v>358</v>
      </c>
      <c r="M223" s="32" t="str">
        <f>HYPERLINK("http://slimages.macys.com/is/image/MCY/3773262 ")</f>
        <v xml:space="preserve">http://slimages.macys.com/is/image/MCY/3773262 </v>
      </c>
    </row>
    <row r="224" spans="1:13" ht="15.2" customHeight="1" x14ac:dyDescent="0.2">
      <c r="A224" s="26" t="s">
        <v>8049</v>
      </c>
      <c r="B224" s="27" t="s">
        <v>8050</v>
      </c>
      <c r="C224" s="28">
        <v>1</v>
      </c>
      <c r="D224" s="29">
        <v>6.75</v>
      </c>
      <c r="E224" s="29">
        <v>6.75</v>
      </c>
      <c r="F224" s="30">
        <v>14.99</v>
      </c>
      <c r="G224" s="29">
        <v>14.99</v>
      </c>
      <c r="H224" s="28">
        <v>60444929</v>
      </c>
      <c r="I224" s="27" t="s">
        <v>302</v>
      </c>
      <c r="J224" s="31" t="s">
        <v>21</v>
      </c>
      <c r="K224" s="27" t="s">
        <v>208</v>
      </c>
      <c r="L224" s="27" t="s">
        <v>255</v>
      </c>
      <c r="M224" s="32" t="str">
        <f>HYPERLINK("http://slimages.macys.com/is/image/MCY/3850042 ")</f>
        <v xml:space="preserve">http://slimages.macys.com/is/image/MCY/3850042 </v>
      </c>
    </row>
    <row r="225" spans="1:13" ht="15.2" customHeight="1" x14ac:dyDescent="0.2">
      <c r="A225" s="26" t="s">
        <v>2361</v>
      </c>
      <c r="B225" s="27" t="s">
        <v>2362</v>
      </c>
      <c r="C225" s="28">
        <v>1</v>
      </c>
      <c r="D225" s="29">
        <v>6.75</v>
      </c>
      <c r="E225" s="29">
        <v>6.75</v>
      </c>
      <c r="F225" s="30">
        <v>12.99</v>
      </c>
      <c r="G225" s="29">
        <v>12.99</v>
      </c>
      <c r="H225" s="28" t="s">
        <v>874</v>
      </c>
      <c r="I225" s="27" t="s">
        <v>59</v>
      </c>
      <c r="J225" s="31" t="s">
        <v>40</v>
      </c>
      <c r="K225" s="27" t="s">
        <v>282</v>
      </c>
      <c r="L225" s="27" t="s">
        <v>225</v>
      </c>
      <c r="M225" s="32" t="str">
        <f>HYPERLINK("http://slimages.macys.com/is/image/MCY/3905659 ")</f>
        <v xml:space="preserve">http://slimages.macys.com/is/image/MCY/3905659 </v>
      </c>
    </row>
    <row r="226" spans="1:13" ht="15.2" customHeight="1" x14ac:dyDescent="0.2">
      <c r="A226" s="26" t="s">
        <v>1440</v>
      </c>
      <c r="B226" s="27" t="s">
        <v>1441</v>
      </c>
      <c r="C226" s="28">
        <v>1</v>
      </c>
      <c r="D226" s="29">
        <v>6.75</v>
      </c>
      <c r="E226" s="29">
        <v>6.75</v>
      </c>
      <c r="F226" s="30">
        <v>12.99</v>
      </c>
      <c r="G226" s="29">
        <v>12.99</v>
      </c>
      <c r="H226" s="28" t="s">
        <v>874</v>
      </c>
      <c r="I226" s="27" t="s">
        <v>59</v>
      </c>
      <c r="J226" s="31" t="s">
        <v>52</v>
      </c>
      <c r="K226" s="27" t="s">
        <v>282</v>
      </c>
      <c r="L226" s="27" t="s">
        <v>225</v>
      </c>
      <c r="M226" s="32" t="str">
        <f>HYPERLINK("http://slimages.macys.com/is/image/MCY/3905659 ")</f>
        <v xml:space="preserve">http://slimages.macys.com/is/image/MCY/3905659 </v>
      </c>
    </row>
    <row r="227" spans="1:13" ht="15.2" customHeight="1" x14ac:dyDescent="0.2">
      <c r="A227" s="26" t="s">
        <v>8051</v>
      </c>
      <c r="B227" s="27" t="s">
        <v>8052</v>
      </c>
      <c r="C227" s="28">
        <v>1</v>
      </c>
      <c r="D227" s="29">
        <v>6.5</v>
      </c>
      <c r="E227" s="29">
        <v>6.5</v>
      </c>
      <c r="F227" s="30">
        <v>12.99</v>
      </c>
      <c r="G227" s="29">
        <v>12.99</v>
      </c>
      <c r="H227" s="28" t="s">
        <v>5474</v>
      </c>
      <c r="I227" s="27" t="s">
        <v>189</v>
      </c>
      <c r="J227" s="31" t="s">
        <v>71</v>
      </c>
      <c r="K227" s="27" t="s">
        <v>282</v>
      </c>
      <c r="L227" s="27" t="s">
        <v>327</v>
      </c>
      <c r="M227" s="32" t="str">
        <f>HYPERLINK("http://slimages.macys.com/is/image/MCY/3773733 ")</f>
        <v xml:space="preserve">http://slimages.macys.com/is/image/MCY/3773733 </v>
      </c>
    </row>
    <row r="228" spans="1:13" ht="15.2" customHeight="1" x14ac:dyDescent="0.2">
      <c r="A228" s="26" t="s">
        <v>8053</v>
      </c>
      <c r="B228" s="27" t="s">
        <v>8054</v>
      </c>
      <c r="C228" s="28">
        <v>1</v>
      </c>
      <c r="D228" s="29">
        <v>6.5</v>
      </c>
      <c r="E228" s="29">
        <v>6.5</v>
      </c>
      <c r="F228" s="30">
        <v>12.99</v>
      </c>
      <c r="G228" s="29">
        <v>12.99</v>
      </c>
      <c r="H228" s="28" t="s">
        <v>5474</v>
      </c>
      <c r="I228" s="27" t="s">
        <v>189</v>
      </c>
      <c r="J228" s="31" t="s">
        <v>40</v>
      </c>
      <c r="K228" s="27" t="s">
        <v>282</v>
      </c>
      <c r="L228" s="27" t="s">
        <v>327</v>
      </c>
      <c r="M228" s="32" t="str">
        <f>HYPERLINK("http://slimages.macys.com/is/image/MCY/3773733 ")</f>
        <v xml:space="preserve">http://slimages.macys.com/is/image/MCY/3773733 </v>
      </c>
    </row>
    <row r="229" spans="1:13" ht="15.2" customHeight="1" x14ac:dyDescent="0.2">
      <c r="A229" s="26" t="s">
        <v>7116</v>
      </c>
      <c r="B229" s="27" t="s">
        <v>7117</v>
      </c>
      <c r="C229" s="28">
        <v>2</v>
      </c>
      <c r="D229" s="29">
        <v>6.5</v>
      </c>
      <c r="E229" s="29">
        <v>13</v>
      </c>
      <c r="F229" s="30">
        <v>12.99</v>
      </c>
      <c r="G229" s="29">
        <v>25.98</v>
      </c>
      <c r="H229" s="28" t="s">
        <v>5474</v>
      </c>
      <c r="I229" s="27" t="s">
        <v>189</v>
      </c>
      <c r="J229" s="31" t="s">
        <v>52</v>
      </c>
      <c r="K229" s="27" t="s">
        <v>282</v>
      </c>
      <c r="L229" s="27" t="s">
        <v>327</v>
      </c>
      <c r="M229" s="32" t="str">
        <f>HYPERLINK("http://slimages.macys.com/is/image/MCY/3773733 ")</f>
        <v xml:space="preserve">http://slimages.macys.com/is/image/MCY/3773733 </v>
      </c>
    </row>
    <row r="230" spans="1:13" ht="15.2" customHeight="1" x14ac:dyDescent="0.2">
      <c r="A230" s="26" t="s">
        <v>8055</v>
      </c>
      <c r="B230" s="27" t="s">
        <v>8056</v>
      </c>
      <c r="C230" s="28">
        <v>1</v>
      </c>
      <c r="D230" s="29">
        <v>6.5</v>
      </c>
      <c r="E230" s="29">
        <v>6.5</v>
      </c>
      <c r="F230" s="30">
        <v>12.99</v>
      </c>
      <c r="G230" s="29">
        <v>12.99</v>
      </c>
      <c r="H230" s="28" t="s">
        <v>7791</v>
      </c>
      <c r="I230" s="27" t="s">
        <v>189</v>
      </c>
      <c r="J230" s="31" t="s">
        <v>21</v>
      </c>
      <c r="K230" s="27" t="s">
        <v>282</v>
      </c>
      <c r="L230" s="27" t="s">
        <v>327</v>
      </c>
      <c r="M230" s="32" t="str">
        <f>HYPERLINK("http://slimages.macys.com/is/image/MCY/3915554 ")</f>
        <v xml:space="preserve">http://slimages.macys.com/is/image/MCY/3915554 </v>
      </c>
    </row>
    <row r="231" spans="1:13" ht="15.2" customHeight="1" x14ac:dyDescent="0.2">
      <c r="A231" s="26" t="s">
        <v>8057</v>
      </c>
      <c r="B231" s="27" t="s">
        <v>8058</v>
      </c>
      <c r="C231" s="28">
        <v>1</v>
      </c>
      <c r="D231" s="29">
        <v>6.35</v>
      </c>
      <c r="E231" s="29">
        <v>6.35</v>
      </c>
      <c r="F231" s="30">
        <v>12.99</v>
      </c>
      <c r="G231" s="29">
        <v>12.99</v>
      </c>
      <c r="H231" s="28" t="s">
        <v>8059</v>
      </c>
      <c r="I231" s="27" t="s">
        <v>82</v>
      </c>
      <c r="J231" s="31" t="s">
        <v>7798</v>
      </c>
      <c r="K231" s="27" t="s">
        <v>282</v>
      </c>
      <c r="L231" s="27" t="s">
        <v>386</v>
      </c>
      <c r="M231" s="32" t="str">
        <f>HYPERLINK("http://slimages.macys.com/is/image/MCY/3686223 ")</f>
        <v xml:space="preserve">http://slimages.macys.com/is/image/MCY/3686223 </v>
      </c>
    </row>
    <row r="232" spans="1:13" ht="15.2" customHeight="1" x14ac:dyDescent="0.2">
      <c r="A232" s="26" t="s">
        <v>8060</v>
      </c>
      <c r="B232" s="27" t="s">
        <v>8061</v>
      </c>
      <c r="C232" s="28">
        <v>1</v>
      </c>
      <c r="D232" s="29">
        <v>6.35</v>
      </c>
      <c r="E232" s="29">
        <v>6.35</v>
      </c>
      <c r="F232" s="30">
        <v>12.99</v>
      </c>
      <c r="G232" s="29">
        <v>12.99</v>
      </c>
      <c r="H232" s="28" t="s">
        <v>8059</v>
      </c>
      <c r="I232" s="27" t="s">
        <v>82</v>
      </c>
      <c r="J232" s="31" t="s">
        <v>5147</v>
      </c>
      <c r="K232" s="27" t="s">
        <v>282</v>
      </c>
      <c r="L232" s="27" t="s">
        <v>386</v>
      </c>
      <c r="M232" s="32" t="str">
        <f>HYPERLINK("http://slimages.macys.com/is/image/MCY/3686223 ")</f>
        <v xml:space="preserve">http://slimages.macys.com/is/image/MCY/3686223 </v>
      </c>
    </row>
    <row r="233" spans="1:13" ht="15.2" customHeight="1" x14ac:dyDescent="0.2">
      <c r="A233" s="26" t="s">
        <v>8062</v>
      </c>
      <c r="B233" s="27" t="s">
        <v>8063</v>
      </c>
      <c r="C233" s="28">
        <v>2</v>
      </c>
      <c r="D233" s="29">
        <v>6.35</v>
      </c>
      <c r="E233" s="29">
        <v>12.7</v>
      </c>
      <c r="F233" s="30">
        <v>12.99</v>
      </c>
      <c r="G233" s="29">
        <v>25.98</v>
      </c>
      <c r="H233" s="28" t="s">
        <v>878</v>
      </c>
      <c r="I233" s="27" t="s">
        <v>82</v>
      </c>
      <c r="J233" s="31" t="s">
        <v>5147</v>
      </c>
      <c r="K233" s="27" t="s">
        <v>282</v>
      </c>
      <c r="L233" s="27" t="s">
        <v>386</v>
      </c>
      <c r="M233" s="32" t="str">
        <f>HYPERLINK("http://slimages.macys.com/is/image/MCY/3687719 ")</f>
        <v xml:space="preserve">http://slimages.macys.com/is/image/MCY/3687719 </v>
      </c>
    </row>
    <row r="234" spans="1:13" ht="15.2" customHeight="1" x14ac:dyDescent="0.2">
      <c r="A234" s="26" t="s">
        <v>2671</v>
      </c>
      <c r="B234" s="27" t="s">
        <v>2672</v>
      </c>
      <c r="C234" s="28">
        <v>1</v>
      </c>
      <c r="D234" s="29">
        <v>6.3</v>
      </c>
      <c r="E234" s="29">
        <v>6.3</v>
      </c>
      <c r="F234" s="30">
        <v>14.99</v>
      </c>
      <c r="G234" s="29">
        <v>14.99</v>
      </c>
      <c r="H234" s="28" t="s">
        <v>1456</v>
      </c>
      <c r="I234" s="27" t="s">
        <v>103</v>
      </c>
      <c r="J234" s="31" t="s">
        <v>21</v>
      </c>
      <c r="K234" s="27" t="s">
        <v>159</v>
      </c>
      <c r="L234" s="27" t="s">
        <v>160</v>
      </c>
      <c r="M234" s="32" t="str">
        <f>HYPERLINK("http://slimages.macys.com/is/image/MCY/3953479 ")</f>
        <v xml:space="preserve">http://slimages.macys.com/is/image/MCY/3953479 </v>
      </c>
    </row>
    <row r="235" spans="1:13" ht="15.2" customHeight="1" x14ac:dyDescent="0.2">
      <c r="A235" s="26" t="s">
        <v>3001</v>
      </c>
      <c r="B235" s="27" t="s">
        <v>3002</v>
      </c>
      <c r="C235" s="28">
        <v>1</v>
      </c>
      <c r="D235" s="29">
        <v>6.3</v>
      </c>
      <c r="E235" s="29">
        <v>6.3</v>
      </c>
      <c r="F235" s="30">
        <v>14.99</v>
      </c>
      <c r="G235" s="29">
        <v>14.99</v>
      </c>
      <c r="H235" s="28" t="s">
        <v>2679</v>
      </c>
      <c r="I235" s="27" t="s">
        <v>4</v>
      </c>
      <c r="J235" s="31" t="s">
        <v>21</v>
      </c>
      <c r="K235" s="27" t="s">
        <v>159</v>
      </c>
      <c r="L235" s="27" t="s">
        <v>160</v>
      </c>
      <c r="M235" s="32" t="str">
        <f>HYPERLINK("http://slimages.macys.com/is/image/MCY/3876250 ")</f>
        <v xml:space="preserve">http://slimages.macys.com/is/image/MCY/3876250 </v>
      </c>
    </row>
    <row r="236" spans="1:13" ht="15.2" customHeight="1" x14ac:dyDescent="0.2">
      <c r="A236" s="26" t="s">
        <v>880</v>
      </c>
      <c r="B236" s="27" t="s">
        <v>881</v>
      </c>
      <c r="C236" s="28">
        <v>1</v>
      </c>
      <c r="D236" s="29">
        <v>6.3</v>
      </c>
      <c r="E236" s="29">
        <v>6.3</v>
      </c>
      <c r="F236" s="30">
        <v>14.99</v>
      </c>
      <c r="G236" s="29">
        <v>14.99</v>
      </c>
      <c r="H236" s="28" t="s">
        <v>397</v>
      </c>
      <c r="I236" s="27" t="s">
        <v>36</v>
      </c>
      <c r="J236" s="31" t="s">
        <v>71</v>
      </c>
      <c r="K236" s="27" t="s">
        <v>159</v>
      </c>
      <c r="L236" s="27" t="s">
        <v>160</v>
      </c>
      <c r="M236" s="32" t="str">
        <f>HYPERLINK("http://slimages.macys.com/is/image/MCY/3876250 ")</f>
        <v xml:space="preserve">http://slimages.macys.com/is/image/MCY/3876250 </v>
      </c>
    </row>
    <row r="237" spans="1:13" ht="15.2" customHeight="1" x14ac:dyDescent="0.2">
      <c r="A237" s="26" t="s">
        <v>7799</v>
      </c>
      <c r="B237" s="27" t="s">
        <v>7800</v>
      </c>
      <c r="C237" s="28">
        <v>1</v>
      </c>
      <c r="D237" s="29">
        <v>6.25</v>
      </c>
      <c r="E237" s="29">
        <v>6.25</v>
      </c>
      <c r="F237" s="30">
        <v>12.99</v>
      </c>
      <c r="G237" s="29">
        <v>12.99</v>
      </c>
      <c r="H237" s="28" t="s">
        <v>4648</v>
      </c>
      <c r="I237" s="27" t="s">
        <v>82</v>
      </c>
      <c r="J237" s="31" t="s">
        <v>5147</v>
      </c>
      <c r="K237" s="27" t="s">
        <v>282</v>
      </c>
      <c r="L237" s="27" t="s">
        <v>386</v>
      </c>
      <c r="M237" s="32" t="str">
        <f>HYPERLINK("http://slimages.macys.com/is/image/MCY/3662947 ")</f>
        <v xml:space="preserve">http://slimages.macys.com/is/image/MCY/3662947 </v>
      </c>
    </row>
    <row r="238" spans="1:13" ht="15.2" customHeight="1" x14ac:dyDescent="0.2">
      <c r="A238" s="26" t="s">
        <v>8064</v>
      </c>
      <c r="B238" s="27" t="s">
        <v>8065</v>
      </c>
      <c r="C238" s="28">
        <v>1</v>
      </c>
      <c r="D238" s="29">
        <v>6.25</v>
      </c>
      <c r="E238" s="29">
        <v>6.25</v>
      </c>
      <c r="F238" s="30">
        <v>13.99</v>
      </c>
      <c r="G238" s="29">
        <v>13.99</v>
      </c>
      <c r="H238" s="28" t="s">
        <v>2374</v>
      </c>
      <c r="I238" s="27" t="s">
        <v>26</v>
      </c>
      <c r="J238" s="31" t="s">
        <v>71</v>
      </c>
      <c r="K238" s="27" t="s">
        <v>282</v>
      </c>
      <c r="L238" s="27" t="s">
        <v>260</v>
      </c>
      <c r="M238" s="32" t="str">
        <f>HYPERLINK("http://slimages.macys.com/is/image/MCY/3879621 ")</f>
        <v xml:space="preserve">http://slimages.macys.com/is/image/MCY/3879621 </v>
      </c>
    </row>
    <row r="239" spans="1:13" ht="15.2" customHeight="1" x14ac:dyDescent="0.2">
      <c r="A239" s="26" t="s">
        <v>8066</v>
      </c>
      <c r="B239" s="27" t="s">
        <v>8067</v>
      </c>
      <c r="C239" s="28">
        <v>1</v>
      </c>
      <c r="D239" s="29">
        <v>6.25</v>
      </c>
      <c r="E239" s="29">
        <v>6.25</v>
      </c>
      <c r="F239" s="30">
        <v>16.989999999999998</v>
      </c>
      <c r="G239" s="29">
        <v>16.989999999999998</v>
      </c>
      <c r="H239" s="28" t="s">
        <v>7142</v>
      </c>
      <c r="I239" s="27" t="s">
        <v>146</v>
      </c>
      <c r="J239" s="31" t="s">
        <v>40</v>
      </c>
      <c r="K239" s="27" t="s">
        <v>196</v>
      </c>
      <c r="L239" s="27" t="s">
        <v>225</v>
      </c>
      <c r="M239" s="32" t="str">
        <f>HYPERLINK("http://slimages.macys.com/is/image/MCY/3721365 ")</f>
        <v xml:space="preserve">http://slimages.macys.com/is/image/MCY/3721365 </v>
      </c>
    </row>
    <row r="240" spans="1:13" ht="15.2" customHeight="1" x14ac:dyDescent="0.2">
      <c r="A240" s="26" t="s">
        <v>8068</v>
      </c>
      <c r="B240" s="27" t="s">
        <v>8069</v>
      </c>
      <c r="C240" s="28">
        <v>1</v>
      </c>
      <c r="D240" s="29">
        <v>6.25</v>
      </c>
      <c r="E240" s="29">
        <v>6.25</v>
      </c>
      <c r="F240" s="30">
        <v>12.99</v>
      </c>
      <c r="G240" s="29">
        <v>12.99</v>
      </c>
      <c r="H240" s="28" t="s">
        <v>2372</v>
      </c>
      <c r="I240" s="27" t="s">
        <v>10</v>
      </c>
      <c r="J240" s="31" t="s">
        <v>21</v>
      </c>
      <c r="K240" s="27" t="s">
        <v>282</v>
      </c>
      <c r="L240" s="27" t="s">
        <v>283</v>
      </c>
      <c r="M240" s="32" t="str">
        <f>HYPERLINK("http://slimages.macys.com/is/image/MCY/3821010 ")</f>
        <v xml:space="preserve">http://slimages.macys.com/is/image/MCY/3821010 </v>
      </c>
    </row>
    <row r="241" spans="1:13" ht="15.2" customHeight="1" x14ac:dyDescent="0.2">
      <c r="A241" s="26" t="s">
        <v>8070</v>
      </c>
      <c r="B241" s="27" t="s">
        <v>8071</v>
      </c>
      <c r="C241" s="28">
        <v>1</v>
      </c>
      <c r="D241" s="29">
        <v>6.25</v>
      </c>
      <c r="E241" s="29">
        <v>6.25</v>
      </c>
      <c r="F241" s="30">
        <v>12.99</v>
      </c>
      <c r="G241" s="29">
        <v>12.99</v>
      </c>
      <c r="H241" s="28" t="s">
        <v>884</v>
      </c>
      <c r="I241" s="27" t="s">
        <v>4</v>
      </c>
      <c r="J241" s="31" t="s">
        <v>40</v>
      </c>
      <c r="K241" s="27" t="s">
        <v>282</v>
      </c>
      <c r="L241" s="27" t="s">
        <v>283</v>
      </c>
      <c r="M241" s="32" t="str">
        <f>HYPERLINK("http://slimages.macys.com/is/image/MCY/3910979 ")</f>
        <v xml:space="preserve">http://slimages.macys.com/is/image/MCY/3910979 </v>
      </c>
    </row>
    <row r="242" spans="1:13" ht="15.2" customHeight="1" x14ac:dyDescent="0.2">
      <c r="A242" s="26" t="s">
        <v>8072</v>
      </c>
      <c r="B242" s="27" t="s">
        <v>8073</v>
      </c>
      <c r="C242" s="28">
        <v>1</v>
      </c>
      <c r="D242" s="29">
        <v>6.25</v>
      </c>
      <c r="E242" s="29">
        <v>6.25</v>
      </c>
      <c r="F242" s="30">
        <v>19.989999999999998</v>
      </c>
      <c r="G242" s="29">
        <v>19.989999999999998</v>
      </c>
      <c r="H242" s="28" t="s">
        <v>1471</v>
      </c>
      <c r="I242" s="27" t="s">
        <v>94</v>
      </c>
      <c r="J242" s="31" t="s">
        <v>21</v>
      </c>
      <c r="K242" s="27" t="s">
        <v>196</v>
      </c>
      <c r="L242" s="27" t="s">
        <v>239</v>
      </c>
      <c r="M242" s="32" t="str">
        <f>HYPERLINK("http://slimages.macys.com/is/image/MCY/3671543 ")</f>
        <v xml:space="preserve">http://slimages.macys.com/is/image/MCY/3671543 </v>
      </c>
    </row>
    <row r="243" spans="1:13" ht="15.2" customHeight="1" x14ac:dyDescent="0.2">
      <c r="A243" s="26" t="s">
        <v>8074</v>
      </c>
      <c r="B243" s="27" t="s">
        <v>8075</v>
      </c>
      <c r="C243" s="28">
        <v>1</v>
      </c>
      <c r="D243" s="29">
        <v>6.15</v>
      </c>
      <c r="E243" s="29">
        <v>6.15</v>
      </c>
      <c r="F243" s="30">
        <v>14.99</v>
      </c>
      <c r="G243" s="29">
        <v>14.99</v>
      </c>
      <c r="H243" s="28" t="s">
        <v>2694</v>
      </c>
      <c r="I243" s="27" t="s">
        <v>295</v>
      </c>
      <c r="J243" s="31" t="s">
        <v>52</v>
      </c>
      <c r="K243" s="27" t="s">
        <v>159</v>
      </c>
      <c r="L243" s="27" t="s">
        <v>160</v>
      </c>
      <c r="M243" s="32" t="str">
        <f>HYPERLINK("http://slimages.macys.com/is/image/MCY/3857666 ")</f>
        <v xml:space="preserve">http://slimages.macys.com/is/image/MCY/3857666 </v>
      </c>
    </row>
    <row r="244" spans="1:13" ht="15.2" customHeight="1" x14ac:dyDescent="0.2">
      <c r="A244" s="26" t="s">
        <v>3003</v>
      </c>
      <c r="B244" s="27" t="s">
        <v>3004</v>
      </c>
      <c r="C244" s="28">
        <v>2</v>
      </c>
      <c r="D244" s="29">
        <v>6.15</v>
      </c>
      <c r="E244" s="29">
        <v>12.3</v>
      </c>
      <c r="F244" s="30">
        <v>14.99</v>
      </c>
      <c r="G244" s="29">
        <v>29.98</v>
      </c>
      <c r="H244" s="28" t="s">
        <v>2694</v>
      </c>
      <c r="I244" s="27" t="s">
        <v>295</v>
      </c>
      <c r="J244" s="31" t="s">
        <v>21</v>
      </c>
      <c r="K244" s="27" t="s">
        <v>159</v>
      </c>
      <c r="L244" s="27" t="s">
        <v>160</v>
      </c>
      <c r="M244" s="32" t="str">
        <f>HYPERLINK("http://slimages.macys.com/is/image/MCY/3857666 ")</f>
        <v xml:space="preserve">http://slimages.macys.com/is/image/MCY/3857666 </v>
      </c>
    </row>
    <row r="245" spans="1:13" ht="15.2" customHeight="1" x14ac:dyDescent="0.2">
      <c r="A245" s="26" t="s">
        <v>2692</v>
      </c>
      <c r="B245" s="27" t="s">
        <v>2693</v>
      </c>
      <c r="C245" s="28">
        <v>1</v>
      </c>
      <c r="D245" s="29">
        <v>6.15</v>
      </c>
      <c r="E245" s="29">
        <v>6.15</v>
      </c>
      <c r="F245" s="30">
        <v>14.99</v>
      </c>
      <c r="G245" s="29">
        <v>14.99</v>
      </c>
      <c r="H245" s="28" t="s">
        <v>2694</v>
      </c>
      <c r="I245" s="27" t="s">
        <v>295</v>
      </c>
      <c r="J245" s="31" t="s">
        <v>40</v>
      </c>
      <c r="K245" s="27" t="s">
        <v>159</v>
      </c>
      <c r="L245" s="27" t="s">
        <v>160</v>
      </c>
      <c r="M245" s="32" t="str">
        <f>HYPERLINK("http://slimages.macys.com/is/image/MCY/3857666 ")</f>
        <v xml:space="preserve">http://slimages.macys.com/is/image/MCY/3857666 </v>
      </c>
    </row>
    <row r="246" spans="1:13" ht="15.2" customHeight="1" x14ac:dyDescent="0.2">
      <c r="A246" s="26" t="s">
        <v>2695</v>
      </c>
      <c r="B246" s="27" t="s">
        <v>2696</v>
      </c>
      <c r="C246" s="28">
        <v>1</v>
      </c>
      <c r="D246" s="29">
        <v>6.15</v>
      </c>
      <c r="E246" s="29">
        <v>6.15</v>
      </c>
      <c r="F246" s="30">
        <v>14.99</v>
      </c>
      <c r="G246" s="29">
        <v>14.99</v>
      </c>
      <c r="H246" s="28" t="s">
        <v>2694</v>
      </c>
      <c r="I246" s="27" t="s">
        <v>295</v>
      </c>
      <c r="J246" s="31" t="s">
        <v>71</v>
      </c>
      <c r="K246" s="27" t="s">
        <v>159</v>
      </c>
      <c r="L246" s="27" t="s">
        <v>160</v>
      </c>
      <c r="M246" s="32" t="str">
        <f>HYPERLINK("http://slimages.macys.com/is/image/MCY/3857666 ")</f>
        <v xml:space="preserve">http://slimages.macys.com/is/image/MCY/3857666 </v>
      </c>
    </row>
    <row r="247" spans="1:13" ht="15.2" customHeight="1" x14ac:dyDescent="0.2">
      <c r="A247" s="26" t="s">
        <v>888</v>
      </c>
      <c r="B247" s="27" t="s">
        <v>889</v>
      </c>
      <c r="C247" s="28">
        <v>2</v>
      </c>
      <c r="D247" s="29">
        <v>6</v>
      </c>
      <c r="E247" s="29">
        <v>12</v>
      </c>
      <c r="F247" s="30">
        <v>12.99</v>
      </c>
      <c r="G247" s="29">
        <v>25.98</v>
      </c>
      <c r="H247" s="28" t="s">
        <v>890</v>
      </c>
      <c r="I247" s="27" t="s">
        <v>82</v>
      </c>
      <c r="J247" s="31" t="s">
        <v>5</v>
      </c>
      <c r="K247" s="27" t="s">
        <v>282</v>
      </c>
      <c r="L247" s="27" t="s">
        <v>283</v>
      </c>
      <c r="M247" s="32" t="str">
        <f>HYPERLINK("http://slimages.macys.com/is/image/MCY/3875958 ")</f>
        <v xml:space="preserve">http://slimages.macys.com/is/image/MCY/3875958 </v>
      </c>
    </row>
    <row r="248" spans="1:13" ht="15.2" customHeight="1" x14ac:dyDescent="0.2">
      <c r="A248" s="26" t="s">
        <v>8076</v>
      </c>
      <c r="B248" s="27" t="s">
        <v>8077</v>
      </c>
      <c r="C248" s="28">
        <v>1</v>
      </c>
      <c r="D248" s="29">
        <v>6</v>
      </c>
      <c r="E248" s="29">
        <v>6</v>
      </c>
      <c r="F248" s="30">
        <v>12.99</v>
      </c>
      <c r="G248" s="29">
        <v>12.99</v>
      </c>
      <c r="H248" s="28" t="s">
        <v>891</v>
      </c>
      <c r="I248" s="27" t="s">
        <v>478</v>
      </c>
      <c r="J248" s="31" t="s">
        <v>71</v>
      </c>
      <c r="K248" s="27" t="s">
        <v>282</v>
      </c>
      <c r="L248" s="27" t="s">
        <v>327</v>
      </c>
      <c r="M248" s="32" t="str">
        <f>HYPERLINK("http://slimages.macys.com/is/image/MCY/3773739 ")</f>
        <v xml:space="preserve">http://slimages.macys.com/is/image/MCY/3773739 </v>
      </c>
    </row>
    <row r="249" spans="1:13" ht="15.2" customHeight="1" x14ac:dyDescent="0.2">
      <c r="A249" s="26" t="s">
        <v>2387</v>
      </c>
      <c r="B249" s="27" t="s">
        <v>2388</v>
      </c>
      <c r="C249" s="28">
        <v>1</v>
      </c>
      <c r="D249" s="29">
        <v>6</v>
      </c>
      <c r="E249" s="29">
        <v>6</v>
      </c>
      <c r="F249" s="30">
        <v>12.99</v>
      </c>
      <c r="G249" s="29">
        <v>12.99</v>
      </c>
      <c r="H249" s="28" t="s">
        <v>890</v>
      </c>
      <c r="I249" s="27" t="s">
        <v>82</v>
      </c>
      <c r="J249" s="31" t="s">
        <v>21</v>
      </c>
      <c r="K249" s="27" t="s">
        <v>282</v>
      </c>
      <c r="L249" s="27" t="s">
        <v>283</v>
      </c>
      <c r="M249" s="32" t="str">
        <f>HYPERLINK("http://slimages.macys.com/is/image/MCY/3875958 ")</f>
        <v xml:space="preserve">http://slimages.macys.com/is/image/MCY/3875958 </v>
      </c>
    </row>
    <row r="250" spans="1:13" ht="15.2" customHeight="1" x14ac:dyDescent="0.2">
      <c r="A250" s="26" t="s">
        <v>404</v>
      </c>
      <c r="B250" s="27" t="s">
        <v>405</v>
      </c>
      <c r="C250" s="28">
        <v>1</v>
      </c>
      <c r="D250" s="29">
        <v>6</v>
      </c>
      <c r="E250" s="29">
        <v>6</v>
      </c>
      <c r="F250" s="30">
        <v>12.99</v>
      </c>
      <c r="G250" s="29">
        <v>12.99</v>
      </c>
      <c r="H250" s="28" t="s">
        <v>406</v>
      </c>
      <c r="I250" s="27" t="s">
        <v>82</v>
      </c>
      <c r="J250" s="31" t="s">
        <v>40</v>
      </c>
      <c r="K250" s="27" t="s">
        <v>282</v>
      </c>
      <c r="L250" s="27" t="s">
        <v>283</v>
      </c>
      <c r="M250" s="32" t="str">
        <f>HYPERLINK("http://slimages.macys.com/is/image/MCY/3910983 ")</f>
        <v xml:space="preserve">http://slimages.macys.com/is/image/MCY/3910983 </v>
      </c>
    </row>
    <row r="251" spans="1:13" ht="15.2" customHeight="1" x14ac:dyDescent="0.2">
      <c r="A251" s="26" t="s">
        <v>8078</v>
      </c>
      <c r="B251" s="27" t="s">
        <v>8079</v>
      </c>
      <c r="C251" s="28">
        <v>1</v>
      </c>
      <c r="D251" s="29">
        <v>6</v>
      </c>
      <c r="E251" s="29">
        <v>6</v>
      </c>
      <c r="F251" s="30">
        <v>12.99</v>
      </c>
      <c r="G251" s="29">
        <v>12.99</v>
      </c>
      <c r="H251" s="28" t="s">
        <v>7803</v>
      </c>
      <c r="I251" s="27" t="s">
        <v>4</v>
      </c>
      <c r="J251" s="31" t="s">
        <v>5</v>
      </c>
      <c r="K251" s="27" t="s">
        <v>282</v>
      </c>
      <c r="L251" s="27" t="s">
        <v>327</v>
      </c>
      <c r="M251" s="32" t="str">
        <f>HYPERLINK("http://slimages.macys.com/is/image/MCY/3853627 ")</f>
        <v xml:space="preserve">http://slimages.macys.com/is/image/MCY/3853627 </v>
      </c>
    </row>
    <row r="252" spans="1:13" ht="15.2" customHeight="1" x14ac:dyDescent="0.2">
      <c r="A252" s="26" t="s">
        <v>6246</v>
      </c>
      <c r="B252" s="27" t="s">
        <v>6247</v>
      </c>
      <c r="C252" s="28">
        <v>1</v>
      </c>
      <c r="D252" s="29">
        <v>6</v>
      </c>
      <c r="E252" s="29">
        <v>6</v>
      </c>
      <c r="F252" s="30">
        <v>13.99</v>
      </c>
      <c r="G252" s="29">
        <v>13.99</v>
      </c>
      <c r="H252" s="28" t="s">
        <v>407</v>
      </c>
      <c r="I252" s="27" t="s">
        <v>8</v>
      </c>
      <c r="J252" s="31" t="s">
        <v>5</v>
      </c>
      <c r="K252" s="27" t="s">
        <v>282</v>
      </c>
      <c r="L252" s="27" t="s">
        <v>260</v>
      </c>
      <c r="M252" s="32" t="str">
        <f>HYPERLINK("http://slimages.macys.com/is/image/MCY/3910835 ")</f>
        <v xml:space="preserve">http://slimages.macys.com/is/image/MCY/3910835 </v>
      </c>
    </row>
    <row r="253" spans="1:13" ht="15.2" customHeight="1" x14ac:dyDescent="0.2">
      <c r="A253" s="26" t="s">
        <v>2379</v>
      </c>
      <c r="B253" s="27" t="s">
        <v>2380</v>
      </c>
      <c r="C253" s="28">
        <v>2</v>
      </c>
      <c r="D253" s="29">
        <v>6</v>
      </c>
      <c r="E253" s="29">
        <v>12</v>
      </c>
      <c r="F253" s="30">
        <v>12.99</v>
      </c>
      <c r="G253" s="29">
        <v>25.98</v>
      </c>
      <c r="H253" s="28" t="s">
        <v>890</v>
      </c>
      <c r="I253" s="27" t="s">
        <v>82</v>
      </c>
      <c r="J253" s="31" t="s">
        <v>40</v>
      </c>
      <c r="K253" s="27" t="s">
        <v>282</v>
      </c>
      <c r="L253" s="27" t="s">
        <v>283</v>
      </c>
      <c r="M253" s="32" t="str">
        <f>HYPERLINK("http://slimages.macys.com/is/image/MCY/3875958 ")</f>
        <v xml:space="preserve">http://slimages.macys.com/is/image/MCY/3875958 </v>
      </c>
    </row>
    <row r="254" spans="1:13" ht="15.2" customHeight="1" x14ac:dyDescent="0.2">
      <c r="A254" s="26" t="s">
        <v>8080</v>
      </c>
      <c r="B254" s="27" t="s">
        <v>8081</v>
      </c>
      <c r="C254" s="28">
        <v>1</v>
      </c>
      <c r="D254" s="29">
        <v>5.95</v>
      </c>
      <c r="E254" s="29">
        <v>5.95</v>
      </c>
      <c r="F254" s="30">
        <v>12.99</v>
      </c>
      <c r="G254" s="29">
        <v>12.99</v>
      </c>
      <c r="H254" s="28" t="s">
        <v>1509</v>
      </c>
      <c r="I254" s="27" t="s">
        <v>265</v>
      </c>
      <c r="J254" s="31" t="s">
        <v>52</v>
      </c>
      <c r="K254" s="27" t="s">
        <v>282</v>
      </c>
      <c r="L254" s="27" t="s">
        <v>358</v>
      </c>
      <c r="M254" s="32" t="str">
        <f>HYPERLINK("http://slimages.macys.com/is/image/MCY/3774188 ")</f>
        <v xml:space="preserve">http://slimages.macys.com/is/image/MCY/3774188 </v>
      </c>
    </row>
    <row r="255" spans="1:13" ht="15.2" customHeight="1" x14ac:dyDescent="0.2">
      <c r="A255" s="26" t="s">
        <v>8082</v>
      </c>
      <c r="B255" s="27" t="s">
        <v>415</v>
      </c>
      <c r="C255" s="28">
        <v>1</v>
      </c>
      <c r="D255" s="29">
        <v>5.95</v>
      </c>
      <c r="E255" s="29">
        <v>5.95</v>
      </c>
      <c r="F255" s="30">
        <v>12.99</v>
      </c>
      <c r="G255" s="29">
        <v>12.99</v>
      </c>
      <c r="H255" s="28" t="s">
        <v>8083</v>
      </c>
      <c r="I255" s="27" t="s">
        <v>82</v>
      </c>
      <c r="J255" s="31" t="s">
        <v>52</v>
      </c>
      <c r="K255" s="27" t="s">
        <v>282</v>
      </c>
      <c r="L255" s="27" t="s">
        <v>358</v>
      </c>
      <c r="M255" s="32" t="str">
        <f>HYPERLINK("http://slimages.macys.com/is/image/MCY/3755128 ")</f>
        <v xml:space="preserve">http://slimages.macys.com/is/image/MCY/3755128 </v>
      </c>
    </row>
    <row r="256" spans="1:13" ht="15.2" customHeight="1" x14ac:dyDescent="0.2">
      <c r="A256" s="26" t="s">
        <v>1507</v>
      </c>
      <c r="B256" s="27" t="s">
        <v>1508</v>
      </c>
      <c r="C256" s="28">
        <v>2</v>
      </c>
      <c r="D256" s="29">
        <v>5.95</v>
      </c>
      <c r="E256" s="29">
        <v>11.9</v>
      </c>
      <c r="F256" s="30">
        <v>12.99</v>
      </c>
      <c r="G256" s="29">
        <v>25.98</v>
      </c>
      <c r="H256" s="28" t="s">
        <v>1509</v>
      </c>
      <c r="I256" s="27" t="s">
        <v>265</v>
      </c>
      <c r="J256" s="31" t="s">
        <v>5</v>
      </c>
      <c r="K256" s="27" t="s">
        <v>282</v>
      </c>
      <c r="L256" s="27" t="s">
        <v>358</v>
      </c>
      <c r="M256" s="32" t="str">
        <f>HYPERLINK("http://slimages.macys.com/is/image/MCY/3774188 ")</f>
        <v xml:space="preserve">http://slimages.macys.com/is/image/MCY/3774188 </v>
      </c>
    </row>
    <row r="257" spans="1:13" ht="15.2" customHeight="1" x14ac:dyDescent="0.2">
      <c r="A257" s="26" t="s">
        <v>7448</v>
      </c>
      <c r="B257" s="27" t="s">
        <v>7449</v>
      </c>
      <c r="C257" s="28">
        <v>1</v>
      </c>
      <c r="D257" s="29">
        <v>5.75</v>
      </c>
      <c r="E257" s="29">
        <v>5.75</v>
      </c>
      <c r="F257" s="30">
        <v>12.99</v>
      </c>
      <c r="G257" s="29">
        <v>12.99</v>
      </c>
      <c r="H257" s="28" t="s">
        <v>1530</v>
      </c>
      <c r="I257" s="27" t="s">
        <v>82</v>
      </c>
      <c r="J257" s="31" t="s">
        <v>40</v>
      </c>
      <c r="K257" s="27" t="s">
        <v>282</v>
      </c>
      <c r="L257" s="27" t="s">
        <v>283</v>
      </c>
      <c r="M257" s="32" t="str">
        <f>HYPERLINK("http://slimages.macys.com/is/image/MCY/3773466 ")</f>
        <v xml:space="preserve">http://slimages.macys.com/is/image/MCY/3773466 </v>
      </c>
    </row>
    <row r="258" spans="1:13" ht="15.2" customHeight="1" x14ac:dyDescent="0.2">
      <c r="A258" s="26" t="s">
        <v>1528</v>
      </c>
      <c r="B258" s="27" t="s">
        <v>1529</v>
      </c>
      <c r="C258" s="28">
        <v>1</v>
      </c>
      <c r="D258" s="29">
        <v>5.75</v>
      </c>
      <c r="E258" s="29">
        <v>5.75</v>
      </c>
      <c r="F258" s="30">
        <v>12.99</v>
      </c>
      <c r="G258" s="29">
        <v>12.99</v>
      </c>
      <c r="H258" s="28" t="s">
        <v>1530</v>
      </c>
      <c r="I258" s="27" t="s">
        <v>82</v>
      </c>
      <c r="J258" s="31" t="s">
        <v>5</v>
      </c>
      <c r="K258" s="27" t="s">
        <v>282</v>
      </c>
      <c r="L258" s="27" t="s">
        <v>283</v>
      </c>
      <c r="M258" s="32" t="str">
        <f>HYPERLINK("http://slimages.macys.com/is/image/MCY/3773466 ")</f>
        <v xml:space="preserve">http://slimages.macys.com/is/image/MCY/3773466 </v>
      </c>
    </row>
    <row r="259" spans="1:13" ht="15.2" customHeight="1" x14ac:dyDescent="0.2">
      <c r="A259" s="26" t="s">
        <v>8084</v>
      </c>
      <c r="B259" s="27" t="s">
        <v>8085</v>
      </c>
      <c r="C259" s="28">
        <v>1</v>
      </c>
      <c r="D259" s="29">
        <v>5.75</v>
      </c>
      <c r="E259" s="29">
        <v>5.75</v>
      </c>
      <c r="F259" s="30">
        <v>12.99</v>
      </c>
      <c r="G259" s="29">
        <v>12.99</v>
      </c>
      <c r="H259" s="28" t="s">
        <v>1525</v>
      </c>
      <c r="I259" s="27" t="s">
        <v>59</v>
      </c>
      <c r="J259" s="31" t="s">
        <v>52</v>
      </c>
      <c r="K259" s="27" t="s">
        <v>282</v>
      </c>
      <c r="L259" s="27" t="s">
        <v>349</v>
      </c>
      <c r="M259" s="32" t="str">
        <f>HYPERLINK("http://slimages.macys.com/is/image/MCY/3787595 ")</f>
        <v xml:space="preserve">http://slimages.macys.com/is/image/MCY/3787595 </v>
      </c>
    </row>
    <row r="260" spans="1:13" ht="15.2" customHeight="1" x14ac:dyDescent="0.2">
      <c r="A260" s="26" t="s">
        <v>7808</v>
      </c>
      <c r="B260" s="27" t="s">
        <v>7809</v>
      </c>
      <c r="C260" s="28">
        <v>1</v>
      </c>
      <c r="D260" s="29">
        <v>5.75</v>
      </c>
      <c r="E260" s="29">
        <v>5.75</v>
      </c>
      <c r="F260" s="30">
        <v>12.99</v>
      </c>
      <c r="G260" s="29">
        <v>12.99</v>
      </c>
      <c r="H260" s="28" t="s">
        <v>913</v>
      </c>
      <c r="I260" s="27" t="s">
        <v>82</v>
      </c>
      <c r="J260" s="31" t="s">
        <v>52</v>
      </c>
      <c r="K260" s="27" t="s">
        <v>282</v>
      </c>
      <c r="L260" s="27" t="s">
        <v>349</v>
      </c>
      <c r="M260" s="32" t="str">
        <f>HYPERLINK("http://slimages.macys.com/is/image/MCY/3820333 ")</f>
        <v xml:space="preserve">http://slimages.macys.com/is/image/MCY/3820333 </v>
      </c>
    </row>
    <row r="261" spans="1:13" ht="15.2" customHeight="1" x14ac:dyDescent="0.2">
      <c r="A261" s="26" t="s">
        <v>8086</v>
      </c>
      <c r="B261" s="27" t="s">
        <v>8087</v>
      </c>
      <c r="C261" s="28">
        <v>1</v>
      </c>
      <c r="D261" s="29">
        <v>5.75</v>
      </c>
      <c r="E261" s="29">
        <v>5.75</v>
      </c>
      <c r="F261" s="30">
        <v>12.99</v>
      </c>
      <c r="G261" s="29">
        <v>12.99</v>
      </c>
      <c r="H261" s="28" t="s">
        <v>1536</v>
      </c>
      <c r="I261" s="27" t="s">
        <v>22</v>
      </c>
      <c r="J261" s="31" t="s">
        <v>52</v>
      </c>
      <c r="K261" s="27" t="s">
        <v>282</v>
      </c>
      <c r="L261" s="27" t="s">
        <v>349</v>
      </c>
      <c r="M261" s="32" t="str">
        <f>HYPERLINK("http://slimages.macys.com/is/image/MCY/3755122 ")</f>
        <v xml:space="preserve">http://slimages.macys.com/is/image/MCY/3755122 </v>
      </c>
    </row>
    <row r="262" spans="1:13" ht="15.2" customHeight="1" x14ac:dyDescent="0.2">
      <c r="A262" s="26" t="s">
        <v>920</v>
      </c>
      <c r="B262" s="27" t="s">
        <v>921</v>
      </c>
      <c r="C262" s="28">
        <v>1</v>
      </c>
      <c r="D262" s="29">
        <v>5.65</v>
      </c>
      <c r="E262" s="29">
        <v>5.65</v>
      </c>
      <c r="F262" s="30">
        <v>12.99</v>
      </c>
      <c r="G262" s="29">
        <v>12.99</v>
      </c>
      <c r="H262" s="28" t="s">
        <v>922</v>
      </c>
      <c r="I262" s="27" t="s">
        <v>82</v>
      </c>
      <c r="J262" s="31" t="s">
        <v>40</v>
      </c>
      <c r="K262" s="27" t="s">
        <v>282</v>
      </c>
      <c r="L262" s="27" t="s">
        <v>393</v>
      </c>
      <c r="M262" s="32" t="str">
        <f>HYPERLINK("http://slimages.macys.com/is/image/MCY/3797935 ")</f>
        <v xml:space="preserve">http://slimages.macys.com/is/image/MCY/3797935 </v>
      </c>
    </row>
    <row r="263" spans="1:13" ht="15.2" customHeight="1" x14ac:dyDescent="0.2">
      <c r="A263" s="26" t="s">
        <v>924</v>
      </c>
      <c r="B263" s="27" t="s">
        <v>925</v>
      </c>
      <c r="C263" s="28">
        <v>1</v>
      </c>
      <c r="D263" s="29">
        <v>5.5</v>
      </c>
      <c r="E263" s="29">
        <v>5.5</v>
      </c>
      <c r="F263" s="30">
        <v>16.989999999999998</v>
      </c>
      <c r="G263" s="29">
        <v>16.989999999999998</v>
      </c>
      <c r="H263" s="28" t="s">
        <v>431</v>
      </c>
      <c r="I263" s="27" t="s">
        <v>33</v>
      </c>
      <c r="J263" s="31" t="s">
        <v>21</v>
      </c>
      <c r="K263" s="27" t="s">
        <v>282</v>
      </c>
      <c r="L263" s="27" t="s">
        <v>388</v>
      </c>
      <c r="M263" s="32" t="str">
        <f>HYPERLINK("http://slimages.macys.com/is/image/MCY/3890955 ")</f>
        <v xml:space="preserve">http://slimages.macys.com/is/image/MCY/3890955 </v>
      </c>
    </row>
    <row r="264" spans="1:13" ht="15.2" customHeight="1" x14ac:dyDescent="0.2">
      <c r="A264" s="26" t="s">
        <v>8088</v>
      </c>
      <c r="B264" s="27" t="s">
        <v>6614</v>
      </c>
      <c r="C264" s="28">
        <v>1</v>
      </c>
      <c r="D264" s="29">
        <v>5.5</v>
      </c>
      <c r="E264" s="29">
        <v>5.5</v>
      </c>
      <c r="F264" s="30">
        <v>12.99</v>
      </c>
      <c r="G264" s="29">
        <v>12.99</v>
      </c>
      <c r="H264" s="28" t="s">
        <v>8089</v>
      </c>
      <c r="I264" s="27" t="s">
        <v>4</v>
      </c>
      <c r="J264" s="31" t="s">
        <v>5</v>
      </c>
      <c r="K264" s="27" t="s">
        <v>282</v>
      </c>
      <c r="L264" s="27" t="s">
        <v>283</v>
      </c>
      <c r="M264" s="32" t="str">
        <f>HYPERLINK("http://slimages.macys.com/is/image/MCY/3755641 ")</f>
        <v xml:space="preserve">http://slimages.macys.com/is/image/MCY/3755641 </v>
      </c>
    </row>
    <row r="265" spans="1:13" ht="15.2" customHeight="1" x14ac:dyDescent="0.2">
      <c r="A265" s="26" t="s">
        <v>3461</v>
      </c>
      <c r="B265" s="27" t="s">
        <v>3462</v>
      </c>
      <c r="C265" s="28">
        <v>1</v>
      </c>
      <c r="D265" s="29">
        <v>5.5</v>
      </c>
      <c r="E265" s="29">
        <v>5.5</v>
      </c>
      <c r="F265" s="30">
        <v>16.989999999999998</v>
      </c>
      <c r="G265" s="29">
        <v>16.989999999999998</v>
      </c>
      <c r="H265" s="28" t="s">
        <v>431</v>
      </c>
      <c r="I265" s="27" t="s">
        <v>33</v>
      </c>
      <c r="J265" s="31" t="s">
        <v>5</v>
      </c>
      <c r="K265" s="27" t="s">
        <v>282</v>
      </c>
      <c r="L265" s="27" t="s">
        <v>388</v>
      </c>
      <c r="M265" s="32" t="str">
        <f>HYPERLINK("http://slimages.macys.com/is/image/MCY/3890955 ")</f>
        <v xml:space="preserve">http://slimages.macys.com/is/image/MCY/3890955 </v>
      </c>
    </row>
    <row r="266" spans="1:13" ht="15.2" customHeight="1" x14ac:dyDescent="0.2">
      <c r="A266" s="26" t="s">
        <v>3948</v>
      </c>
      <c r="B266" s="27" t="s">
        <v>3949</v>
      </c>
      <c r="C266" s="28">
        <v>1</v>
      </c>
      <c r="D266" s="29">
        <v>5.5</v>
      </c>
      <c r="E266" s="29">
        <v>5.5</v>
      </c>
      <c r="F266" s="30">
        <v>16.989999999999998</v>
      </c>
      <c r="G266" s="29">
        <v>16.989999999999998</v>
      </c>
      <c r="H266" s="28" t="s">
        <v>431</v>
      </c>
      <c r="I266" s="27" t="s">
        <v>82</v>
      </c>
      <c r="J266" s="31" t="s">
        <v>40</v>
      </c>
      <c r="K266" s="27" t="s">
        <v>282</v>
      </c>
      <c r="L266" s="27" t="s">
        <v>388</v>
      </c>
      <c r="M266" s="32" t="str">
        <f>HYPERLINK("http://slimages.macys.com/is/image/MCY/3953466 ")</f>
        <v xml:space="preserve">http://slimages.macys.com/is/image/MCY/3953466 </v>
      </c>
    </row>
    <row r="267" spans="1:13" ht="15.2" customHeight="1" x14ac:dyDescent="0.2">
      <c r="A267" s="26" t="s">
        <v>8090</v>
      </c>
      <c r="B267" s="27" t="s">
        <v>8091</v>
      </c>
      <c r="C267" s="28">
        <v>1</v>
      </c>
      <c r="D267" s="29">
        <v>5.5</v>
      </c>
      <c r="E267" s="29">
        <v>5.5</v>
      </c>
      <c r="F267" s="30">
        <v>12.99</v>
      </c>
      <c r="G267" s="29">
        <v>12.99</v>
      </c>
      <c r="H267" s="28" t="s">
        <v>1547</v>
      </c>
      <c r="I267" s="27" t="s">
        <v>82</v>
      </c>
      <c r="J267" s="31" t="s">
        <v>21</v>
      </c>
      <c r="K267" s="27" t="s">
        <v>282</v>
      </c>
      <c r="L267" s="27" t="s">
        <v>312</v>
      </c>
      <c r="M267" s="32" t="str">
        <f>HYPERLINK("http://slimages.macys.com/is/image/MCY/3777672 ")</f>
        <v xml:space="preserve">http://slimages.macys.com/is/image/MCY/3777672 </v>
      </c>
    </row>
    <row r="268" spans="1:13" ht="15.2" customHeight="1" x14ac:dyDescent="0.2">
      <c r="A268" s="26" t="s">
        <v>1545</v>
      </c>
      <c r="B268" s="27" t="s">
        <v>1546</v>
      </c>
      <c r="C268" s="28">
        <v>1</v>
      </c>
      <c r="D268" s="29">
        <v>5.5</v>
      </c>
      <c r="E268" s="29">
        <v>5.5</v>
      </c>
      <c r="F268" s="30">
        <v>12.99</v>
      </c>
      <c r="G268" s="29">
        <v>12.99</v>
      </c>
      <c r="H268" s="28" t="s">
        <v>1547</v>
      </c>
      <c r="I268" s="27" t="s">
        <v>82</v>
      </c>
      <c r="J268" s="31" t="s">
        <v>40</v>
      </c>
      <c r="K268" s="27" t="s">
        <v>282</v>
      </c>
      <c r="L268" s="27" t="s">
        <v>312</v>
      </c>
      <c r="M268" s="32" t="str">
        <f>HYPERLINK("http://slimages.macys.com/is/image/MCY/3777672 ")</f>
        <v xml:space="preserve">http://slimages.macys.com/is/image/MCY/3777672 </v>
      </c>
    </row>
    <row r="269" spans="1:13" ht="15.2" customHeight="1" x14ac:dyDescent="0.2">
      <c r="A269" s="26" t="s">
        <v>1940</v>
      </c>
      <c r="B269" s="27" t="s">
        <v>1941</v>
      </c>
      <c r="C269" s="28">
        <v>1</v>
      </c>
      <c r="D269" s="29">
        <v>5.5</v>
      </c>
      <c r="E269" s="29">
        <v>5.5</v>
      </c>
      <c r="F269" s="30">
        <v>16.989999999999998</v>
      </c>
      <c r="G269" s="29">
        <v>16.989999999999998</v>
      </c>
      <c r="H269" s="28" t="s">
        <v>431</v>
      </c>
      <c r="I269" s="27" t="s">
        <v>33</v>
      </c>
      <c r="J269" s="31" t="s">
        <v>52</v>
      </c>
      <c r="K269" s="27" t="s">
        <v>282</v>
      </c>
      <c r="L269" s="27" t="s">
        <v>388</v>
      </c>
      <c r="M269" s="32" t="str">
        <f>HYPERLINK("http://slimages.macys.com/is/image/MCY/3953468 ")</f>
        <v xml:space="preserve">http://slimages.macys.com/is/image/MCY/3953468 </v>
      </c>
    </row>
    <row r="270" spans="1:13" ht="15.2" customHeight="1" x14ac:dyDescent="0.2">
      <c r="A270" s="26" t="s">
        <v>2404</v>
      </c>
      <c r="B270" s="27" t="s">
        <v>2405</v>
      </c>
      <c r="C270" s="28">
        <v>1</v>
      </c>
      <c r="D270" s="29">
        <v>5.5</v>
      </c>
      <c r="E270" s="29">
        <v>5.5</v>
      </c>
      <c r="F270" s="30">
        <v>16.989999999999998</v>
      </c>
      <c r="G270" s="29">
        <v>16.989999999999998</v>
      </c>
      <c r="H270" s="28" t="s">
        <v>431</v>
      </c>
      <c r="I270" s="27" t="s">
        <v>4</v>
      </c>
      <c r="J270" s="31" t="s">
        <v>21</v>
      </c>
      <c r="K270" s="27" t="s">
        <v>282</v>
      </c>
      <c r="L270" s="27" t="s">
        <v>388</v>
      </c>
      <c r="M270" s="32" t="str">
        <f>HYPERLINK("http://slimages.macys.com/is/image/MCY/3890953 ")</f>
        <v xml:space="preserve">http://slimages.macys.com/is/image/MCY/3890953 </v>
      </c>
    </row>
    <row r="271" spans="1:13" ht="15.2" customHeight="1" x14ac:dyDescent="0.2">
      <c r="A271" s="26" t="s">
        <v>8092</v>
      </c>
      <c r="B271" s="27" t="s">
        <v>8093</v>
      </c>
      <c r="C271" s="28">
        <v>1</v>
      </c>
      <c r="D271" s="29">
        <v>5.5</v>
      </c>
      <c r="E271" s="29">
        <v>5.5</v>
      </c>
      <c r="F271" s="30">
        <v>12.99</v>
      </c>
      <c r="G271" s="29">
        <v>12.99</v>
      </c>
      <c r="H271" s="28" t="s">
        <v>7812</v>
      </c>
      <c r="I271" s="27" t="s">
        <v>4</v>
      </c>
      <c r="J271" s="31" t="s">
        <v>5</v>
      </c>
      <c r="K271" s="27" t="s">
        <v>282</v>
      </c>
      <c r="L271" s="27" t="s">
        <v>349</v>
      </c>
      <c r="M271" s="32" t="str">
        <f>HYPERLINK("http://slimages.macys.com/is/image/MCY/3755097 ")</f>
        <v xml:space="preserve">http://slimages.macys.com/is/image/MCY/3755097 </v>
      </c>
    </row>
    <row r="272" spans="1:13" ht="15.2" customHeight="1" x14ac:dyDescent="0.2">
      <c r="A272" s="26" t="s">
        <v>1557</v>
      </c>
      <c r="B272" s="27" t="s">
        <v>1558</v>
      </c>
      <c r="C272" s="28">
        <v>1</v>
      </c>
      <c r="D272" s="29">
        <v>5.5</v>
      </c>
      <c r="E272" s="29">
        <v>5.5</v>
      </c>
      <c r="F272" s="30">
        <v>12.99</v>
      </c>
      <c r="G272" s="29">
        <v>12.99</v>
      </c>
      <c r="H272" s="28" t="s">
        <v>1554</v>
      </c>
      <c r="I272" s="27" t="s">
        <v>4</v>
      </c>
      <c r="J272" s="31" t="s">
        <v>52</v>
      </c>
      <c r="K272" s="27" t="s">
        <v>282</v>
      </c>
      <c r="L272" s="27" t="s">
        <v>283</v>
      </c>
      <c r="M272" s="32" t="str">
        <f>HYPERLINK("http://slimages.macys.com/is/image/MCY/3755062 ")</f>
        <v xml:space="preserve">http://slimages.macys.com/is/image/MCY/3755062 </v>
      </c>
    </row>
    <row r="273" spans="1:13" ht="15.2" customHeight="1" x14ac:dyDescent="0.2">
      <c r="A273" s="26" t="s">
        <v>443</v>
      </c>
      <c r="B273" s="27" t="s">
        <v>444</v>
      </c>
      <c r="C273" s="28">
        <v>2</v>
      </c>
      <c r="D273" s="29">
        <v>5.5</v>
      </c>
      <c r="E273" s="29">
        <v>11</v>
      </c>
      <c r="F273" s="30">
        <v>16.989999999999998</v>
      </c>
      <c r="G273" s="29">
        <v>33.979999999999997</v>
      </c>
      <c r="H273" s="28" t="s">
        <v>431</v>
      </c>
      <c r="I273" s="27" t="s">
        <v>383</v>
      </c>
      <c r="J273" s="31" t="s">
        <v>5</v>
      </c>
      <c r="K273" s="27" t="s">
        <v>282</v>
      </c>
      <c r="L273" s="27" t="s">
        <v>388</v>
      </c>
      <c r="M273" s="32" t="str">
        <f>HYPERLINK("http://slimages.macys.com/is/image/MCY/3953470 ")</f>
        <v xml:space="preserve">http://slimages.macys.com/is/image/MCY/3953470 </v>
      </c>
    </row>
    <row r="274" spans="1:13" ht="15.2" customHeight="1" x14ac:dyDescent="0.2">
      <c r="A274" s="26" t="s">
        <v>1548</v>
      </c>
      <c r="B274" s="27" t="s">
        <v>1549</v>
      </c>
      <c r="C274" s="28">
        <v>1</v>
      </c>
      <c r="D274" s="29">
        <v>5.5</v>
      </c>
      <c r="E274" s="29">
        <v>5.5</v>
      </c>
      <c r="F274" s="30">
        <v>12.99</v>
      </c>
      <c r="G274" s="29">
        <v>12.99</v>
      </c>
      <c r="H274" s="28" t="s">
        <v>1550</v>
      </c>
      <c r="I274" s="27" t="s">
        <v>215</v>
      </c>
      <c r="J274" s="31" t="s">
        <v>40</v>
      </c>
      <c r="K274" s="27" t="s">
        <v>282</v>
      </c>
      <c r="L274" s="27" t="s">
        <v>283</v>
      </c>
      <c r="M274" s="32" t="str">
        <f>HYPERLINK("http://slimages.macys.com/is/image/MCY/3820329 ")</f>
        <v xml:space="preserve">http://slimages.macys.com/is/image/MCY/3820329 </v>
      </c>
    </row>
    <row r="275" spans="1:13" ht="15.2" customHeight="1" x14ac:dyDescent="0.2">
      <c r="A275" s="26" t="s">
        <v>1942</v>
      </c>
      <c r="B275" s="27" t="s">
        <v>1943</v>
      </c>
      <c r="C275" s="28">
        <v>1</v>
      </c>
      <c r="D275" s="29">
        <v>5.5</v>
      </c>
      <c r="E275" s="29">
        <v>5.5</v>
      </c>
      <c r="F275" s="30">
        <v>12.99</v>
      </c>
      <c r="G275" s="29">
        <v>12.99</v>
      </c>
      <c r="H275" s="28" t="s">
        <v>1553</v>
      </c>
      <c r="I275" s="27" t="s">
        <v>4</v>
      </c>
      <c r="J275" s="31" t="s">
        <v>5</v>
      </c>
      <c r="K275" s="27" t="s">
        <v>282</v>
      </c>
      <c r="L275" s="27" t="s">
        <v>283</v>
      </c>
      <c r="M275" s="32" t="str">
        <f>HYPERLINK("http://slimages.macys.com/is/image/MCY/3755046 ")</f>
        <v xml:space="preserve">http://slimages.macys.com/is/image/MCY/3755046 </v>
      </c>
    </row>
    <row r="276" spans="1:13" ht="15.2" customHeight="1" x14ac:dyDescent="0.2">
      <c r="A276" s="26" t="s">
        <v>1944</v>
      </c>
      <c r="B276" s="27" t="s">
        <v>1558</v>
      </c>
      <c r="C276" s="28">
        <v>1</v>
      </c>
      <c r="D276" s="29">
        <v>5.5</v>
      </c>
      <c r="E276" s="29">
        <v>5.5</v>
      </c>
      <c r="F276" s="30">
        <v>12.99</v>
      </c>
      <c r="G276" s="29">
        <v>12.99</v>
      </c>
      <c r="H276" s="28" t="s">
        <v>1553</v>
      </c>
      <c r="I276" s="27" t="s">
        <v>4</v>
      </c>
      <c r="J276" s="31" t="s">
        <v>52</v>
      </c>
      <c r="K276" s="27" t="s">
        <v>282</v>
      </c>
      <c r="L276" s="27" t="s">
        <v>283</v>
      </c>
      <c r="M276" s="32" t="str">
        <f>HYPERLINK("http://slimages.macys.com/is/image/MCY/3755046 ")</f>
        <v xml:space="preserve">http://slimages.macys.com/is/image/MCY/3755046 </v>
      </c>
    </row>
    <row r="277" spans="1:13" ht="15.2" customHeight="1" x14ac:dyDescent="0.2">
      <c r="A277" s="26" t="s">
        <v>8094</v>
      </c>
      <c r="B277" s="27" t="s">
        <v>8095</v>
      </c>
      <c r="C277" s="28">
        <v>1</v>
      </c>
      <c r="D277" s="29">
        <v>5.5</v>
      </c>
      <c r="E277" s="29">
        <v>5.5</v>
      </c>
      <c r="F277" s="30">
        <v>12.99</v>
      </c>
      <c r="G277" s="29">
        <v>12.99</v>
      </c>
      <c r="H277" s="28" t="s">
        <v>8089</v>
      </c>
      <c r="I277" s="27" t="s">
        <v>4</v>
      </c>
      <c r="J277" s="31" t="s">
        <v>52</v>
      </c>
      <c r="K277" s="27" t="s">
        <v>282</v>
      </c>
      <c r="L277" s="27" t="s">
        <v>283</v>
      </c>
      <c r="M277" s="32" t="str">
        <f>HYPERLINK("http://slimages.macys.com/is/image/MCY/3755641 ")</f>
        <v xml:space="preserve">http://slimages.macys.com/is/image/MCY/3755641 </v>
      </c>
    </row>
    <row r="278" spans="1:13" ht="15.2" customHeight="1" x14ac:dyDescent="0.2">
      <c r="A278" s="26" t="s">
        <v>432</v>
      </c>
      <c r="B278" s="27" t="s">
        <v>433</v>
      </c>
      <c r="C278" s="28">
        <v>1</v>
      </c>
      <c r="D278" s="29">
        <v>5.5</v>
      </c>
      <c r="E278" s="29">
        <v>5.5</v>
      </c>
      <c r="F278" s="30">
        <v>16.989999999999998</v>
      </c>
      <c r="G278" s="29">
        <v>16.989999999999998</v>
      </c>
      <c r="H278" s="28" t="s">
        <v>431</v>
      </c>
      <c r="I278" s="27" t="s">
        <v>383</v>
      </c>
      <c r="J278" s="31" t="s">
        <v>21</v>
      </c>
      <c r="K278" s="27" t="s">
        <v>282</v>
      </c>
      <c r="L278" s="27" t="s">
        <v>388</v>
      </c>
      <c r="M278" s="32" t="str">
        <f>HYPERLINK("http://slimages.macys.com/is/image/MCY/3953470 ")</f>
        <v xml:space="preserve">http://slimages.macys.com/is/image/MCY/3953470 </v>
      </c>
    </row>
    <row r="279" spans="1:13" ht="15.2" customHeight="1" x14ac:dyDescent="0.2">
      <c r="A279" s="26" t="s">
        <v>1551</v>
      </c>
      <c r="B279" s="27" t="s">
        <v>1552</v>
      </c>
      <c r="C279" s="28">
        <v>1</v>
      </c>
      <c r="D279" s="29">
        <v>5.5</v>
      </c>
      <c r="E279" s="29">
        <v>5.5</v>
      </c>
      <c r="F279" s="30">
        <v>12.99</v>
      </c>
      <c r="G279" s="29">
        <v>12.99</v>
      </c>
      <c r="H279" s="28" t="s">
        <v>1553</v>
      </c>
      <c r="I279" s="27" t="s">
        <v>4</v>
      </c>
      <c r="J279" s="31" t="s">
        <v>40</v>
      </c>
      <c r="K279" s="27" t="s">
        <v>282</v>
      </c>
      <c r="L279" s="27" t="s">
        <v>283</v>
      </c>
      <c r="M279" s="32" t="str">
        <f>HYPERLINK("http://slimages.macys.com/is/image/MCY/3755046 ")</f>
        <v xml:space="preserve">http://slimages.macys.com/is/image/MCY/3755046 </v>
      </c>
    </row>
    <row r="280" spans="1:13" ht="15.2" customHeight="1" x14ac:dyDescent="0.2">
      <c r="A280" s="26" t="s">
        <v>928</v>
      </c>
      <c r="B280" s="27" t="s">
        <v>929</v>
      </c>
      <c r="C280" s="28">
        <v>1</v>
      </c>
      <c r="D280" s="29">
        <v>5.5</v>
      </c>
      <c r="E280" s="29">
        <v>5.5</v>
      </c>
      <c r="F280" s="30">
        <v>16.989999999999998</v>
      </c>
      <c r="G280" s="29">
        <v>16.989999999999998</v>
      </c>
      <c r="H280" s="28" t="s">
        <v>431</v>
      </c>
      <c r="I280" s="27" t="s">
        <v>383</v>
      </c>
      <c r="J280" s="31" t="s">
        <v>52</v>
      </c>
      <c r="K280" s="27" t="s">
        <v>282</v>
      </c>
      <c r="L280" s="27" t="s">
        <v>388</v>
      </c>
      <c r="M280" s="32" t="str">
        <f>HYPERLINK("http://slimages.macys.com/is/image/MCY/3953470 ")</f>
        <v xml:space="preserve">http://slimages.macys.com/is/image/MCY/3953470 </v>
      </c>
    </row>
    <row r="281" spans="1:13" ht="15.2" customHeight="1" x14ac:dyDescent="0.2">
      <c r="A281" s="26" t="s">
        <v>4500</v>
      </c>
      <c r="B281" s="27" t="s">
        <v>4501</v>
      </c>
      <c r="C281" s="28">
        <v>1</v>
      </c>
      <c r="D281" s="29">
        <v>5.5</v>
      </c>
      <c r="E281" s="29">
        <v>5.5</v>
      </c>
      <c r="F281" s="30">
        <v>16.989999999999998</v>
      </c>
      <c r="G281" s="29">
        <v>16.989999999999998</v>
      </c>
      <c r="H281" s="28" t="s">
        <v>431</v>
      </c>
      <c r="I281" s="27" t="s">
        <v>33</v>
      </c>
      <c r="J281" s="31" t="s">
        <v>5</v>
      </c>
      <c r="K281" s="27" t="s">
        <v>282</v>
      </c>
      <c r="L281" s="27" t="s">
        <v>388</v>
      </c>
      <c r="M281" s="32" t="str">
        <f>HYPERLINK("http://slimages.macys.com/is/image/MCY/3953468 ")</f>
        <v xml:space="preserve">http://slimages.macys.com/is/image/MCY/3953468 </v>
      </c>
    </row>
    <row r="282" spans="1:13" ht="15.2" customHeight="1" x14ac:dyDescent="0.2">
      <c r="A282" s="26" t="s">
        <v>434</v>
      </c>
      <c r="B282" s="27" t="s">
        <v>435</v>
      </c>
      <c r="C282" s="28">
        <v>2</v>
      </c>
      <c r="D282" s="29">
        <v>5.5</v>
      </c>
      <c r="E282" s="29">
        <v>11</v>
      </c>
      <c r="F282" s="30">
        <v>16.989999999999998</v>
      </c>
      <c r="G282" s="29">
        <v>33.979999999999997</v>
      </c>
      <c r="H282" s="28" t="s">
        <v>431</v>
      </c>
      <c r="I282" s="27" t="s">
        <v>383</v>
      </c>
      <c r="J282" s="31" t="s">
        <v>40</v>
      </c>
      <c r="K282" s="27" t="s">
        <v>282</v>
      </c>
      <c r="L282" s="27" t="s">
        <v>388</v>
      </c>
      <c r="M282" s="32" t="str">
        <f>HYPERLINK("http://slimages.macys.com/is/image/MCY/3953470 ")</f>
        <v xml:space="preserve">http://slimages.macys.com/is/image/MCY/3953470 </v>
      </c>
    </row>
    <row r="283" spans="1:13" ht="15.2" customHeight="1" x14ac:dyDescent="0.2">
      <c r="A283" s="26" t="s">
        <v>2702</v>
      </c>
      <c r="B283" s="27" t="s">
        <v>2703</v>
      </c>
      <c r="C283" s="28">
        <v>1</v>
      </c>
      <c r="D283" s="29">
        <v>5.46</v>
      </c>
      <c r="E283" s="29">
        <v>5.46</v>
      </c>
      <c r="F283" s="30">
        <v>12.99</v>
      </c>
      <c r="G283" s="29">
        <v>12.99</v>
      </c>
      <c r="H283" s="28" t="s">
        <v>445</v>
      </c>
      <c r="I283" s="27" t="s">
        <v>4</v>
      </c>
      <c r="J283" s="31" t="s">
        <v>21</v>
      </c>
      <c r="K283" s="27" t="s">
        <v>159</v>
      </c>
      <c r="L283" s="27" t="s">
        <v>160</v>
      </c>
      <c r="M283" s="32" t="str">
        <f>HYPERLINK("http://slimages.macys.com/is/image/MCY/3857705 ")</f>
        <v xml:space="preserve">http://slimages.macys.com/is/image/MCY/3857705 </v>
      </c>
    </row>
    <row r="284" spans="1:13" ht="15.2" customHeight="1" x14ac:dyDescent="0.2">
      <c r="A284" s="26" t="s">
        <v>3013</v>
      </c>
      <c r="B284" s="27" t="s">
        <v>3014</v>
      </c>
      <c r="C284" s="28">
        <v>2</v>
      </c>
      <c r="D284" s="29">
        <v>5.46</v>
      </c>
      <c r="E284" s="29">
        <v>10.92</v>
      </c>
      <c r="F284" s="30">
        <v>12.99</v>
      </c>
      <c r="G284" s="29">
        <v>25.98</v>
      </c>
      <c r="H284" s="28" t="s">
        <v>933</v>
      </c>
      <c r="I284" s="27" t="s">
        <v>207</v>
      </c>
      <c r="J284" s="31" t="s">
        <v>52</v>
      </c>
      <c r="K284" s="27" t="s">
        <v>159</v>
      </c>
      <c r="L284" s="27" t="s">
        <v>160</v>
      </c>
      <c r="M284" s="32" t="str">
        <f>HYPERLINK("http://slimages.macys.com/is/image/MCY/3857696 ")</f>
        <v xml:space="preserve">http://slimages.macys.com/is/image/MCY/3857696 </v>
      </c>
    </row>
    <row r="285" spans="1:13" ht="15.2" customHeight="1" x14ac:dyDescent="0.2">
      <c r="A285" s="26" t="s">
        <v>2708</v>
      </c>
      <c r="B285" s="27" t="s">
        <v>2709</v>
      </c>
      <c r="C285" s="28">
        <v>1</v>
      </c>
      <c r="D285" s="29">
        <v>5.46</v>
      </c>
      <c r="E285" s="29">
        <v>5.46</v>
      </c>
      <c r="F285" s="30">
        <v>12.99</v>
      </c>
      <c r="G285" s="29">
        <v>12.99</v>
      </c>
      <c r="H285" s="28" t="s">
        <v>445</v>
      </c>
      <c r="I285" s="27" t="s">
        <v>207</v>
      </c>
      <c r="J285" s="31" t="s">
        <v>5</v>
      </c>
      <c r="K285" s="27" t="s">
        <v>159</v>
      </c>
      <c r="L285" s="27" t="s">
        <v>160</v>
      </c>
      <c r="M285" s="32" t="str">
        <f>HYPERLINK("http://slimages.macys.com/is/image/MCY/3857705 ")</f>
        <v xml:space="preserve">http://slimages.macys.com/is/image/MCY/3857705 </v>
      </c>
    </row>
    <row r="286" spans="1:13" ht="15.2" customHeight="1" x14ac:dyDescent="0.2">
      <c r="A286" s="26" t="s">
        <v>2406</v>
      </c>
      <c r="B286" s="27" t="s">
        <v>2407</v>
      </c>
      <c r="C286" s="28">
        <v>2</v>
      </c>
      <c r="D286" s="29">
        <v>5.46</v>
      </c>
      <c r="E286" s="29">
        <v>10.92</v>
      </c>
      <c r="F286" s="30">
        <v>12.99</v>
      </c>
      <c r="G286" s="29">
        <v>25.98</v>
      </c>
      <c r="H286" s="28" t="s">
        <v>933</v>
      </c>
      <c r="I286" s="27" t="s">
        <v>4</v>
      </c>
      <c r="J286" s="31" t="s">
        <v>52</v>
      </c>
      <c r="K286" s="27" t="s">
        <v>159</v>
      </c>
      <c r="L286" s="27" t="s">
        <v>160</v>
      </c>
      <c r="M286" s="32" t="str">
        <f>HYPERLINK("http://slimages.macys.com/is/image/MCY/3857696 ")</f>
        <v xml:space="preserve">http://slimages.macys.com/is/image/MCY/3857696 </v>
      </c>
    </row>
    <row r="287" spans="1:13" ht="15.2" customHeight="1" x14ac:dyDescent="0.2">
      <c r="A287" s="26" t="s">
        <v>8096</v>
      </c>
      <c r="B287" s="27" t="s">
        <v>8097</v>
      </c>
      <c r="C287" s="28">
        <v>1</v>
      </c>
      <c r="D287" s="29">
        <v>5.46</v>
      </c>
      <c r="E287" s="29">
        <v>5.46</v>
      </c>
      <c r="F287" s="30">
        <v>12.99</v>
      </c>
      <c r="G287" s="29">
        <v>12.99</v>
      </c>
      <c r="H287" s="28" t="s">
        <v>933</v>
      </c>
      <c r="I287" s="27" t="s">
        <v>4</v>
      </c>
      <c r="J287" s="31" t="s">
        <v>40</v>
      </c>
      <c r="K287" s="27" t="s">
        <v>159</v>
      </c>
      <c r="L287" s="27" t="s">
        <v>160</v>
      </c>
      <c r="M287" s="32" t="str">
        <f>HYPERLINK("http://slimages.macys.com/is/image/MCY/3857696 ")</f>
        <v xml:space="preserve">http://slimages.macys.com/is/image/MCY/3857696 </v>
      </c>
    </row>
    <row r="288" spans="1:13" ht="15.2" customHeight="1" x14ac:dyDescent="0.2">
      <c r="A288" s="26" t="s">
        <v>1571</v>
      </c>
      <c r="B288" s="27" t="s">
        <v>1572</v>
      </c>
      <c r="C288" s="28">
        <v>2</v>
      </c>
      <c r="D288" s="29">
        <v>5.46</v>
      </c>
      <c r="E288" s="29">
        <v>10.92</v>
      </c>
      <c r="F288" s="30">
        <v>12.99</v>
      </c>
      <c r="G288" s="29">
        <v>25.98</v>
      </c>
      <c r="H288" s="28" t="s">
        <v>933</v>
      </c>
      <c r="I288" s="27" t="s">
        <v>207</v>
      </c>
      <c r="J288" s="31" t="s">
        <v>21</v>
      </c>
      <c r="K288" s="27" t="s">
        <v>159</v>
      </c>
      <c r="L288" s="27" t="s">
        <v>160</v>
      </c>
      <c r="M288" s="32" t="str">
        <f>HYPERLINK("http://slimages.macys.com/is/image/MCY/3857696 ")</f>
        <v xml:space="preserve">http://slimages.macys.com/is/image/MCY/3857696 </v>
      </c>
    </row>
    <row r="289" spans="1:13" ht="15.2" customHeight="1" x14ac:dyDescent="0.2">
      <c r="A289" s="26" t="s">
        <v>1950</v>
      </c>
      <c r="B289" s="27" t="s">
        <v>1951</v>
      </c>
      <c r="C289" s="28">
        <v>1</v>
      </c>
      <c r="D289" s="29">
        <v>5.25</v>
      </c>
      <c r="E289" s="29">
        <v>5.25</v>
      </c>
      <c r="F289" s="30">
        <v>12.99</v>
      </c>
      <c r="G289" s="29">
        <v>12.99</v>
      </c>
      <c r="H289" s="28" t="s">
        <v>1575</v>
      </c>
      <c r="I289" s="27" t="s">
        <v>4</v>
      </c>
      <c r="J289" s="31" t="s">
        <v>5</v>
      </c>
      <c r="K289" s="27" t="s">
        <v>282</v>
      </c>
      <c r="L289" s="27" t="s">
        <v>358</v>
      </c>
      <c r="M289" s="32" t="str">
        <f>HYPERLINK("http://slimages.macys.com/is/image/MCY/3875978 ")</f>
        <v xml:space="preserve">http://slimages.macys.com/is/image/MCY/3875978 </v>
      </c>
    </row>
    <row r="290" spans="1:13" ht="15.2" customHeight="1" x14ac:dyDescent="0.2">
      <c r="A290" s="26" t="s">
        <v>3021</v>
      </c>
      <c r="B290" s="27" t="s">
        <v>3022</v>
      </c>
      <c r="C290" s="28">
        <v>1</v>
      </c>
      <c r="D290" s="29">
        <v>4.67</v>
      </c>
      <c r="E290" s="29">
        <v>4.67</v>
      </c>
      <c r="F290" s="30">
        <v>12.99</v>
      </c>
      <c r="G290" s="29">
        <v>12.99</v>
      </c>
      <c r="H290" s="28" t="s">
        <v>1958</v>
      </c>
      <c r="I290" s="27" t="s">
        <v>39</v>
      </c>
      <c r="J290" s="31" t="s">
        <v>52</v>
      </c>
      <c r="K290" s="27" t="s">
        <v>282</v>
      </c>
      <c r="L290" s="27" t="s">
        <v>349</v>
      </c>
      <c r="M290" s="32" t="str">
        <f>HYPERLINK("http://slimages.macys.com/is/image/MCY/3875948 ")</f>
        <v xml:space="preserve">http://slimages.macys.com/is/image/MCY/3875948 </v>
      </c>
    </row>
    <row r="291" spans="1:13" ht="15.2" customHeight="1" x14ac:dyDescent="0.2">
      <c r="A291" s="26" t="s">
        <v>6067</v>
      </c>
      <c r="B291" s="27" t="s">
        <v>6068</v>
      </c>
      <c r="C291" s="28">
        <v>1</v>
      </c>
      <c r="D291" s="29">
        <v>4.6500000000000004</v>
      </c>
      <c r="E291" s="29">
        <v>4.6500000000000004</v>
      </c>
      <c r="F291" s="30">
        <v>10.99</v>
      </c>
      <c r="G291" s="29">
        <v>10.99</v>
      </c>
      <c r="H291" s="28">
        <v>60359814</v>
      </c>
      <c r="I291" s="27" t="s">
        <v>33</v>
      </c>
      <c r="J291" s="31" t="s">
        <v>5</v>
      </c>
      <c r="K291" s="27" t="s">
        <v>282</v>
      </c>
      <c r="L291" s="27" t="s">
        <v>255</v>
      </c>
      <c r="M291" s="32" t="str">
        <f>HYPERLINK("http://slimages.macys.com/is/image/MCY/2308510 ")</f>
        <v xml:space="preserve">http://slimages.macys.com/is/image/MCY/2308510 </v>
      </c>
    </row>
    <row r="292" spans="1:13" ht="15.2" customHeight="1" x14ac:dyDescent="0.2">
      <c r="A292" s="26" t="s">
        <v>4652</v>
      </c>
      <c r="B292" s="27" t="s">
        <v>4653</v>
      </c>
      <c r="C292" s="28">
        <v>1</v>
      </c>
      <c r="D292" s="29">
        <v>4.6500000000000004</v>
      </c>
      <c r="E292" s="29">
        <v>4.6500000000000004</v>
      </c>
      <c r="F292" s="30">
        <v>10.99</v>
      </c>
      <c r="G292" s="29">
        <v>10.99</v>
      </c>
      <c r="H292" s="28">
        <v>60359814</v>
      </c>
      <c r="I292" s="27" t="s">
        <v>33</v>
      </c>
      <c r="J292" s="31" t="s">
        <v>65</v>
      </c>
      <c r="K292" s="27" t="s">
        <v>282</v>
      </c>
      <c r="L292" s="27" t="s">
        <v>255</v>
      </c>
      <c r="M292" s="32" t="str">
        <f>HYPERLINK("http://slimages.macys.com/is/image/MCY/2308510 ")</f>
        <v xml:space="preserve">http://slimages.macys.com/is/image/MCY/2308510 </v>
      </c>
    </row>
    <row r="293" spans="1:13" ht="15.2" customHeight="1" x14ac:dyDescent="0.2">
      <c r="A293" s="26" t="s">
        <v>7465</v>
      </c>
      <c r="B293" s="27" t="s">
        <v>7466</v>
      </c>
      <c r="C293" s="28">
        <v>1</v>
      </c>
      <c r="D293" s="29">
        <v>4.5</v>
      </c>
      <c r="E293" s="29">
        <v>4.5</v>
      </c>
      <c r="F293" s="30">
        <v>12.99</v>
      </c>
      <c r="G293" s="29">
        <v>12.99</v>
      </c>
      <c r="H293" s="28" t="s">
        <v>5559</v>
      </c>
      <c r="I293" s="27" t="s">
        <v>59</v>
      </c>
      <c r="J293" s="31" t="s">
        <v>71</v>
      </c>
      <c r="K293" s="27" t="s">
        <v>282</v>
      </c>
      <c r="L293" s="27" t="s">
        <v>283</v>
      </c>
      <c r="M293" s="32" t="str">
        <f>HYPERLINK("http://slimages.macys.com/is/image/MCY/3875942 ")</f>
        <v xml:space="preserve">http://slimages.macys.com/is/image/MCY/3875942 </v>
      </c>
    </row>
    <row r="294" spans="1:13" ht="15.2" customHeight="1" x14ac:dyDescent="0.2">
      <c r="A294" s="26" t="s">
        <v>8098</v>
      </c>
      <c r="B294" s="27" t="s">
        <v>8099</v>
      </c>
      <c r="C294" s="28">
        <v>1</v>
      </c>
      <c r="D294" s="29">
        <v>4.3499999999999996</v>
      </c>
      <c r="E294" s="29">
        <v>4.3499999999999996</v>
      </c>
      <c r="F294" s="30">
        <v>13.99</v>
      </c>
      <c r="G294" s="29">
        <v>13.99</v>
      </c>
      <c r="H294" s="28" t="s">
        <v>948</v>
      </c>
      <c r="I294" s="27" t="s">
        <v>64</v>
      </c>
      <c r="J294" s="31" t="s">
        <v>40</v>
      </c>
      <c r="K294" s="27" t="s">
        <v>282</v>
      </c>
      <c r="L294" s="27" t="s">
        <v>325</v>
      </c>
      <c r="M294" s="32" t="str">
        <f>HYPERLINK("http://slimages.macys.com/is/image/MCY/3931147 ")</f>
        <v xml:space="preserve">http://slimages.macys.com/is/image/MCY/3931147 </v>
      </c>
    </row>
    <row r="295" spans="1:13" ht="15.2" customHeight="1" x14ac:dyDescent="0.2">
      <c r="A295" s="26" t="s">
        <v>7197</v>
      </c>
      <c r="B295" s="27" t="s">
        <v>7198</v>
      </c>
      <c r="C295" s="28">
        <v>1</v>
      </c>
      <c r="D295" s="29">
        <v>4.3499999999999996</v>
      </c>
      <c r="E295" s="29">
        <v>4.3499999999999996</v>
      </c>
      <c r="F295" s="30">
        <v>13.99</v>
      </c>
      <c r="G295" s="29">
        <v>13.99</v>
      </c>
      <c r="H295" s="28" t="s">
        <v>948</v>
      </c>
      <c r="I295" s="27" t="s">
        <v>82</v>
      </c>
      <c r="J295" s="31" t="s">
        <v>52</v>
      </c>
      <c r="K295" s="27" t="s">
        <v>282</v>
      </c>
      <c r="L295" s="27" t="s">
        <v>325</v>
      </c>
      <c r="M295" s="32" t="str">
        <f>HYPERLINK("http://slimages.macys.com/is/image/MCY/3931147 ")</f>
        <v xml:space="preserve">http://slimages.macys.com/is/image/MCY/3931147 </v>
      </c>
    </row>
    <row r="296" spans="1:13" ht="15.2" customHeight="1" x14ac:dyDescent="0.2">
      <c r="A296" s="26" t="s">
        <v>8100</v>
      </c>
      <c r="B296" s="27" t="s">
        <v>8101</v>
      </c>
      <c r="C296" s="28">
        <v>1</v>
      </c>
      <c r="D296" s="29">
        <v>3.75</v>
      </c>
      <c r="E296" s="29">
        <v>3.75</v>
      </c>
      <c r="F296" s="30">
        <v>7.99</v>
      </c>
      <c r="G296" s="29">
        <v>7.99</v>
      </c>
      <c r="H296" s="28">
        <v>60393788</v>
      </c>
      <c r="I296" s="27" t="s">
        <v>59</v>
      </c>
      <c r="J296" s="31" t="s">
        <v>71</v>
      </c>
      <c r="K296" s="27" t="s">
        <v>282</v>
      </c>
      <c r="L296" s="27" t="s">
        <v>255</v>
      </c>
      <c r="M296" s="32" t="str">
        <f>HYPERLINK("http://slimages.macys.com/is/image/MCY/3664384 ")</f>
        <v xml:space="preserve">http://slimages.macys.com/is/image/MCY/3664384 </v>
      </c>
    </row>
    <row r="297" spans="1:13" ht="15.2" customHeight="1" x14ac:dyDescent="0.2">
      <c r="A297" s="26" t="s">
        <v>8102</v>
      </c>
      <c r="B297" s="27" t="s">
        <v>8103</v>
      </c>
      <c r="C297" s="28">
        <v>1</v>
      </c>
      <c r="D297" s="29">
        <v>3.75</v>
      </c>
      <c r="E297" s="29">
        <v>3.75</v>
      </c>
      <c r="F297" s="30">
        <v>7.99</v>
      </c>
      <c r="G297" s="29">
        <v>7.99</v>
      </c>
      <c r="H297" s="28">
        <v>60393788</v>
      </c>
      <c r="I297" s="27" t="s">
        <v>59</v>
      </c>
      <c r="J297" s="31" t="s">
        <v>40</v>
      </c>
      <c r="K297" s="27" t="s">
        <v>282</v>
      </c>
      <c r="L297" s="27" t="s">
        <v>255</v>
      </c>
      <c r="M297" s="32" t="str">
        <f>HYPERLINK("http://slimages.macys.com/is/image/MCY/3664384 ")</f>
        <v xml:space="preserve">http://slimages.macys.com/is/image/MCY/3664384 </v>
      </c>
    </row>
    <row r="298" spans="1:13" ht="15.2" customHeight="1" x14ac:dyDescent="0.2">
      <c r="A298" s="26" t="s">
        <v>8104</v>
      </c>
      <c r="B298" s="27" t="s">
        <v>8105</v>
      </c>
      <c r="C298" s="28">
        <v>1</v>
      </c>
      <c r="D298" s="29">
        <v>3.72</v>
      </c>
      <c r="E298" s="29">
        <v>3.72</v>
      </c>
      <c r="F298" s="30">
        <v>7.99</v>
      </c>
      <c r="G298" s="29">
        <v>7.99</v>
      </c>
      <c r="H298" s="28" t="s">
        <v>459</v>
      </c>
      <c r="I298" s="27" t="s">
        <v>343</v>
      </c>
      <c r="J298" s="31" t="s">
        <v>5</v>
      </c>
      <c r="K298" s="27" t="s">
        <v>282</v>
      </c>
      <c r="L298" s="27" t="s">
        <v>325</v>
      </c>
      <c r="M298" s="32" t="str">
        <f>HYPERLINK("http://slimages.macys.com/is/image/MCY/3609979 ")</f>
        <v xml:space="preserve">http://slimages.macys.com/is/image/MCY/3609979 </v>
      </c>
    </row>
    <row r="299" spans="1:13" ht="15.2" customHeight="1" x14ac:dyDescent="0.2">
      <c r="A299" s="26" t="s">
        <v>7211</v>
      </c>
      <c r="B299" s="27" t="s">
        <v>7212</v>
      </c>
      <c r="C299" s="28">
        <v>1</v>
      </c>
      <c r="D299" s="29">
        <v>3.65</v>
      </c>
      <c r="E299" s="29">
        <v>3.65</v>
      </c>
      <c r="F299" s="30">
        <v>12.99</v>
      </c>
      <c r="G299" s="29">
        <v>12.99</v>
      </c>
      <c r="H299" s="28" t="s">
        <v>950</v>
      </c>
      <c r="I299" s="27" t="s">
        <v>215</v>
      </c>
      <c r="J299" s="31" t="s">
        <v>5</v>
      </c>
      <c r="K299" s="27" t="s">
        <v>200</v>
      </c>
      <c r="L299" s="27" t="s">
        <v>325</v>
      </c>
      <c r="M299" s="32" t="str">
        <f>HYPERLINK("http://slimages.macys.com/is/image/MCY/3937191 ")</f>
        <v xml:space="preserve">http://slimages.macys.com/is/image/MCY/3937191 </v>
      </c>
    </row>
    <row r="300" spans="1:13" ht="15.2" customHeight="1" x14ac:dyDescent="0.2">
      <c r="A300" s="26" t="s">
        <v>8106</v>
      </c>
      <c r="B300" s="27" t="s">
        <v>7689</v>
      </c>
      <c r="C300" s="28">
        <v>1</v>
      </c>
      <c r="D300" s="29">
        <v>59.75</v>
      </c>
      <c r="E300" s="29">
        <v>59.75</v>
      </c>
      <c r="F300" s="30">
        <v>179</v>
      </c>
      <c r="G300" s="29">
        <v>179</v>
      </c>
      <c r="H300" s="28">
        <v>57055</v>
      </c>
      <c r="I300" s="27" t="s">
        <v>59</v>
      </c>
      <c r="J300" s="31" t="s">
        <v>214</v>
      </c>
      <c r="K300" s="27" t="s">
        <v>24</v>
      </c>
      <c r="L300" s="27" t="s">
        <v>1972</v>
      </c>
      <c r="M300" s="32"/>
    </row>
    <row r="301" spans="1:13" ht="15.2" customHeight="1" x14ac:dyDescent="0.2">
      <c r="A301" s="26" t="s">
        <v>8107</v>
      </c>
      <c r="B301" s="27" t="s">
        <v>8108</v>
      </c>
      <c r="C301" s="28">
        <v>1</v>
      </c>
      <c r="D301" s="29">
        <v>59.75</v>
      </c>
      <c r="E301" s="29">
        <v>59.75</v>
      </c>
      <c r="F301" s="30">
        <v>179</v>
      </c>
      <c r="G301" s="29">
        <v>179</v>
      </c>
      <c r="H301" s="28">
        <v>56782</v>
      </c>
      <c r="I301" s="27" t="s">
        <v>267</v>
      </c>
      <c r="J301" s="31" t="s">
        <v>230</v>
      </c>
      <c r="K301" s="27" t="s">
        <v>24</v>
      </c>
      <c r="L301" s="27" t="s">
        <v>1972</v>
      </c>
      <c r="M301" s="32"/>
    </row>
    <row r="302" spans="1:13" ht="15.2" customHeight="1" x14ac:dyDescent="0.2">
      <c r="A302" s="26" t="s">
        <v>8109</v>
      </c>
      <c r="B302" s="27" t="s">
        <v>7689</v>
      </c>
      <c r="C302" s="28">
        <v>1</v>
      </c>
      <c r="D302" s="29">
        <v>59.75</v>
      </c>
      <c r="E302" s="29">
        <v>59.75</v>
      </c>
      <c r="F302" s="30">
        <v>179</v>
      </c>
      <c r="G302" s="29">
        <v>179</v>
      </c>
      <c r="H302" s="28">
        <v>57055</v>
      </c>
      <c r="I302" s="27" t="s">
        <v>59</v>
      </c>
      <c r="J302" s="31" t="s">
        <v>69</v>
      </c>
      <c r="K302" s="27" t="s">
        <v>24</v>
      </c>
      <c r="L302" s="27" t="s">
        <v>1972</v>
      </c>
      <c r="M302" s="32"/>
    </row>
    <row r="303" spans="1:13" ht="15.2" customHeight="1" x14ac:dyDescent="0.2">
      <c r="A303" s="26" t="s">
        <v>8110</v>
      </c>
      <c r="B303" s="27" t="s">
        <v>8111</v>
      </c>
      <c r="C303" s="28">
        <v>1</v>
      </c>
      <c r="D303" s="29">
        <v>52.12</v>
      </c>
      <c r="E303" s="29">
        <v>52.12</v>
      </c>
      <c r="F303" s="30">
        <v>139</v>
      </c>
      <c r="G303" s="29">
        <v>139</v>
      </c>
      <c r="H303" s="28">
        <v>7056922</v>
      </c>
      <c r="I303" s="27" t="s">
        <v>189</v>
      </c>
      <c r="J303" s="31" t="s">
        <v>5184</v>
      </c>
      <c r="K303" s="27" t="s">
        <v>462</v>
      </c>
      <c r="L303" s="27" t="s">
        <v>463</v>
      </c>
      <c r="M303" s="32"/>
    </row>
    <row r="304" spans="1:13" ht="15.2" customHeight="1" x14ac:dyDescent="0.2">
      <c r="A304" s="26" t="s">
        <v>7597</v>
      </c>
      <c r="B304" s="27" t="s">
        <v>7598</v>
      </c>
      <c r="C304" s="28">
        <v>1</v>
      </c>
      <c r="D304" s="29">
        <v>34</v>
      </c>
      <c r="E304" s="29">
        <v>34</v>
      </c>
      <c r="F304" s="30">
        <v>89.5</v>
      </c>
      <c r="G304" s="29">
        <v>89.5</v>
      </c>
      <c r="H304" s="28" t="s">
        <v>464</v>
      </c>
      <c r="I304" s="27" t="s">
        <v>1</v>
      </c>
      <c r="J304" s="31" t="s">
        <v>21</v>
      </c>
      <c r="K304" s="27" t="s">
        <v>17</v>
      </c>
      <c r="L304" s="27" t="s">
        <v>18</v>
      </c>
      <c r="M304" s="32"/>
    </row>
    <row r="305" spans="1:13" ht="15.2" customHeight="1" x14ac:dyDescent="0.2">
      <c r="A305" s="26" t="s">
        <v>7593</v>
      </c>
      <c r="B305" s="27" t="s">
        <v>7594</v>
      </c>
      <c r="C305" s="28">
        <v>1</v>
      </c>
      <c r="D305" s="29">
        <v>34</v>
      </c>
      <c r="E305" s="29">
        <v>34</v>
      </c>
      <c r="F305" s="30">
        <v>99</v>
      </c>
      <c r="G305" s="29">
        <v>99</v>
      </c>
      <c r="H305" s="28" t="s">
        <v>7595</v>
      </c>
      <c r="I305" s="27" t="s">
        <v>291</v>
      </c>
      <c r="J305" s="31" t="s">
        <v>69</v>
      </c>
      <c r="K305" s="27" t="s">
        <v>24</v>
      </c>
      <c r="L305" s="27" t="s">
        <v>25</v>
      </c>
      <c r="M305" s="32"/>
    </row>
    <row r="306" spans="1:13" ht="15.2" customHeight="1" x14ac:dyDescent="0.2">
      <c r="A306" s="26" t="s">
        <v>8112</v>
      </c>
      <c r="B306" s="27" t="s">
        <v>8113</v>
      </c>
      <c r="C306" s="28">
        <v>1</v>
      </c>
      <c r="D306" s="29">
        <v>28</v>
      </c>
      <c r="E306" s="29">
        <v>28</v>
      </c>
      <c r="F306" s="30">
        <v>89</v>
      </c>
      <c r="G306" s="29">
        <v>89</v>
      </c>
      <c r="H306" s="28" t="s">
        <v>8114</v>
      </c>
      <c r="I306" s="27" t="s">
        <v>4</v>
      </c>
      <c r="J306" s="31" t="s">
        <v>23</v>
      </c>
      <c r="K306" s="27" t="s">
        <v>24</v>
      </c>
      <c r="L306" s="27" t="s">
        <v>101</v>
      </c>
      <c r="M306" s="32"/>
    </row>
    <row r="307" spans="1:13" ht="15.2" customHeight="1" x14ac:dyDescent="0.2">
      <c r="A307" s="26" t="s">
        <v>8115</v>
      </c>
      <c r="B307" s="27" t="s">
        <v>8116</v>
      </c>
      <c r="C307" s="28">
        <v>1</v>
      </c>
      <c r="D307" s="29">
        <v>27</v>
      </c>
      <c r="E307" s="29">
        <v>27</v>
      </c>
      <c r="F307" s="30">
        <v>69.5</v>
      </c>
      <c r="G307" s="29">
        <v>69.5</v>
      </c>
      <c r="H307" s="28" t="s">
        <v>6640</v>
      </c>
      <c r="I307" s="27" t="s">
        <v>661</v>
      </c>
      <c r="J307" s="31" t="s">
        <v>71</v>
      </c>
      <c r="K307" s="27" t="s">
        <v>17</v>
      </c>
      <c r="L307" s="27" t="s">
        <v>18</v>
      </c>
      <c r="M307" s="32"/>
    </row>
    <row r="308" spans="1:13" ht="15.2" customHeight="1" x14ac:dyDescent="0.2">
      <c r="A308" s="26" t="s">
        <v>8117</v>
      </c>
      <c r="B308" s="27" t="s">
        <v>8118</v>
      </c>
      <c r="C308" s="28">
        <v>1</v>
      </c>
      <c r="D308" s="29">
        <v>27</v>
      </c>
      <c r="E308" s="29">
        <v>27</v>
      </c>
      <c r="F308" s="30">
        <v>69.5</v>
      </c>
      <c r="G308" s="29">
        <v>69.5</v>
      </c>
      <c r="H308" s="28" t="s">
        <v>3040</v>
      </c>
      <c r="I308" s="27" t="s">
        <v>1</v>
      </c>
      <c r="J308" s="31" t="s">
        <v>5</v>
      </c>
      <c r="K308" s="27" t="s">
        <v>17</v>
      </c>
      <c r="L308" s="27" t="s">
        <v>18</v>
      </c>
      <c r="M308" s="32"/>
    </row>
    <row r="309" spans="1:13" ht="15.2" customHeight="1" x14ac:dyDescent="0.2">
      <c r="A309" s="26" t="s">
        <v>7694</v>
      </c>
      <c r="B309" s="27" t="s">
        <v>7695</v>
      </c>
      <c r="C309" s="28">
        <v>1</v>
      </c>
      <c r="D309" s="29">
        <v>27</v>
      </c>
      <c r="E309" s="29">
        <v>27</v>
      </c>
      <c r="F309" s="30">
        <v>69.5</v>
      </c>
      <c r="G309" s="29">
        <v>69.5</v>
      </c>
      <c r="H309" s="28" t="s">
        <v>7467</v>
      </c>
      <c r="I309" s="27" t="s">
        <v>661</v>
      </c>
      <c r="J309" s="31"/>
      <c r="K309" s="27" t="s">
        <v>17</v>
      </c>
      <c r="L309" s="27" t="s">
        <v>18</v>
      </c>
      <c r="M309" s="32"/>
    </row>
    <row r="310" spans="1:13" ht="15.2" customHeight="1" x14ac:dyDescent="0.2">
      <c r="A310" s="26" t="s">
        <v>3048</v>
      </c>
      <c r="B310" s="27" t="s">
        <v>3049</v>
      </c>
      <c r="C310" s="28">
        <v>1</v>
      </c>
      <c r="D310" s="29">
        <v>26</v>
      </c>
      <c r="E310" s="29">
        <v>26</v>
      </c>
      <c r="F310" s="30">
        <v>79</v>
      </c>
      <c r="G310" s="29">
        <v>79</v>
      </c>
      <c r="H310" s="28" t="s">
        <v>467</v>
      </c>
      <c r="I310" s="27" t="s">
        <v>468</v>
      </c>
      <c r="J310" s="31" t="s">
        <v>205</v>
      </c>
      <c r="K310" s="27" t="s">
        <v>24</v>
      </c>
      <c r="L310" s="27" t="s">
        <v>25</v>
      </c>
      <c r="M310" s="32"/>
    </row>
    <row r="311" spans="1:13" ht="15.2" customHeight="1" x14ac:dyDescent="0.2">
      <c r="A311" s="26" t="s">
        <v>465</v>
      </c>
      <c r="B311" s="27" t="s">
        <v>466</v>
      </c>
      <c r="C311" s="28">
        <v>1</v>
      </c>
      <c r="D311" s="29">
        <v>26</v>
      </c>
      <c r="E311" s="29">
        <v>26</v>
      </c>
      <c r="F311" s="30">
        <v>79</v>
      </c>
      <c r="G311" s="29">
        <v>79</v>
      </c>
      <c r="H311" s="28" t="s">
        <v>467</v>
      </c>
      <c r="I311" s="27" t="s">
        <v>468</v>
      </c>
      <c r="J311" s="31" t="s">
        <v>210</v>
      </c>
      <c r="K311" s="27" t="s">
        <v>24</v>
      </c>
      <c r="L311" s="27" t="s">
        <v>25</v>
      </c>
      <c r="M311" s="32"/>
    </row>
    <row r="312" spans="1:13" ht="15.2" customHeight="1" x14ac:dyDescent="0.2">
      <c r="A312" s="26" t="s">
        <v>7702</v>
      </c>
      <c r="B312" s="27" t="s">
        <v>7703</v>
      </c>
      <c r="C312" s="28">
        <v>1</v>
      </c>
      <c r="D312" s="29">
        <v>24.51</v>
      </c>
      <c r="E312" s="29">
        <v>24.51</v>
      </c>
      <c r="F312" s="30">
        <v>69.5</v>
      </c>
      <c r="G312" s="29">
        <v>69.5</v>
      </c>
      <c r="H312" s="28" t="s">
        <v>962</v>
      </c>
      <c r="I312" s="27" t="s">
        <v>26</v>
      </c>
      <c r="J312" s="31" t="s">
        <v>50</v>
      </c>
      <c r="K312" s="27" t="s">
        <v>12</v>
      </c>
      <c r="L312" s="27" t="s">
        <v>13</v>
      </c>
      <c r="M312" s="32"/>
    </row>
    <row r="313" spans="1:13" ht="15.2" customHeight="1" x14ac:dyDescent="0.2">
      <c r="A313" s="26" t="s">
        <v>8119</v>
      </c>
      <c r="B313" s="27" t="s">
        <v>8120</v>
      </c>
      <c r="C313" s="28">
        <v>1</v>
      </c>
      <c r="D313" s="29">
        <v>24.25</v>
      </c>
      <c r="E313" s="29">
        <v>24.25</v>
      </c>
      <c r="F313" s="30">
        <v>69</v>
      </c>
      <c r="G313" s="29">
        <v>69</v>
      </c>
      <c r="H313" s="28" t="s">
        <v>3488</v>
      </c>
      <c r="I313" s="27" t="s">
        <v>36</v>
      </c>
      <c r="J313" s="31" t="s">
        <v>52</v>
      </c>
      <c r="K313" s="27" t="s">
        <v>37</v>
      </c>
      <c r="L313" s="27" t="s">
        <v>38</v>
      </c>
      <c r="M313" s="32"/>
    </row>
    <row r="314" spans="1:13" ht="15.2" customHeight="1" x14ac:dyDescent="0.2">
      <c r="A314" s="26" t="s">
        <v>5200</v>
      </c>
      <c r="B314" s="27" t="s">
        <v>5201</v>
      </c>
      <c r="C314" s="28">
        <v>1</v>
      </c>
      <c r="D314" s="29">
        <v>23.85</v>
      </c>
      <c r="E314" s="29">
        <v>23.85</v>
      </c>
      <c r="F314" s="30">
        <v>79.5</v>
      </c>
      <c r="G314" s="29">
        <v>79.5</v>
      </c>
      <c r="H314" s="28">
        <v>49022936</v>
      </c>
      <c r="I314" s="27" t="s">
        <v>4</v>
      </c>
      <c r="J314" s="31" t="s">
        <v>52</v>
      </c>
      <c r="K314" s="27" t="s">
        <v>6</v>
      </c>
      <c r="L314" s="27" t="s">
        <v>7</v>
      </c>
      <c r="M314" s="32"/>
    </row>
    <row r="315" spans="1:13" ht="15.2" customHeight="1" x14ac:dyDescent="0.2">
      <c r="A315" s="26" t="s">
        <v>3052</v>
      </c>
      <c r="B315" s="27" t="s">
        <v>3053</v>
      </c>
      <c r="C315" s="28">
        <v>1</v>
      </c>
      <c r="D315" s="29">
        <v>23.09</v>
      </c>
      <c r="E315" s="29">
        <v>23.09</v>
      </c>
      <c r="F315" s="30">
        <v>59.5</v>
      </c>
      <c r="G315" s="29">
        <v>59.5</v>
      </c>
      <c r="H315" s="28" t="s">
        <v>2718</v>
      </c>
      <c r="I315" s="27" t="s">
        <v>4</v>
      </c>
      <c r="J315" s="31" t="s">
        <v>40</v>
      </c>
      <c r="K315" s="27" t="s">
        <v>53</v>
      </c>
      <c r="L315" s="27" t="s">
        <v>54</v>
      </c>
      <c r="M315" s="32"/>
    </row>
    <row r="316" spans="1:13" ht="15.2" customHeight="1" x14ac:dyDescent="0.2">
      <c r="A316" s="26" t="s">
        <v>8121</v>
      </c>
      <c r="B316" s="27" t="s">
        <v>8122</v>
      </c>
      <c r="C316" s="28">
        <v>1</v>
      </c>
      <c r="D316" s="29">
        <v>23</v>
      </c>
      <c r="E316" s="29">
        <v>23</v>
      </c>
      <c r="F316" s="30">
        <v>59.5</v>
      </c>
      <c r="G316" s="29">
        <v>59.5</v>
      </c>
      <c r="H316" s="28" t="s">
        <v>8123</v>
      </c>
      <c r="I316" s="27" t="s">
        <v>357</v>
      </c>
      <c r="J316" s="31" t="s">
        <v>40</v>
      </c>
      <c r="K316" s="27" t="s">
        <v>17</v>
      </c>
      <c r="L316" s="27" t="s">
        <v>18</v>
      </c>
      <c r="M316" s="32"/>
    </row>
    <row r="317" spans="1:13" ht="15.2" customHeight="1" x14ac:dyDescent="0.2">
      <c r="A317" s="26" t="s">
        <v>8124</v>
      </c>
      <c r="B317" s="27" t="s">
        <v>8125</v>
      </c>
      <c r="C317" s="28">
        <v>1</v>
      </c>
      <c r="D317" s="29">
        <v>22</v>
      </c>
      <c r="E317" s="29">
        <v>22</v>
      </c>
      <c r="F317" s="30">
        <v>69</v>
      </c>
      <c r="G317" s="29">
        <v>69</v>
      </c>
      <c r="H317" s="28" t="s">
        <v>1607</v>
      </c>
      <c r="I317" s="27" t="s">
        <v>468</v>
      </c>
      <c r="J317" s="31" t="s">
        <v>234</v>
      </c>
      <c r="K317" s="27" t="s">
        <v>24</v>
      </c>
      <c r="L317" s="27" t="s">
        <v>25</v>
      </c>
      <c r="M317" s="32"/>
    </row>
    <row r="318" spans="1:13" ht="15.2" customHeight="1" x14ac:dyDescent="0.2">
      <c r="A318" s="26" t="s">
        <v>8126</v>
      </c>
      <c r="B318" s="27" t="s">
        <v>8127</v>
      </c>
      <c r="C318" s="28">
        <v>1</v>
      </c>
      <c r="D318" s="29">
        <v>21.8</v>
      </c>
      <c r="E318" s="29">
        <v>21.8</v>
      </c>
      <c r="F318" s="30">
        <v>54.5</v>
      </c>
      <c r="G318" s="29">
        <v>54.5</v>
      </c>
      <c r="H318" s="28" t="s">
        <v>1989</v>
      </c>
      <c r="I318" s="27" t="s">
        <v>59</v>
      </c>
      <c r="J318" s="31" t="s">
        <v>21</v>
      </c>
      <c r="K318" s="27" t="s">
        <v>27</v>
      </c>
      <c r="L318" s="27" t="s">
        <v>28</v>
      </c>
      <c r="M318" s="32"/>
    </row>
    <row r="319" spans="1:13" ht="15.2" customHeight="1" x14ac:dyDescent="0.2">
      <c r="A319" s="26" t="s">
        <v>8128</v>
      </c>
      <c r="B319" s="27" t="s">
        <v>8129</v>
      </c>
      <c r="C319" s="28">
        <v>1</v>
      </c>
      <c r="D319" s="29">
        <v>21.5</v>
      </c>
      <c r="E319" s="29">
        <v>21.5</v>
      </c>
      <c r="F319" s="30">
        <v>69</v>
      </c>
      <c r="G319" s="29">
        <v>69</v>
      </c>
      <c r="H319" s="28" t="s">
        <v>8130</v>
      </c>
      <c r="I319" s="27" t="s">
        <v>26</v>
      </c>
      <c r="J319" s="31"/>
      <c r="K319" s="27" t="s">
        <v>24</v>
      </c>
      <c r="L319" s="27" t="s">
        <v>67</v>
      </c>
      <c r="M319" s="32"/>
    </row>
    <row r="320" spans="1:13" ht="15.2" customHeight="1" x14ac:dyDescent="0.2">
      <c r="A320" s="26" t="s">
        <v>8131</v>
      </c>
      <c r="B320" s="27" t="s">
        <v>8132</v>
      </c>
      <c r="C320" s="28">
        <v>1</v>
      </c>
      <c r="D320" s="29">
        <v>21.5</v>
      </c>
      <c r="E320" s="29">
        <v>21.5</v>
      </c>
      <c r="F320" s="30">
        <v>69</v>
      </c>
      <c r="G320" s="29">
        <v>69</v>
      </c>
      <c r="H320" s="28" t="s">
        <v>3060</v>
      </c>
      <c r="I320" s="27" t="s">
        <v>4</v>
      </c>
      <c r="J320" s="31" t="s">
        <v>5</v>
      </c>
      <c r="K320" s="27" t="s">
        <v>24</v>
      </c>
      <c r="L320" s="27" t="s">
        <v>999</v>
      </c>
      <c r="M320" s="32"/>
    </row>
    <row r="321" spans="1:13" ht="15.2" customHeight="1" x14ac:dyDescent="0.2">
      <c r="A321" s="26" t="s">
        <v>8133</v>
      </c>
      <c r="B321" s="27" t="s">
        <v>8134</v>
      </c>
      <c r="C321" s="28">
        <v>1</v>
      </c>
      <c r="D321" s="29">
        <v>21.5</v>
      </c>
      <c r="E321" s="29">
        <v>21.5</v>
      </c>
      <c r="F321" s="30">
        <v>69</v>
      </c>
      <c r="G321" s="29">
        <v>69</v>
      </c>
      <c r="H321" s="28" t="s">
        <v>3060</v>
      </c>
      <c r="I321" s="27" t="s">
        <v>4</v>
      </c>
      <c r="J321" s="31" t="s">
        <v>40</v>
      </c>
      <c r="K321" s="27" t="s">
        <v>24</v>
      </c>
      <c r="L321" s="27" t="s">
        <v>999</v>
      </c>
      <c r="M321" s="32"/>
    </row>
    <row r="322" spans="1:13" ht="15.2" customHeight="1" x14ac:dyDescent="0.2">
      <c r="A322" s="26" t="s">
        <v>1990</v>
      </c>
      <c r="B322" s="27" t="s">
        <v>1991</v>
      </c>
      <c r="C322" s="28">
        <v>1</v>
      </c>
      <c r="D322" s="29">
        <v>20.85</v>
      </c>
      <c r="E322" s="29">
        <v>20.85</v>
      </c>
      <c r="F322" s="30">
        <v>69.5</v>
      </c>
      <c r="G322" s="29">
        <v>69.5</v>
      </c>
      <c r="H322" s="28">
        <v>60438720</v>
      </c>
      <c r="I322" s="27" t="s">
        <v>82</v>
      </c>
      <c r="J322" s="31" t="s">
        <v>21</v>
      </c>
      <c r="K322" s="27" t="s">
        <v>6</v>
      </c>
      <c r="L322" s="27" t="s">
        <v>7</v>
      </c>
      <c r="M322" s="32"/>
    </row>
    <row r="323" spans="1:13" ht="15.2" customHeight="1" x14ac:dyDescent="0.2">
      <c r="A323" s="26" t="s">
        <v>480</v>
      </c>
      <c r="B323" s="27" t="s">
        <v>481</v>
      </c>
      <c r="C323" s="28">
        <v>1</v>
      </c>
      <c r="D323" s="29">
        <v>20.85</v>
      </c>
      <c r="E323" s="29">
        <v>20.85</v>
      </c>
      <c r="F323" s="30">
        <v>69.5</v>
      </c>
      <c r="G323" s="29">
        <v>69.5</v>
      </c>
      <c r="H323" s="28">
        <v>60438720</v>
      </c>
      <c r="I323" s="27" t="s">
        <v>4</v>
      </c>
      <c r="J323" s="31" t="s">
        <v>21</v>
      </c>
      <c r="K323" s="27" t="s">
        <v>6</v>
      </c>
      <c r="L323" s="27" t="s">
        <v>7</v>
      </c>
      <c r="M323" s="32"/>
    </row>
    <row r="324" spans="1:13" ht="15.2" customHeight="1" x14ac:dyDescent="0.2">
      <c r="A324" s="26" t="s">
        <v>8135</v>
      </c>
      <c r="B324" s="27" t="s">
        <v>8136</v>
      </c>
      <c r="C324" s="28">
        <v>1</v>
      </c>
      <c r="D324" s="29">
        <v>20</v>
      </c>
      <c r="E324" s="29">
        <v>20</v>
      </c>
      <c r="F324" s="30">
        <v>49.99</v>
      </c>
      <c r="G324" s="29">
        <v>49.99</v>
      </c>
      <c r="H324" s="28" t="s">
        <v>8137</v>
      </c>
      <c r="I324" s="27" t="s">
        <v>26</v>
      </c>
      <c r="J324" s="31"/>
      <c r="K324" s="27" t="s">
        <v>70</v>
      </c>
      <c r="L324" s="27" t="s">
        <v>67</v>
      </c>
      <c r="M324" s="32"/>
    </row>
    <row r="325" spans="1:13" ht="15.2" customHeight="1" x14ac:dyDescent="0.2">
      <c r="A325" s="26" t="s">
        <v>8138</v>
      </c>
      <c r="B325" s="27" t="s">
        <v>8139</v>
      </c>
      <c r="C325" s="28">
        <v>1</v>
      </c>
      <c r="D325" s="29">
        <v>19.5</v>
      </c>
      <c r="E325" s="29">
        <v>19.5</v>
      </c>
      <c r="F325" s="30">
        <v>59</v>
      </c>
      <c r="G325" s="29">
        <v>59</v>
      </c>
      <c r="H325" s="28">
        <v>49377</v>
      </c>
      <c r="I325" s="27"/>
      <c r="J325" s="31"/>
      <c r="K325" s="27" t="s">
        <v>24</v>
      </c>
      <c r="L325" s="27" t="s">
        <v>35</v>
      </c>
      <c r="M325" s="32"/>
    </row>
    <row r="326" spans="1:13" ht="15.2" customHeight="1" x14ac:dyDescent="0.2">
      <c r="A326" s="26" t="s">
        <v>5509</v>
      </c>
      <c r="B326" s="27" t="s">
        <v>5510</v>
      </c>
      <c r="C326" s="28">
        <v>1</v>
      </c>
      <c r="D326" s="29">
        <v>19</v>
      </c>
      <c r="E326" s="29">
        <v>19</v>
      </c>
      <c r="F326" s="30">
        <v>49.5</v>
      </c>
      <c r="G326" s="29">
        <v>49.5</v>
      </c>
      <c r="H326" s="28" t="s">
        <v>978</v>
      </c>
      <c r="I326" s="27" t="s">
        <v>20</v>
      </c>
      <c r="J326" s="31" t="s">
        <v>21</v>
      </c>
      <c r="K326" s="27" t="s">
        <v>17</v>
      </c>
      <c r="L326" s="27" t="s">
        <v>18</v>
      </c>
      <c r="M326" s="32"/>
    </row>
    <row r="327" spans="1:13" ht="15.2" customHeight="1" x14ac:dyDescent="0.2">
      <c r="A327" s="26" t="s">
        <v>7267</v>
      </c>
      <c r="B327" s="27" t="s">
        <v>7268</v>
      </c>
      <c r="C327" s="28">
        <v>2</v>
      </c>
      <c r="D327" s="29">
        <v>19</v>
      </c>
      <c r="E327" s="29">
        <v>38</v>
      </c>
      <c r="F327" s="30">
        <v>49.5</v>
      </c>
      <c r="G327" s="29">
        <v>99</v>
      </c>
      <c r="H327" s="28" t="s">
        <v>978</v>
      </c>
      <c r="I327" s="27" t="s">
        <v>20</v>
      </c>
      <c r="J327" s="31" t="s">
        <v>40</v>
      </c>
      <c r="K327" s="27" t="s">
        <v>17</v>
      </c>
      <c r="L327" s="27" t="s">
        <v>18</v>
      </c>
      <c r="M327" s="32"/>
    </row>
    <row r="328" spans="1:13" ht="15.2" customHeight="1" x14ac:dyDescent="0.2">
      <c r="A328" s="26" t="s">
        <v>2432</v>
      </c>
      <c r="B328" s="27" t="s">
        <v>2433</v>
      </c>
      <c r="C328" s="28">
        <v>1</v>
      </c>
      <c r="D328" s="29">
        <v>19</v>
      </c>
      <c r="E328" s="29">
        <v>19</v>
      </c>
      <c r="F328" s="30">
        <v>49.5</v>
      </c>
      <c r="G328" s="29">
        <v>49.5</v>
      </c>
      <c r="H328" s="28" t="s">
        <v>978</v>
      </c>
      <c r="I328" s="27" t="s">
        <v>20</v>
      </c>
      <c r="J328" s="31" t="s">
        <v>71</v>
      </c>
      <c r="K328" s="27" t="s">
        <v>17</v>
      </c>
      <c r="L328" s="27" t="s">
        <v>18</v>
      </c>
      <c r="M328" s="32"/>
    </row>
    <row r="329" spans="1:13" ht="15.2" customHeight="1" x14ac:dyDescent="0.2">
      <c r="A329" s="26" t="s">
        <v>2428</v>
      </c>
      <c r="B329" s="27" t="s">
        <v>2429</v>
      </c>
      <c r="C329" s="28">
        <v>1</v>
      </c>
      <c r="D329" s="29">
        <v>19</v>
      </c>
      <c r="E329" s="29">
        <v>19</v>
      </c>
      <c r="F329" s="30">
        <v>49.5</v>
      </c>
      <c r="G329" s="29">
        <v>49.5</v>
      </c>
      <c r="H329" s="28" t="s">
        <v>978</v>
      </c>
      <c r="I329" s="27" t="s">
        <v>20</v>
      </c>
      <c r="J329" s="31" t="s">
        <v>5</v>
      </c>
      <c r="K329" s="27" t="s">
        <v>17</v>
      </c>
      <c r="L329" s="27" t="s">
        <v>18</v>
      </c>
      <c r="M329" s="32"/>
    </row>
    <row r="330" spans="1:13" ht="15.2" customHeight="1" x14ac:dyDescent="0.2">
      <c r="A330" s="26" t="s">
        <v>8140</v>
      </c>
      <c r="B330" s="27" t="s">
        <v>8141</v>
      </c>
      <c r="C330" s="28">
        <v>1</v>
      </c>
      <c r="D330" s="29">
        <v>19</v>
      </c>
      <c r="E330" s="29">
        <v>19</v>
      </c>
      <c r="F330" s="30">
        <v>49.5</v>
      </c>
      <c r="G330" s="29">
        <v>49.5</v>
      </c>
      <c r="H330" s="28" t="s">
        <v>1614</v>
      </c>
      <c r="I330" s="27" t="s">
        <v>144</v>
      </c>
      <c r="J330" s="31" t="s">
        <v>5</v>
      </c>
      <c r="K330" s="27" t="s">
        <v>17</v>
      </c>
      <c r="L330" s="27" t="s">
        <v>18</v>
      </c>
      <c r="M330" s="32"/>
    </row>
    <row r="331" spans="1:13" ht="15.2" customHeight="1" x14ac:dyDescent="0.2">
      <c r="A331" s="26" t="s">
        <v>4383</v>
      </c>
      <c r="B331" s="27" t="s">
        <v>982</v>
      </c>
      <c r="C331" s="28">
        <v>1</v>
      </c>
      <c r="D331" s="29">
        <v>18.420000000000002</v>
      </c>
      <c r="E331" s="29">
        <v>18.420000000000002</v>
      </c>
      <c r="F331" s="30">
        <v>49.5</v>
      </c>
      <c r="G331" s="29">
        <v>49.5</v>
      </c>
      <c r="H331" s="28" t="s">
        <v>983</v>
      </c>
      <c r="I331" s="27" t="s">
        <v>4</v>
      </c>
      <c r="J331" s="31" t="s">
        <v>52</v>
      </c>
      <c r="K331" s="27" t="s">
        <v>53</v>
      </c>
      <c r="L331" s="27" t="s">
        <v>54</v>
      </c>
      <c r="M331" s="32"/>
    </row>
    <row r="332" spans="1:13" ht="15.2" customHeight="1" x14ac:dyDescent="0.2">
      <c r="A332" s="26" t="s">
        <v>2439</v>
      </c>
      <c r="B332" s="27" t="s">
        <v>494</v>
      </c>
      <c r="C332" s="28">
        <v>1</v>
      </c>
      <c r="D332" s="29">
        <v>18.07</v>
      </c>
      <c r="E332" s="29">
        <v>18.07</v>
      </c>
      <c r="F332" s="30">
        <v>49.5</v>
      </c>
      <c r="G332" s="29">
        <v>49.5</v>
      </c>
      <c r="H332" s="28" t="s">
        <v>495</v>
      </c>
      <c r="I332" s="27" t="s">
        <v>82</v>
      </c>
      <c r="J332" s="31" t="s">
        <v>21</v>
      </c>
      <c r="K332" s="27" t="s">
        <v>41</v>
      </c>
      <c r="L332" s="27" t="s">
        <v>45</v>
      </c>
      <c r="M332" s="32"/>
    </row>
    <row r="333" spans="1:13" ht="15.2" customHeight="1" x14ac:dyDescent="0.2">
      <c r="A333" s="26" t="s">
        <v>2440</v>
      </c>
      <c r="B333" s="27" t="s">
        <v>985</v>
      </c>
      <c r="C333" s="28">
        <v>1</v>
      </c>
      <c r="D333" s="29">
        <v>18.04</v>
      </c>
      <c r="E333" s="29">
        <v>18.04</v>
      </c>
      <c r="F333" s="30">
        <v>49.5</v>
      </c>
      <c r="G333" s="29">
        <v>49.5</v>
      </c>
      <c r="H333" s="28" t="s">
        <v>986</v>
      </c>
      <c r="I333" s="27" t="s">
        <v>82</v>
      </c>
      <c r="J333" s="31" t="s">
        <v>5</v>
      </c>
      <c r="K333" s="27" t="s">
        <v>41</v>
      </c>
      <c r="L333" s="27" t="s">
        <v>45</v>
      </c>
      <c r="M333" s="32"/>
    </row>
    <row r="334" spans="1:13" ht="15.2" customHeight="1" x14ac:dyDescent="0.2">
      <c r="A334" s="26" t="s">
        <v>2000</v>
      </c>
      <c r="B334" s="27" t="s">
        <v>985</v>
      </c>
      <c r="C334" s="28">
        <v>1</v>
      </c>
      <c r="D334" s="29">
        <v>18.04</v>
      </c>
      <c r="E334" s="29">
        <v>18.04</v>
      </c>
      <c r="F334" s="30">
        <v>49.5</v>
      </c>
      <c r="G334" s="29">
        <v>49.5</v>
      </c>
      <c r="H334" s="28" t="s">
        <v>986</v>
      </c>
      <c r="I334" s="27" t="s">
        <v>82</v>
      </c>
      <c r="J334" s="31" t="s">
        <v>21</v>
      </c>
      <c r="K334" s="27" t="s">
        <v>41</v>
      </c>
      <c r="L334" s="27" t="s">
        <v>45</v>
      </c>
      <c r="M334" s="32"/>
    </row>
    <row r="335" spans="1:13" ht="15.2" customHeight="1" x14ac:dyDescent="0.2">
      <c r="A335" s="26" t="s">
        <v>8142</v>
      </c>
      <c r="B335" s="27" t="s">
        <v>8143</v>
      </c>
      <c r="C335" s="28">
        <v>1</v>
      </c>
      <c r="D335" s="29">
        <v>18</v>
      </c>
      <c r="E335" s="29">
        <v>18</v>
      </c>
      <c r="F335" s="30">
        <v>44.99</v>
      </c>
      <c r="G335" s="29">
        <v>44.99</v>
      </c>
      <c r="H335" s="28" t="s">
        <v>8144</v>
      </c>
      <c r="I335" s="27" t="s">
        <v>519</v>
      </c>
      <c r="J335" s="31" t="s">
        <v>21</v>
      </c>
      <c r="K335" s="27" t="s">
        <v>70</v>
      </c>
      <c r="L335" s="27" t="s">
        <v>155</v>
      </c>
      <c r="M335" s="32"/>
    </row>
    <row r="336" spans="1:13" ht="15.2" customHeight="1" x14ac:dyDescent="0.2">
      <c r="A336" s="26" t="s">
        <v>2441</v>
      </c>
      <c r="B336" s="27" t="s">
        <v>2442</v>
      </c>
      <c r="C336" s="28">
        <v>1</v>
      </c>
      <c r="D336" s="29">
        <v>17.72</v>
      </c>
      <c r="E336" s="29">
        <v>17.72</v>
      </c>
      <c r="F336" s="30">
        <v>49.5</v>
      </c>
      <c r="G336" s="29">
        <v>49.5</v>
      </c>
      <c r="H336" s="28" t="s">
        <v>2443</v>
      </c>
      <c r="I336" s="27" t="s">
        <v>4</v>
      </c>
      <c r="J336" s="31" t="s">
        <v>40</v>
      </c>
      <c r="K336" s="27" t="s">
        <v>53</v>
      </c>
      <c r="L336" s="27" t="s">
        <v>54</v>
      </c>
      <c r="M336" s="32"/>
    </row>
    <row r="337" spans="1:13" ht="15.2" customHeight="1" x14ac:dyDescent="0.2">
      <c r="A337" s="26" t="s">
        <v>8145</v>
      </c>
      <c r="B337" s="27" t="s">
        <v>8146</v>
      </c>
      <c r="C337" s="28">
        <v>1</v>
      </c>
      <c r="D337" s="29">
        <v>17</v>
      </c>
      <c r="E337" s="29">
        <v>17</v>
      </c>
      <c r="F337" s="30">
        <v>44.5</v>
      </c>
      <c r="G337" s="29">
        <v>44.5</v>
      </c>
      <c r="H337" s="28" t="s">
        <v>8147</v>
      </c>
      <c r="I337" s="27" t="s">
        <v>215</v>
      </c>
      <c r="J337" s="31" t="s">
        <v>52</v>
      </c>
      <c r="K337" s="27" t="s">
        <v>17</v>
      </c>
      <c r="L337" s="27" t="s">
        <v>18</v>
      </c>
      <c r="M337" s="32"/>
    </row>
    <row r="338" spans="1:13" ht="15.2" customHeight="1" x14ac:dyDescent="0.2">
      <c r="A338" s="26" t="s">
        <v>8148</v>
      </c>
      <c r="B338" s="27" t="s">
        <v>8149</v>
      </c>
      <c r="C338" s="28">
        <v>1</v>
      </c>
      <c r="D338" s="29">
        <v>17</v>
      </c>
      <c r="E338" s="29">
        <v>17</v>
      </c>
      <c r="F338" s="30">
        <v>44.99</v>
      </c>
      <c r="G338" s="29">
        <v>44.99</v>
      </c>
      <c r="H338" s="28" t="s">
        <v>1623</v>
      </c>
      <c r="I338" s="27" t="s">
        <v>59</v>
      </c>
      <c r="J338" s="31" t="s">
        <v>230</v>
      </c>
      <c r="K338" s="27" t="s">
        <v>70</v>
      </c>
      <c r="L338" s="27" t="s">
        <v>1079</v>
      </c>
      <c r="M338" s="32"/>
    </row>
    <row r="339" spans="1:13" ht="15.2" customHeight="1" x14ac:dyDescent="0.2">
      <c r="A339" s="26" t="s">
        <v>7273</v>
      </c>
      <c r="B339" s="27" t="s">
        <v>7274</v>
      </c>
      <c r="C339" s="28">
        <v>1</v>
      </c>
      <c r="D339" s="29">
        <v>17</v>
      </c>
      <c r="E339" s="29">
        <v>17</v>
      </c>
      <c r="F339" s="30">
        <v>41.99</v>
      </c>
      <c r="G339" s="29">
        <v>41.99</v>
      </c>
      <c r="H339" s="28" t="s">
        <v>7275</v>
      </c>
      <c r="I339" s="27" t="s">
        <v>94</v>
      </c>
      <c r="J339" s="31" t="s">
        <v>5</v>
      </c>
      <c r="K339" s="27" t="s">
        <v>70</v>
      </c>
      <c r="L339" s="27" t="s">
        <v>101</v>
      </c>
      <c r="M339" s="32"/>
    </row>
    <row r="340" spans="1:13" ht="15.2" customHeight="1" x14ac:dyDescent="0.2">
      <c r="A340" s="26" t="s">
        <v>8150</v>
      </c>
      <c r="B340" s="27" t="s">
        <v>8151</v>
      </c>
      <c r="C340" s="28">
        <v>1</v>
      </c>
      <c r="D340" s="29">
        <v>17</v>
      </c>
      <c r="E340" s="29">
        <v>17</v>
      </c>
      <c r="F340" s="30">
        <v>44.5</v>
      </c>
      <c r="G340" s="29">
        <v>44.5</v>
      </c>
      <c r="H340" s="28" t="s">
        <v>7282</v>
      </c>
      <c r="I340" s="27" t="s">
        <v>82</v>
      </c>
      <c r="J340" s="31" t="s">
        <v>40</v>
      </c>
      <c r="K340" s="27" t="s">
        <v>17</v>
      </c>
      <c r="L340" s="27" t="s">
        <v>18</v>
      </c>
      <c r="M340" s="32"/>
    </row>
    <row r="341" spans="1:13" ht="15.2" customHeight="1" x14ac:dyDescent="0.2">
      <c r="A341" s="26" t="s">
        <v>8152</v>
      </c>
      <c r="B341" s="27" t="s">
        <v>4029</v>
      </c>
      <c r="C341" s="28">
        <v>1</v>
      </c>
      <c r="D341" s="29">
        <v>17</v>
      </c>
      <c r="E341" s="29">
        <v>17</v>
      </c>
      <c r="F341" s="30">
        <v>41.99</v>
      </c>
      <c r="G341" s="29">
        <v>41.99</v>
      </c>
      <c r="H341" s="28" t="s">
        <v>992</v>
      </c>
      <c r="I341" s="27" t="s">
        <v>22</v>
      </c>
      <c r="J341" s="31" t="s">
        <v>172</v>
      </c>
      <c r="K341" s="27" t="s">
        <v>70</v>
      </c>
      <c r="L341" s="27" t="s">
        <v>155</v>
      </c>
      <c r="M341" s="32"/>
    </row>
    <row r="342" spans="1:13" ht="15.2" customHeight="1" x14ac:dyDescent="0.2">
      <c r="A342" s="26" t="s">
        <v>499</v>
      </c>
      <c r="B342" s="27" t="s">
        <v>500</v>
      </c>
      <c r="C342" s="28">
        <v>1</v>
      </c>
      <c r="D342" s="29">
        <v>17</v>
      </c>
      <c r="E342" s="29">
        <v>17</v>
      </c>
      <c r="F342" s="30">
        <v>44.5</v>
      </c>
      <c r="G342" s="29">
        <v>44.5</v>
      </c>
      <c r="H342" s="28" t="s">
        <v>501</v>
      </c>
      <c r="I342" s="27" t="s">
        <v>215</v>
      </c>
      <c r="J342" s="31" t="s">
        <v>71</v>
      </c>
      <c r="K342" s="27" t="s">
        <v>17</v>
      </c>
      <c r="L342" s="27" t="s">
        <v>18</v>
      </c>
      <c r="M342" s="32"/>
    </row>
    <row r="343" spans="1:13" ht="15.2" customHeight="1" x14ac:dyDescent="0.2">
      <c r="A343" s="26" t="s">
        <v>4032</v>
      </c>
      <c r="B343" s="27" t="s">
        <v>4033</v>
      </c>
      <c r="C343" s="28">
        <v>1</v>
      </c>
      <c r="D343" s="29">
        <v>16.91</v>
      </c>
      <c r="E343" s="29">
        <v>16.91</v>
      </c>
      <c r="F343" s="30">
        <v>39.5</v>
      </c>
      <c r="G343" s="29">
        <v>39.5</v>
      </c>
      <c r="H343" s="28" t="s">
        <v>3528</v>
      </c>
      <c r="I343" s="27" t="s">
        <v>4</v>
      </c>
      <c r="J343" s="31" t="s">
        <v>40</v>
      </c>
      <c r="K343" s="27" t="s">
        <v>53</v>
      </c>
      <c r="L343" s="27" t="s">
        <v>54</v>
      </c>
      <c r="M343" s="32"/>
    </row>
    <row r="344" spans="1:13" ht="15.2" customHeight="1" x14ac:dyDescent="0.2">
      <c r="A344" s="26" t="s">
        <v>4514</v>
      </c>
      <c r="B344" s="27" t="s">
        <v>4515</v>
      </c>
      <c r="C344" s="28">
        <v>1</v>
      </c>
      <c r="D344" s="29">
        <v>16.91</v>
      </c>
      <c r="E344" s="29">
        <v>16.91</v>
      </c>
      <c r="F344" s="30">
        <v>39.5</v>
      </c>
      <c r="G344" s="29">
        <v>39.5</v>
      </c>
      <c r="H344" s="28" t="s">
        <v>3528</v>
      </c>
      <c r="I344" s="27" t="s">
        <v>4</v>
      </c>
      <c r="J344" s="31" t="s">
        <v>71</v>
      </c>
      <c r="K344" s="27" t="s">
        <v>53</v>
      </c>
      <c r="L344" s="27" t="s">
        <v>54</v>
      </c>
      <c r="M344" s="32"/>
    </row>
    <row r="345" spans="1:13" ht="15.2" customHeight="1" x14ac:dyDescent="0.2">
      <c r="A345" s="26" t="s">
        <v>4034</v>
      </c>
      <c r="B345" s="27" t="s">
        <v>505</v>
      </c>
      <c r="C345" s="28">
        <v>1</v>
      </c>
      <c r="D345" s="29">
        <v>16.88</v>
      </c>
      <c r="E345" s="29">
        <v>16.88</v>
      </c>
      <c r="F345" s="30">
        <v>49.5</v>
      </c>
      <c r="G345" s="29">
        <v>49.5</v>
      </c>
      <c r="H345" s="28" t="s">
        <v>506</v>
      </c>
      <c r="I345" s="27" t="s">
        <v>82</v>
      </c>
      <c r="J345" s="31" t="s">
        <v>5</v>
      </c>
      <c r="K345" s="27" t="s">
        <v>53</v>
      </c>
      <c r="L345" s="27" t="s">
        <v>167</v>
      </c>
      <c r="M345" s="32"/>
    </row>
    <row r="346" spans="1:13" ht="15.2" customHeight="1" x14ac:dyDescent="0.2">
      <c r="A346" s="26" t="s">
        <v>6684</v>
      </c>
      <c r="B346" s="27" t="s">
        <v>505</v>
      </c>
      <c r="C346" s="28">
        <v>1</v>
      </c>
      <c r="D346" s="29">
        <v>16.88</v>
      </c>
      <c r="E346" s="29">
        <v>16.88</v>
      </c>
      <c r="F346" s="30">
        <v>49.5</v>
      </c>
      <c r="G346" s="29">
        <v>49.5</v>
      </c>
      <c r="H346" s="28" t="s">
        <v>506</v>
      </c>
      <c r="I346" s="27" t="s">
        <v>2956</v>
      </c>
      <c r="J346" s="31" t="s">
        <v>21</v>
      </c>
      <c r="K346" s="27" t="s">
        <v>53</v>
      </c>
      <c r="L346" s="27" t="s">
        <v>167</v>
      </c>
      <c r="M346" s="32"/>
    </row>
    <row r="347" spans="1:13" ht="15.2" customHeight="1" x14ac:dyDescent="0.2">
      <c r="A347" s="26" t="s">
        <v>2451</v>
      </c>
      <c r="B347" s="27" t="s">
        <v>2452</v>
      </c>
      <c r="C347" s="28">
        <v>1</v>
      </c>
      <c r="D347" s="29">
        <v>16.329999999999998</v>
      </c>
      <c r="E347" s="29">
        <v>16.329999999999998</v>
      </c>
      <c r="F347" s="30">
        <v>44.5</v>
      </c>
      <c r="G347" s="29">
        <v>44.5</v>
      </c>
      <c r="H347" s="28" t="s">
        <v>1005</v>
      </c>
      <c r="I347" s="27" t="s">
        <v>4</v>
      </c>
      <c r="J347" s="31" t="s">
        <v>52</v>
      </c>
      <c r="K347" s="27" t="s">
        <v>53</v>
      </c>
      <c r="L347" s="27" t="s">
        <v>54</v>
      </c>
      <c r="M347" s="32"/>
    </row>
    <row r="348" spans="1:13" ht="15.2" customHeight="1" x14ac:dyDescent="0.2">
      <c r="A348" s="26" t="s">
        <v>8153</v>
      </c>
      <c r="B348" s="27" t="s">
        <v>8154</v>
      </c>
      <c r="C348" s="28">
        <v>1</v>
      </c>
      <c r="D348" s="29">
        <v>16.329999999999998</v>
      </c>
      <c r="E348" s="29">
        <v>16.329999999999998</v>
      </c>
      <c r="F348" s="30">
        <v>44.5</v>
      </c>
      <c r="G348" s="29">
        <v>44.5</v>
      </c>
      <c r="H348" s="28" t="s">
        <v>1005</v>
      </c>
      <c r="I348" s="27" t="s">
        <v>4</v>
      </c>
      <c r="J348" s="31" t="s">
        <v>40</v>
      </c>
      <c r="K348" s="27" t="s">
        <v>53</v>
      </c>
      <c r="L348" s="27" t="s">
        <v>54</v>
      </c>
      <c r="M348" s="32"/>
    </row>
    <row r="349" spans="1:13" ht="15.2" customHeight="1" x14ac:dyDescent="0.2">
      <c r="A349" s="26" t="s">
        <v>8155</v>
      </c>
      <c r="B349" s="27" t="s">
        <v>8156</v>
      </c>
      <c r="C349" s="28">
        <v>1</v>
      </c>
      <c r="D349" s="29">
        <v>15.75</v>
      </c>
      <c r="E349" s="29">
        <v>15.75</v>
      </c>
      <c r="F349" s="30">
        <v>49</v>
      </c>
      <c r="G349" s="29">
        <v>49</v>
      </c>
      <c r="H349" s="28" t="s">
        <v>2453</v>
      </c>
      <c r="I349" s="27" t="s">
        <v>4</v>
      </c>
      <c r="J349" s="31" t="s">
        <v>5</v>
      </c>
      <c r="K349" s="27" t="s">
        <v>37</v>
      </c>
      <c r="L349" s="27" t="s">
        <v>38</v>
      </c>
      <c r="M349" s="32"/>
    </row>
    <row r="350" spans="1:13" ht="15.2" customHeight="1" x14ac:dyDescent="0.2">
      <c r="A350" s="26" t="s">
        <v>8157</v>
      </c>
      <c r="B350" s="27" t="s">
        <v>1627</v>
      </c>
      <c r="C350" s="28">
        <v>1</v>
      </c>
      <c r="D350" s="29">
        <v>15.61</v>
      </c>
      <c r="E350" s="29">
        <v>15.61</v>
      </c>
      <c r="F350" s="30">
        <v>44.5</v>
      </c>
      <c r="G350" s="29">
        <v>44.5</v>
      </c>
      <c r="H350" s="28" t="s">
        <v>1628</v>
      </c>
      <c r="I350" s="27" t="s">
        <v>22</v>
      </c>
      <c r="J350" s="31" t="s">
        <v>21</v>
      </c>
      <c r="K350" s="27" t="s">
        <v>41</v>
      </c>
      <c r="L350" s="27" t="s">
        <v>45</v>
      </c>
      <c r="M350" s="32"/>
    </row>
    <row r="351" spans="1:13" ht="15.2" customHeight="1" x14ac:dyDescent="0.2">
      <c r="A351" s="26" t="s">
        <v>8158</v>
      </c>
      <c r="B351" s="27" t="s">
        <v>8159</v>
      </c>
      <c r="C351" s="28">
        <v>1</v>
      </c>
      <c r="D351" s="29">
        <v>15.4</v>
      </c>
      <c r="E351" s="29">
        <v>15.4</v>
      </c>
      <c r="F351" s="30">
        <v>44</v>
      </c>
      <c r="G351" s="29">
        <v>44</v>
      </c>
      <c r="H351" s="28" t="s">
        <v>8160</v>
      </c>
      <c r="I351" s="27" t="s">
        <v>82</v>
      </c>
      <c r="J351" s="31" t="s">
        <v>172</v>
      </c>
      <c r="K351" s="27" t="s">
        <v>37</v>
      </c>
      <c r="L351" s="27" t="s">
        <v>38</v>
      </c>
      <c r="M351" s="32"/>
    </row>
    <row r="352" spans="1:13" ht="15.2" customHeight="1" x14ac:dyDescent="0.2">
      <c r="A352" s="26" t="s">
        <v>2744</v>
      </c>
      <c r="B352" s="27" t="s">
        <v>2745</v>
      </c>
      <c r="C352" s="28">
        <v>1</v>
      </c>
      <c r="D352" s="29">
        <v>15</v>
      </c>
      <c r="E352" s="29">
        <v>15</v>
      </c>
      <c r="F352" s="30">
        <v>45</v>
      </c>
      <c r="G352" s="29">
        <v>45</v>
      </c>
      <c r="H352" s="28" t="s">
        <v>2746</v>
      </c>
      <c r="I352" s="27" t="s">
        <v>82</v>
      </c>
      <c r="J352" s="31" t="s">
        <v>113</v>
      </c>
      <c r="K352" s="27" t="s">
        <v>154</v>
      </c>
      <c r="L352" s="27" t="s">
        <v>155</v>
      </c>
      <c r="M352" s="32"/>
    </row>
    <row r="353" spans="1:13" ht="15.2" customHeight="1" x14ac:dyDescent="0.2">
      <c r="A353" s="26" t="s">
        <v>8161</v>
      </c>
      <c r="B353" s="27" t="s">
        <v>4242</v>
      </c>
      <c r="C353" s="28">
        <v>1</v>
      </c>
      <c r="D353" s="29">
        <v>15</v>
      </c>
      <c r="E353" s="29">
        <v>15</v>
      </c>
      <c r="F353" s="30">
        <v>59</v>
      </c>
      <c r="G353" s="29">
        <v>59</v>
      </c>
      <c r="H353" s="28" t="s">
        <v>4243</v>
      </c>
      <c r="I353" s="27" t="s">
        <v>285</v>
      </c>
      <c r="J353" s="31" t="s">
        <v>71</v>
      </c>
      <c r="K353" s="27" t="s">
        <v>24</v>
      </c>
      <c r="L353" s="27" t="s">
        <v>1079</v>
      </c>
      <c r="M353" s="32"/>
    </row>
    <row r="354" spans="1:13" ht="15.2" customHeight="1" x14ac:dyDescent="0.2">
      <c r="A354" s="26" t="s">
        <v>4387</v>
      </c>
      <c r="B354" s="27" t="s">
        <v>4388</v>
      </c>
      <c r="C354" s="28">
        <v>1</v>
      </c>
      <c r="D354" s="29">
        <v>15</v>
      </c>
      <c r="E354" s="29">
        <v>15</v>
      </c>
      <c r="F354" s="30">
        <v>49</v>
      </c>
      <c r="G354" s="29">
        <v>49</v>
      </c>
      <c r="H354" s="28" t="s">
        <v>3074</v>
      </c>
      <c r="I354" s="27" t="s">
        <v>4</v>
      </c>
      <c r="J354" s="31" t="s">
        <v>5</v>
      </c>
      <c r="K354" s="27" t="s">
        <v>24</v>
      </c>
      <c r="L354" s="27" t="s">
        <v>101</v>
      </c>
      <c r="M354" s="32"/>
    </row>
    <row r="355" spans="1:13" ht="15.2" customHeight="1" x14ac:dyDescent="0.2">
      <c r="A355" s="26" t="s">
        <v>2747</v>
      </c>
      <c r="B355" s="27" t="s">
        <v>2455</v>
      </c>
      <c r="C355" s="28">
        <v>1</v>
      </c>
      <c r="D355" s="29">
        <v>14.5</v>
      </c>
      <c r="E355" s="29">
        <v>14.5</v>
      </c>
      <c r="F355" s="30">
        <v>39.5</v>
      </c>
      <c r="G355" s="29">
        <v>39.5</v>
      </c>
      <c r="H355" s="28" t="s">
        <v>2456</v>
      </c>
      <c r="I355" s="27" t="s">
        <v>82</v>
      </c>
      <c r="J355" s="31" t="s">
        <v>5</v>
      </c>
      <c r="K355" s="27" t="s">
        <v>41</v>
      </c>
      <c r="L355" s="27" t="s">
        <v>45</v>
      </c>
      <c r="M355" s="32"/>
    </row>
    <row r="356" spans="1:13" ht="15.2" customHeight="1" x14ac:dyDescent="0.2">
      <c r="A356" s="26" t="s">
        <v>6308</v>
      </c>
      <c r="B356" s="27" t="s">
        <v>6309</v>
      </c>
      <c r="C356" s="28">
        <v>1</v>
      </c>
      <c r="D356" s="29">
        <v>14.45</v>
      </c>
      <c r="E356" s="29">
        <v>14.45</v>
      </c>
      <c r="F356" s="30">
        <v>39.5</v>
      </c>
      <c r="G356" s="29">
        <v>39.5</v>
      </c>
      <c r="H356" s="28" t="s">
        <v>2457</v>
      </c>
      <c r="I356" s="27" t="s">
        <v>291</v>
      </c>
      <c r="J356" s="31" t="s">
        <v>71</v>
      </c>
      <c r="K356" s="27" t="s">
        <v>53</v>
      </c>
      <c r="L356" s="27" t="s">
        <v>54</v>
      </c>
      <c r="M356" s="32"/>
    </row>
    <row r="357" spans="1:13" ht="15.2" customHeight="1" x14ac:dyDescent="0.2">
      <c r="A357" s="26" t="s">
        <v>3076</v>
      </c>
      <c r="B357" s="27" t="s">
        <v>534</v>
      </c>
      <c r="C357" s="28">
        <v>1</v>
      </c>
      <c r="D357" s="29">
        <v>14.42</v>
      </c>
      <c r="E357" s="29">
        <v>14.42</v>
      </c>
      <c r="F357" s="30">
        <v>39.5</v>
      </c>
      <c r="G357" s="29">
        <v>39.5</v>
      </c>
      <c r="H357" s="28" t="s">
        <v>535</v>
      </c>
      <c r="I357" s="27" t="s">
        <v>94</v>
      </c>
      <c r="J357" s="31" t="s">
        <v>21</v>
      </c>
      <c r="K357" s="27" t="s">
        <v>41</v>
      </c>
      <c r="L357" s="27" t="s">
        <v>45</v>
      </c>
      <c r="M357" s="32"/>
    </row>
    <row r="358" spans="1:13" ht="15.2" customHeight="1" x14ac:dyDescent="0.2">
      <c r="A358" s="26" t="s">
        <v>2462</v>
      </c>
      <c r="B358" s="27" t="s">
        <v>528</v>
      </c>
      <c r="C358" s="28">
        <v>2</v>
      </c>
      <c r="D358" s="29">
        <v>14.42</v>
      </c>
      <c r="E358" s="29">
        <v>28.84</v>
      </c>
      <c r="F358" s="30">
        <v>39.5</v>
      </c>
      <c r="G358" s="29">
        <v>79</v>
      </c>
      <c r="H358" s="28" t="s">
        <v>529</v>
      </c>
      <c r="I358" s="27" t="s">
        <v>280</v>
      </c>
      <c r="J358" s="31" t="s">
        <v>21</v>
      </c>
      <c r="K358" s="27" t="s">
        <v>41</v>
      </c>
      <c r="L358" s="27" t="s">
        <v>45</v>
      </c>
      <c r="M358" s="32"/>
    </row>
    <row r="359" spans="1:13" ht="15.2" customHeight="1" x14ac:dyDescent="0.2">
      <c r="A359" s="26" t="s">
        <v>2459</v>
      </c>
      <c r="B359" s="27" t="s">
        <v>528</v>
      </c>
      <c r="C359" s="28">
        <v>1</v>
      </c>
      <c r="D359" s="29">
        <v>14.42</v>
      </c>
      <c r="E359" s="29">
        <v>14.42</v>
      </c>
      <c r="F359" s="30">
        <v>39.5</v>
      </c>
      <c r="G359" s="29">
        <v>39.5</v>
      </c>
      <c r="H359" s="28" t="s">
        <v>529</v>
      </c>
      <c r="I359" s="27" t="s">
        <v>103</v>
      </c>
      <c r="J359" s="31" t="s">
        <v>71</v>
      </c>
      <c r="K359" s="27" t="s">
        <v>41</v>
      </c>
      <c r="L359" s="27" t="s">
        <v>45</v>
      </c>
      <c r="M359" s="32"/>
    </row>
    <row r="360" spans="1:13" ht="15.2" customHeight="1" x14ac:dyDescent="0.2">
      <c r="A360" s="26" t="s">
        <v>2463</v>
      </c>
      <c r="B360" s="27" t="s">
        <v>528</v>
      </c>
      <c r="C360" s="28">
        <v>2</v>
      </c>
      <c r="D360" s="29">
        <v>14.42</v>
      </c>
      <c r="E360" s="29">
        <v>28.84</v>
      </c>
      <c r="F360" s="30">
        <v>39.5</v>
      </c>
      <c r="G360" s="29">
        <v>79</v>
      </c>
      <c r="H360" s="28" t="s">
        <v>529</v>
      </c>
      <c r="I360" s="27" t="s">
        <v>22</v>
      </c>
      <c r="J360" s="31" t="s">
        <v>21</v>
      </c>
      <c r="K360" s="27" t="s">
        <v>41</v>
      </c>
      <c r="L360" s="27" t="s">
        <v>45</v>
      </c>
      <c r="M360" s="32"/>
    </row>
    <row r="361" spans="1:13" ht="15.2" customHeight="1" x14ac:dyDescent="0.2">
      <c r="A361" s="26" t="s">
        <v>527</v>
      </c>
      <c r="B361" s="27" t="s">
        <v>528</v>
      </c>
      <c r="C361" s="28">
        <v>2</v>
      </c>
      <c r="D361" s="29">
        <v>14.42</v>
      </c>
      <c r="E361" s="29">
        <v>28.84</v>
      </c>
      <c r="F361" s="30">
        <v>39.5</v>
      </c>
      <c r="G361" s="29">
        <v>79</v>
      </c>
      <c r="H361" s="28" t="s">
        <v>529</v>
      </c>
      <c r="I361" s="27" t="s">
        <v>4</v>
      </c>
      <c r="J361" s="31" t="s">
        <v>21</v>
      </c>
      <c r="K361" s="27" t="s">
        <v>41</v>
      </c>
      <c r="L361" s="27" t="s">
        <v>45</v>
      </c>
      <c r="M361" s="32"/>
    </row>
    <row r="362" spans="1:13" ht="15.2" customHeight="1" x14ac:dyDescent="0.2">
      <c r="A362" s="26" t="s">
        <v>1645</v>
      </c>
      <c r="B362" s="27" t="s">
        <v>534</v>
      </c>
      <c r="C362" s="28">
        <v>1</v>
      </c>
      <c r="D362" s="29">
        <v>14.42</v>
      </c>
      <c r="E362" s="29">
        <v>14.42</v>
      </c>
      <c r="F362" s="30">
        <v>39.5</v>
      </c>
      <c r="G362" s="29">
        <v>39.5</v>
      </c>
      <c r="H362" s="28" t="s">
        <v>535</v>
      </c>
      <c r="I362" s="27" t="s">
        <v>33</v>
      </c>
      <c r="J362" s="31" t="s">
        <v>71</v>
      </c>
      <c r="K362" s="27" t="s">
        <v>41</v>
      </c>
      <c r="L362" s="27" t="s">
        <v>45</v>
      </c>
      <c r="M362" s="32"/>
    </row>
    <row r="363" spans="1:13" ht="15.2" customHeight="1" x14ac:dyDescent="0.2">
      <c r="A363" s="26" t="s">
        <v>2018</v>
      </c>
      <c r="B363" s="27" t="s">
        <v>2019</v>
      </c>
      <c r="C363" s="28">
        <v>1</v>
      </c>
      <c r="D363" s="29">
        <v>14.42</v>
      </c>
      <c r="E363" s="29">
        <v>14.42</v>
      </c>
      <c r="F363" s="30">
        <v>39.5</v>
      </c>
      <c r="G363" s="29">
        <v>39.5</v>
      </c>
      <c r="H363" s="28" t="s">
        <v>532</v>
      </c>
      <c r="I363" s="27" t="s">
        <v>49</v>
      </c>
      <c r="J363" s="31" t="s">
        <v>40</v>
      </c>
      <c r="K363" s="27" t="s">
        <v>41</v>
      </c>
      <c r="L363" s="27" t="s">
        <v>45</v>
      </c>
      <c r="M363" s="32"/>
    </row>
    <row r="364" spans="1:13" ht="15.2" customHeight="1" x14ac:dyDescent="0.2">
      <c r="A364" s="26" t="s">
        <v>542</v>
      </c>
      <c r="B364" s="27" t="s">
        <v>543</v>
      </c>
      <c r="C364" s="28">
        <v>1</v>
      </c>
      <c r="D364" s="29">
        <v>14.42</v>
      </c>
      <c r="E364" s="29">
        <v>14.42</v>
      </c>
      <c r="F364" s="30">
        <v>39.5</v>
      </c>
      <c r="G364" s="29">
        <v>39.5</v>
      </c>
      <c r="H364" s="28" t="s">
        <v>532</v>
      </c>
      <c r="I364" s="27" t="s">
        <v>49</v>
      </c>
      <c r="J364" s="31" t="s">
        <v>5</v>
      </c>
      <c r="K364" s="27" t="s">
        <v>41</v>
      </c>
      <c r="L364" s="27" t="s">
        <v>45</v>
      </c>
      <c r="M364" s="32"/>
    </row>
    <row r="365" spans="1:13" ht="15.2" customHeight="1" x14ac:dyDescent="0.2">
      <c r="A365" s="26" t="s">
        <v>4518</v>
      </c>
      <c r="B365" s="27" t="s">
        <v>528</v>
      </c>
      <c r="C365" s="28">
        <v>1</v>
      </c>
      <c r="D365" s="29">
        <v>14.42</v>
      </c>
      <c r="E365" s="29">
        <v>14.42</v>
      </c>
      <c r="F365" s="30">
        <v>39.5</v>
      </c>
      <c r="G365" s="29">
        <v>39.5</v>
      </c>
      <c r="H365" s="28" t="s">
        <v>529</v>
      </c>
      <c r="I365" s="27" t="s">
        <v>4</v>
      </c>
      <c r="J365" s="31" t="s">
        <v>71</v>
      </c>
      <c r="K365" s="27" t="s">
        <v>41</v>
      </c>
      <c r="L365" s="27" t="s">
        <v>45</v>
      </c>
      <c r="M365" s="32"/>
    </row>
    <row r="366" spans="1:13" ht="15.2" customHeight="1" x14ac:dyDescent="0.2">
      <c r="A366" s="26" t="s">
        <v>8162</v>
      </c>
      <c r="B366" s="27" t="s">
        <v>8163</v>
      </c>
      <c r="C366" s="28">
        <v>1</v>
      </c>
      <c r="D366" s="29">
        <v>14.27</v>
      </c>
      <c r="E366" s="29">
        <v>14.27</v>
      </c>
      <c r="F366" s="30">
        <v>39.5</v>
      </c>
      <c r="G366" s="29">
        <v>39.5</v>
      </c>
      <c r="H366" s="28" t="s">
        <v>8164</v>
      </c>
      <c r="I366" s="27" t="s">
        <v>357</v>
      </c>
      <c r="J366" s="31" t="s">
        <v>65</v>
      </c>
      <c r="K366" s="27" t="s">
        <v>41</v>
      </c>
      <c r="L366" s="27" t="s">
        <v>45</v>
      </c>
      <c r="M366" s="32"/>
    </row>
    <row r="367" spans="1:13" ht="15.2" customHeight="1" x14ac:dyDescent="0.2">
      <c r="A367" s="26" t="s">
        <v>8165</v>
      </c>
      <c r="B367" s="27" t="s">
        <v>3570</v>
      </c>
      <c r="C367" s="28">
        <v>1</v>
      </c>
      <c r="D367" s="29">
        <v>14.05</v>
      </c>
      <c r="E367" s="29">
        <v>14.05</v>
      </c>
      <c r="F367" s="30">
        <v>39.99</v>
      </c>
      <c r="G367" s="29">
        <v>39.99</v>
      </c>
      <c r="H367" s="28" t="s">
        <v>3571</v>
      </c>
      <c r="I367" s="27" t="s">
        <v>4</v>
      </c>
      <c r="J367" s="31" t="s">
        <v>52</v>
      </c>
      <c r="K367" s="27" t="s">
        <v>41</v>
      </c>
      <c r="L367" s="27" t="s">
        <v>80</v>
      </c>
      <c r="M367" s="32"/>
    </row>
    <row r="368" spans="1:13" ht="15.2" customHeight="1" x14ac:dyDescent="0.2">
      <c r="A368" s="26" t="s">
        <v>2471</v>
      </c>
      <c r="B368" s="27" t="s">
        <v>2472</v>
      </c>
      <c r="C368" s="28">
        <v>2</v>
      </c>
      <c r="D368" s="29">
        <v>12.08</v>
      </c>
      <c r="E368" s="29">
        <v>24.16</v>
      </c>
      <c r="F368" s="30">
        <v>27.99</v>
      </c>
      <c r="G368" s="29">
        <v>55.98</v>
      </c>
      <c r="H368" s="28" t="s">
        <v>558</v>
      </c>
      <c r="I368" s="27" t="s">
        <v>4</v>
      </c>
      <c r="J368" s="31" t="s">
        <v>5</v>
      </c>
      <c r="K368" s="27" t="s">
        <v>224</v>
      </c>
      <c r="L368" s="27" t="s">
        <v>237</v>
      </c>
      <c r="M368" s="32"/>
    </row>
    <row r="369" spans="1:13" ht="15.2" customHeight="1" x14ac:dyDescent="0.2">
      <c r="A369" s="26" t="s">
        <v>6080</v>
      </c>
      <c r="B369" s="27" t="s">
        <v>6081</v>
      </c>
      <c r="C369" s="28">
        <v>1</v>
      </c>
      <c r="D369" s="29">
        <v>12</v>
      </c>
      <c r="E369" s="29">
        <v>12</v>
      </c>
      <c r="F369" s="30">
        <v>39</v>
      </c>
      <c r="G369" s="29">
        <v>39</v>
      </c>
      <c r="H369" s="28">
        <v>90306</v>
      </c>
      <c r="I369" s="27" t="s">
        <v>82</v>
      </c>
      <c r="J369" s="31" t="s">
        <v>71</v>
      </c>
      <c r="K369" s="27" t="s">
        <v>154</v>
      </c>
      <c r="L369" s="27" t="s">
        <v>155</v>
      </c>
      <c r="M369" s="32"/>
    </row>
    <row r="370" spans="1:13" ht="15.2" customHeight="1" x14ac:dyDescent="0.2">
      <c r="A370" s="26" t="s">
        <v>8166</v>
      </c>
      <c r="B370" s="27" t="s">
        <v>8167</v>
      </c>
      <c r="C370" s="28">
        <v>1</v>
      </c>
      <c r="D370" s="29">
        <v>12</v>
      </c>
      <c r="E370" s="29">
        <v>12</v>
      </c>
      <c r="F370" s="30">
        <v>12.99</v>
      </c>
      <c r="G370" s="29">
        <v>12.99</v>
      </c>
      <c r="H370" s="28" t="s">
        <v>2473</v>
      </c>
      <c r="I370" s="27" t="s">
        <v>2474</v>
      </c>
      <c r="J370" s="31"/>
      <c r="K370" s="27" t="s">
        <v>282</v>
      </c>
      <c r="L370" s="27" t="s">
        <v>250</v>
      </c>
      <c r="M370" s="32"/>
    </row>
    <row r="371" spans="1:13" ht="15.2" customHeight="1" x14ac:dyDescent="0.2">
      <c r="A371" s="26" t="s">
        <v>8168</v>
      </c>
      <c r="B371" s="27" t="s">
        <v>8169</v>
      </c>
      <c r="C371" s="28">
        <v>1</v>
      </c>
      <c r="D371" s="29">
        <v>12</v>
      </c>
      <c r="E371" s="29">
        <v>12</v>
      </c>
      <c r="F371" s="30">
        <v>39</v>
      </c>
      <c r="G371" s="29">
        <v>39</v>
      </c>
      <c r="H371" s="28">
        <v>90306</v>
      </c>
      <c r="I371" s="27" t="s">
        <v>82</v>
      </c>
      <c r="J371" s="31" t="s">
        <v>65</v>
      </c>
      <c r="K371" s="27" t="s">
        <v>154</v>
      </c>
      <c r="L371" s="27" t="s">
        <v>155</v>
      </c>
      <c r="M371" s="32"/>
    </row>
    <row r="372" spans="1:13" ht="15.2" customHeight="1" x14ac:dyDescent="0.2">
      <c r="A372" s="26" t="s">
        <v>4091</v>
      </c>
      <c r="B372" s="27" t="s">
        <v>2762</v>
      </c>
      <c r="C372" s="28">
        <v>1</v>
      </c>
      <c r="D372" s="29">
        <v>11.5</v>
      </c>
      <c r="E372" s="29">
        <v>11.5</v>
      </c>
      <c r="F372" s="30">
        <v>39</v>
      </c>
      <c r="G372" s="29">
        <v>39</v>
      </c>
      <c r="H372" s="28" t="s">
        <v>2763</v>
      </c>
      <c r="I372" s="27" t="s">
        <v>4</v>
      </c>
      <c r="J372" s="31" t="s">
        <v>21</v>
      </c>
      <c r="K372" s="27" t="s">
        <v>154</v>
      </c>
      <c r="L372" s="27" t="s">
        <v>155</v>
      </c>
      <c r="M372" s="32"/>
    </row>
    <row r="373" spans="1:13" ht="15.2" customHeight="1" x14ac:dyDescent="0.2">
      <c r="A373" s="26" t="s">
        <v>6082</v>
      </c>
      <c r="B373" s="27" t="s">
        <v>6083</v>
      </c>
      <c r="C373" s="28">
        <v>1</v>
      </c>
      <c r="D373" s="29">
        <v>11.5</v>
      </c>
      <c r="E373" s="29">
        <v>11.5</v>
      </c>
      <c r="F373" s="30">
        <v>25.99</v>
      </c>
      <c r="G373" s="29">
        <v>25.99</v>
      </c>
      <c r="H373" s="28" t="s">
        <v>4529</v>
      </c>
      <c r="I373" s="27" t="s">
        <v>8</v>
      </c>
      <c r="J373" s="31" t="s">
        <v>69</v>
      </c>
      <c r="K373" s="27" t="s">
        <v>200</v>
      </c>
      <c r="L373" s="27" t="s">
        <v>741</v>
      </c>
      <c r="M373" s="32"/>
    </row>
    <row r="374" spans="1:13" ht="15.2" customHeight="1" x14ac:dyDescent="0.2">
      <c r="A374" s="26" t="s">
        <v>2475</v>
      </c>
      <c r="B374" s="27" t="s">
        <v>2476</v>
      </c>
      <c r="C374" s="28">
        <v>1</v>
      </c>
      <c r="D374" s="29">
        <v>11.25</v>
      </c>
      <c r="E374" s="29">
        <v>11.25</v>
      </c>
      <c r="F374" s="30">
        <v>59</v>
      </c>
      <c r="G374" s="29">
        <v>59</v>
      </c>
      <c r="H374" s="28" t="s">
        <v>2477</v>
      </c>
      <c r="I374" s="27" t="s">
        <v>39</v>
      </c>
      <c r="J374" s="31" t="s">
        <v>32</v>
      </c>
      <c r="K374" s="27" t="s">
        <v>132</v>
      </c>
      <c r="L374" s="27" t="s">
        <v>190</v>
      </c>
      <c r="M374" s="32"/>
    </row>
    <row r="375" spans="1:13" ht="15.2" customHeight="1" x14ac:dyDescent="0.2">
      <c r="A375" s="26" t="s">
        <v>1038</v>
      </c>
      <c r="B375" s="27" t="s">
        <v>1039</v>
      </c>
      <c r="C375" s="28">
        <v>2</v>
      </c>
      <c r="D375" s="29">
        <v>11</v>
      </c>
      <c r="E375" s="29">
        <v>22</v>
      </c>
      <c r="F375" s="30">
        <v>27.99</v>
      </c>
      <c r="G375" s="29">
        <v>55.98</v>
      </c>
      <c r="H375" s="28" t="s">
        <v>1035</v>
      </c>
      <c r="I375" s="27" t="s">
        <v>59</v>
      </c>
      <c r="J375" s="31" t="s">
        <v>5</v>
      </c>
      <c r="K375" s="27" t="s">
        <v>224</v>
      </c>
      <c r="L375" s="27" t="s">
        <v>254</v>
      </c>
      <c r="M375" s="32"/>
    </row>
    <row r="376" spans="1:13" ht="15.2" customHeight="1" x14ac:dyDescent="0.2">
      <c r="A376" s="26" t="s">
        <v>2764</v>
      </c>
      <c r="B376" s="27" t="s">
        <v>2765</v>
      </c>
      <c r="C376" s="28">
        <v>1</v>
      </c>
      <c r="D376" s="29">
        <v>11</v>
      </c>
      <c r="E376" s="29">
        <v>11</v>
      </c>
      <c r="F376" s="30">
        <v>27.99</v>
      </c>
      <c r="G376" s="29">
        <v>27.99</v>
      </c>
      <c r="H376" s="28" t="s">
        <v>562</v>
      </c>
      <c r="I376" s="27" t="s">
        <v>285</v>
      </c>
      <c r="J376" s="31" t="s">
        <v>52</v>
      </c>
      <c r="K376" s="27" t="s">
        <v>224</v>
      </c>
      <c r="L376" s="27" t="s">
        <v>563</v>
      </c>
      <c r="M376" s="32"/>
    </row>
    <row r="377" spans="1:13" ht="15.2" customHeight="1" x14ac:dyDescent="0.2">
      <c r="A377" s="26" t="s">
        <v>2479</v>
      </c>
      <c r="B377" s="27" t="s">
        <v>2480</v>
      </c>
      <c r="C377" s="28">
        <v>1</v>
      </c>
      <c r="D377" s="29">
        <v>11</v>
      </c>
      <c r="E377" s="29">
        <v>11</v>
      </c>
      <c r="F377" s="30">
        <v>27.99</v>
      </c>
      <c r="G377" s="29">
        <v>27.99</v>
      </c>
      <c r="H377" s="28" t="s">
        <v>562</v>
      </c>
      <c r="I377" s="27" t="s">
        <v>285</v>
      </c>
      <c r="J377" s="31" t="s">
        <v>5</v>
      </c>
      <c r="K377" s="27" t="s">
        <v>224</v>
      </c>
      <c r="L377" s="27" t="s">
        <v>563</v>
      </c>
      <c r="M377" s="32"/>
    </row>
    <row r="378" spans="1:13" ht="15.2" customHeight="1" x14ac:dyDescent="0.2">
      <c r="A378" s="26" t="s">
        <v>564</v>
      </c>
      <c r="B378" s="27" t="s">
        <v>565</v>
      </c>
      <c r="C378" s="28">
        <v>2</v>
      </c>
      <c r="D378" s="29">
        <v>10.87</v>
      </c>
      <c r="E378" s="29">
        <v>21.74</v>
      </c>
      <c r="F378" s="30">
        <v>29.5</v>
      </c>
      <c r="G378" s="29">
        <v>59</v>
      </c>
      <c r="H378" s="28" t="s">
        <v>566</v>
      </c>
      <c r="I378" s="27" t="s">
        <v>82</v>
      </c>
      <c r="J378" s="31" t="s">
        <v>5</v>
      </c>
      <c r="K378" s="27" t="s">
        <v>41</v>
      </c>
      <c r="L378" s="27" t="s">
        <v>45</v>
      </c>
      <c r="M378" s="32"/>
    </row>
    <row r="379" spans="1:13" ht="15.2" customHeight="1" x14ac:dyDescent="0.2">
      <c r="A379" s="26" t="s">
        <v>5310</v>
      </c>
      <c r="B379" s="27" t="s">
        <v>5311</v>
      </c>
      <c r="C379" s="28">
        <v>2</v>
      </c>
      <c r="D379" s="29">
        <v>10.6</v>
      </c>
      <c r="E379" s="29">
        <v>21.2</v>
      </c>
      <c r="F379" s="30">
        <v>24.99</v>
      </c>
      <c r="G379" s="29">
        <v>49.98</v>
      </c>
      <c r="H379" s="28" t="s">
        <v>568</v>
      </c>
      <c r="I379" s="27" t="s">
        <v>33</v>
      </c>
      <c r="J379" s="31" t="s">
        <v>40</v>
      </c>
      <c r="K379" s="27" t="s">
        <v>208</v>
      </c>
      <c r="L379" s="27" t="s">
        <v>197</v>
      </c>
      <c r="M379" s="32"/>
    </row>
    <row r="380" spans="1:13" ht="15.2" customHeight="1" x14ac:dyDescent="0.2">
      <c r="A380" s="26" t="s">
        <v>569</v>
      </c>
      <c r="B380" s="27" t="s">
        <v>570</v>
      </c>
      <c r="C380" s="28">
        <v>1</v>
      </c>
      <c r="D380" s="29">
        <v>10.6</v>
      </c>
      <c r="E380" s="29">
        <v>10.6</v>
      </c>
      <c r="F380" s="30">
        <v>24.99</v>
      </c>
      <c r="G380" s="29">
        <v>24.99</v>
      </c>
      <c r="H380" s="28" t="s">
        <v>568</v>
      </c>
      <c r="I380" s="27" t="s">
        <v>33</v>
      </c>
      <c r="J380" s="31" t="s">
        <v>71</v>
      </c>
      <c r="K380" s="27" t="s">
        <v>208</v>
      </c>
      <c r="L380" s="27" t="s">
        <v>197</v>
      </c>
      <c r="M380" s="32"/>
    </row>
    <row r="381" spans="1:13" ht="15.2" customHeight="1" x14ac:dyDescent="0.2">
      <c r="A381" s="26" t="s">
        <v>5874</v>
      </c>
      <c r="B381" s="27" t="s">
        <v>5875</v>
      </c>
      <c r="C381" s="28">
        <v>1</v>
      </c>
      <c r="D381" s="29">
        <v>10.6</v>
      </c>
      <c r="E381" s="29">
        <v>10.6</v>
      </c>
      <c r="F381" s="30">
        <v>24.99</v>
      </c>
      <c r="G381" s="29">
        <v>24.99</v>
      </c>
      <c r="H381" s="28" t="s">
        <v>567</v>
      </c>
      <c r="I381" s="27" t="s">
        <v>4</v>
      </c>
      <c r="J381" s="31" t="s">
        <v>40</v>
      </c>
      <c r="K381" s="27" t="s">
        <v>208</v>
      </c>
      <c r="L381" s="27" t="s">
        <v>197</v>
      </c>
      <c r="M381" s="32"/>
    </row>
    <row r="382" spans="1:13" ht="15.2" customHeight="1" x14ac:dyDescent="0.2">
      <c r="A382" s="26" t="s">
        <v>2026</v>
      </c>
      <c r="B382" s="27" t="s">
        <v>2027</v>
      </c>
      <c r="C382" s="28">
        <v>1</v>
      </c>
      <c r="D382" s="29">
        <v>10.5</v>
      </c>
      <c r="E382" s="29">
        <v>10.5</v>
      </c>
      <c r="F382" s="30">
        <v>24.99</v>
      </c>
      <c r="G382" s="29">
        <v>24.99</v>
      </c>
      <c r="H382" s="28" t="s">
        <v>573</v>
      </c>
      <c r="I382" s="27" t="s">
        <v>36</v>
      </c>
      <c r="J382" s="31" t="s">
        <v>5</v>
      </c>
      <c r="K382" s="27" t="s">
        <v>159</v>
      </c>
      <c r="L382" s="27" t="s">
        <v>160</v>
      </c>
      <c r="M382" s="32"/>
    </row>
    <row r="383" spans="1:13" ht="15.2" customHeight="1" x14ac:dyDescent="0.2">
      <c r="A383" s="26" t="s">
        <v>3081</v>
      </c>
      <c r="B383" s="27" t="s">
        <v>3082</v>
      </c>
      <c r="C383" s="28">
        <v>1</v>
      </c>
      <c r="D383" s="29">
        <v>10</v>
      </c>
      <c r="E383" s="29">
        <v>10</v>
      </c>
      <c r="F383" s="30">
        <v>24.99</v>
      </c>
      <c r="G383" s="29">
        <v>24.99</v>
      </c>
      <c r="H383" s="28" t="s">
        <v>2499</v>
      </c>
      <c r="I383" s="27" t="s">
        <v>146</v>
      </c>
      <c r="J383" s="31" t="s">
        <v>40</v>
      </c>
      <c r="K383" s="27" t="s">
        <v>224</v>
      </c>
      <c r="L383" s="27" t="s">
        <v>197</v>
      </c>
      <c r="M383" s="32"/>
    </row>
    <row r="384" spans="1:13" ht="15.2" customHeight="1" x14ac:dyDescent="0.2">
      <c r="A384" s="26" t="s">
        <v>1049</v>
      </c>
      <c r="B384" s="27" t="s">
        <v>1050</v>
      </c>
      <c r="C384" s="28">
        <v>1</v>
      </c>
      <c r="D384" s="29">
        <v>9.8000000000000007</v>
      </c>
      <c r="E384" s="29">
        <v>9.8000000000000007</v>
      </c>
      <c r="F384" s="30">
        <v>19.989999999999998</v>
      </c>
      <c r="G384" s="29">
        <v>19.989999999999998</v>
      </c>
      <c r="H384" s="28" t="s">
        <v>1051</v>
      </c>
      <c r="I384" s="27" t="s">
        <v>189</v>
      </c>
      <c r="J384" s="31" t="s">
        <v>21</v>
      </c>
      <c r="K384" s="27" t="s">
        <v>196</v>
      </c>
      <c r="L384" s="27" t="s">
        <v>225</v>
      </c>
      <c r="M384" s="32"/>
    </row>
    <row r="385" spans="1:13" ht="15.2" customHeight="1" x14ac:dyDescent="0.2">
      <c r="A385" s="26" t="s">
        <v>8170</v>
      </c>
      <c r="B385" s="27" t="s">
        <v>8171</v>
      </c>
      <c r="C385" s="28">
        <v>1</v>
      </c>
      <c r="D385" s="29">
        <v>9.5</v>
      </c>
      <c r="E385" s="29">
        <v>9.5</v>
      </c>
      <c r="F385" s="30">
        <v>19.989999999999998</v>
      </c>
      <c r="G385" s="29">
        <v>19.989999999999998</v>
      </c>
      <c r="H385" s="28" t="s">
        <v>4398</v>
      </c>
      <c r="I385" s="27" t="s">
        <v>4</v>
      </c>
      <c r="J385" s="31" t="s">
        <v>21</v>
      </c>
      <c r="K385" s="27" t="s">
        <v>282</v>
      </c>
      <c r="L385" s="27" t="s">
        <v>283</v>
      </c>
      <c r="M385" s="32"/>
    </row>
    <row r="386" spans="1:13" ht="15.2" customHeight="1" x14ac:dyDescent="0.2">
      <c r="A386" s="26" t="s">
        <v>578</v>
      </c>
      <c r="B386" s="27" t="s">
        <v>579</v>
      </c>
      <c r="C386" s="28">
        <v>1</v>
      </c>
      <c r="D386" s="29">
        <v>9.25</v>
      </c>
      <c r="E386" s="29">
        <v>9.25</v>
      </c>
      <c r="F386" s="30">
        <v>22.99</v>
      </c>
      <c r="G386" s="29">
        <v>22.99</v>
      </c>
      <c r="H386" s="28" t="s">
        <v>580</v>
      </c>
      <c r="I386" s="27" t="s">
        <v>10</v>
      </c>
      <c r="J386" s="31" t="s">
        <v>21</v>
      </c>
      <c r="K386" s="27" t="s">
        <v>196</v>
      </c>
      <c r="L386" s="27" t="s">
        <v>239</v>
      </c>
      <c r="M386" s="32"/>
    </row>
    <row r="387" spans="1:13" ht="15.2" customHeight="1" x14ac:dyDescent="0.2">
      <c r="A387" s="26" t="s">
        <v>8172</v>
      </c>
      <c r="B387" s="27" t="s">
        <v>8173</v>
      </c>
      <c r="C387" s="28">
        <v>1</v>
      </c>
      <c r="D387" s="29">
        <v>9.24</v>
      </c>
      <c r="E387" s="29">
        <v>9.24</v>
      </c>
      <c r="F387" s="30">
        <v>21.99</v>
      </c>
      <c r="G387" s="29">
        <v>21.99</v>
      </c>
      <c r="H387" s="28" t="s">
        <v>8174</v>
      </c>
      <c r="I387" s="27" t="s">
        <v>238</v>
      </c>
      <c r="J387" s="31" t="s">
        <v>71</v>
      </c>
      <c r="K387" s="27" t="s">
        <v>159</v>
      </c>
      <c r="L387" s="27" t="s">
        <v>160</v>
      </c>
      <c r="M387" s="32"/>
    </row>
    <row r="388" spans="1:13" ht="15.2" customHeight="1" x14ac:dyDescent="0.2">
      <c r="A388" s="26" t="s">
        <v>7335</v>
      </c>
      <c r="B388" s="27" t="s">
        <v>1676</v>
      </c>
      <c r="C388" s="28">
        <v>1</v>
      </c>
      <c r="D388" s="29">
        <v>9.1999999999999993</v>
      </c>
      <c r="E388" s="29">
        <v>9.1999999999999993</v>
      </c>
      <c r="F388" s="30">
        <v>21.99</v>
      </c>
      <c r="G388" s="29">
        <v>21.99</v>
      </c>
      <c r="H388" s="28" t="s">
        <v>1677</v>
      </c>
      <c r="I388" s="27" t="s">
        <v>4</v>
      </c>
      <c r="J388" s="31" t="s">
        <v>71</v>
      </c>
      <c r="K388" s="27" t="s">
        <v>159</v>
      </c>
      <c r="L388" s="27" t="s">
        <v>160</v>
      </c>
      <c r="M388" s="32"/>
    </row>
    <row r="389" spans="1:13" ht="15.2" customHeight="1" x14ac:dyDescent="0.2">
      <c r="A389" s="26" t="s">
        <v>4137</v>
      </c>
      <c r="B389" s="27" t="s">
        <v>1676</v>
      </c>
      <c r="C389" s="28">
        <v>1</v>
      </c>
      <c r="D389" s="29">
        <v>9.1999999999999993</v>
      </c>
      <c r="E389" s="29">
        <v>9.1999999999999993</v>
      </c>
      <c r="F389" s="30">
        <v>21.99</v>
      </c>
      <c r="G389" s="29">
        <v>21.99</v>
      </c>
      <c r="H389" s="28" t="s">
        <v>1677</v>
      </c>
      <c r="I389" s="27" t="s">
        <v>4</v>
      </c>
      <c r="J389" s="31" t="s">
        <v>21</v>
      </c>
      <c r="K389" s="27" t="s">
        <v>159</v>
      </c>
      <c r="L389" s="27" t="s">
        <v>160</v>
      </c>
      <c r="M389" s="32"/>
    </row>
    <row r="390" spans="1:13" ht="15.2" customHeight="1" x14ac:dyDescent="0.2">
      <c r="A390" s="26" t="s">
        <v>3643</v>
      </c>
      <c r="B390" s="27" t="s">
        <v>2048</v>
      </c>
      <c r="C390" s="28">
        <v>1</v>
      </c>
      <c r="D390" s="29">
        <v>9.19</v>
      </c>
      <c r="E390" s="29">
        <v>9.19</v>
      </c>
      <c r="F390" s="30">
        <v>21.99</v>
      </c>
      <c r="G390" s="29">
        <v>21.99</v>
      </c>
      <c r="H390" s="28" t="s">
        <v>2049</v>
      </c>
      <c r="I390" s="27" t="s">
        <v>36</v>
      </c>
      <c r="J390" s="31" t="s">
        <v>52</v>
      </c>
      <c r="K390" s="27" t="s">
        <v>159</v>
      </c>
      <c r="L390" s="27" t="s">
        <v>160</v>
      </c>
      <c r="M390" s="32"/>
    </row>
    <row r="391" spans="1:13" ht="15.2" customHeight="1" x14ac:dyDescent="0.2">
      <c r="A391" s="26" t="s">
        <v>3644</v>
      </c>
      <c r="B391" s="27" t="s">
        <v>1062</v>
      </c>
      <c r="C391" s="28">
        <v>1</v>
      </c>
      <c r="D391" s="29">
        <v>8.94</v>
      </c>
      <c r="E391" s="29">
        <v>8.94</v>
      </c>
      <c r="F391" s="30">
        <v>24.5</v>
      </c>
      <c r="G391" s="29">
        <v>24.5</v>
      </c>
      <c r="H391" s="28" t="s">
        <v>1063</v>
      </c>
      <c r="I391" s="27" t="s">
        <v>746</v>
      </c>
      <c r="J391" s="31" t="s">
        <v>5</v>
      </c>
      <c r="K391" s="27" t="s">
        <v>41</v>
      </c>
      <c r="L391" s="27" t="s">
        <v>45</v>
      </c>
      <c r="M391" s="32"/>
    </row>
    <row r="392" spans="1:13" ht="15.2" customHeight="1" x14ac:dyDescent="0.2">
      <c r="A392" s="26" t="s">
        <v>2051</v>
      </c>
      <c r="B392" s="27" t="s">
        <v>2052</v>
      </c>
      <c r="C392" s="28">
        <v>1</v>
      </c>
      <c r="D392" s="29">
        <v>8.5</v>
      </c>
      <c r="E392" s="29">
        <v>8.5</v>
      </c>
      <c r="F392" s="30">
        <v>19.989999999999998</v>
      </c>
      <c r="G392" s="29">
        <v>19.989999999999998</v>
      </c>
      <c r="H392" s="28" t="s">
        <v>587</v>
      </c>
      <c r="I392" s="27" t="s">
        <v>33</v>
      </c>
      <c r="J392" s="31" t="s">
        <v>5</v>
      </c>
      <c r="K392" s="27" t="s">
        <v>282</v>
      </c>
      <c r="L392" s="27" t="s">
        <v>312</v>
      </c>
      <c r="M392" s="32"/>
    </row>
    <row r="393" spans="1:13" ht="15.2" customHeight="1" x14ac:dyDescent="0.2">
      <c r="A393" s="26" t="s">
        <v>4140</v>
      </c>
      <c r="B393" s="27" t="s">
        <v>4141</v>
      </c>
      <c r="C393" s="28">
        <v>1</v>
      </c>
      <c r="D393" s="29">
        <v>8.5</v>
      </c>
      <c r="E393" s="29">
        <v>8.5</v>
      </c>
      <c r="F393" s="30">
        <v>19.989999999999998</v>
      </c>
      <c r="G393" s="29">
        <v>19.989999999999998</v>
      </c>
      <c r="H393" s="28" t="s">
        <v>582</v>
      </c>
      <c r="I393" s="27" t="s">
        <v>33</v>
      </c>
      <c r="J393" s="31" t="s">
        <v>21</v>
      </c>
      <c r="K393" s="27" t="s">
        <v>282</v>
      </c>
      <c r="L393" s="27" t="s">
        <v>312</v>
      </c>
      <c r="M393" s="32"/>
    </row>
    <row r="394" spans="1:13" ht="15.2" customHeight="1" x14ac:dyDescent="0.2">
      <c r="A394" s="26" t="s">
        <v>2053</v>
      </c>
      <c r="B394" s="27" t="s">
        <v>2054</v>
      </c>
      <c r="C394" s="28">
        <v>1</v>
      </c>
      <c r="D394" s="29">
        <v>8.5</v>
      </c>
      <c r="E394" s="29">
        <v>8.5</v>
      </c>
      <c r="F394" s="30">
        <v>19.989999999999998</v>
      </c>
      <c r="G394" s="29">
        <v>19.989999999999998</v>
      </c>
      <c r="H394" s="28" t="s">
        <v>587</v>
      </c>
      <c r="I394" s="27" t="s">
        <v>33</v>
      </c>
      <c r="J394" s="31" t="s">
        <v>71</v>
      </c>
      <c r="K394" s="27" t="s">
        <v>282</v>
      </c>
      <c r="L394" s="27" t="s">
        <v>312</v>
      </c>
      <c r="M394" s="32"/>
    </row>
    <row r="395" spans="1:13" ht="15.2" customHeight="1" x14ac:dyDescent="0.2">
      <c r="A395" s="26" t="s">
        <v>2055</v>
      </c>
      <c r="B395" s="27" t="s">
        <v>2056</v>
      </c>
      <c r="C395" s="28">
        <v>2</v>
      </c>
      <c r="D395" s="29">
        <v>8.5</v>
      </c>
      <c r="E395" s="29">
        <v>17</v>
      </c>
      <c r="F395" s="30">
        <v>19.989999999999998</v>
      </c>
      <c r="G395" s="29">
        <v>39.979999999999997</v>
      </c>
      <c r="H395" s="28" t="s">
        <v>587</v>
      </c>
      <c r="I395" s="27" t="s">
        <v>33</v>
      </c>
      <c r="J395" s="31" t="s">
        <v>40</v>
      </c>
      <c r="K395" s="27" t="s">
        <v>282</v>
      </c>
      <c r="L395" s="27" t="s">
        <v>312</v>
      </c>
      <c r="M395" s="32"/>
    </row>
    <row r="396" spans="1:13" ht="15.2" customHeight="1" x14ac:dyDescent="0.2">
      <c r="A396" s="26" t="s">
        <v>4407</v>
      </c>
      <c r="B396" s="27" t="s">
        <v>4408</v>
      </c>
      <c r="C396" s="28">
        <v>1</v>
      </c>
      <c r="D396" s="29">
        <v>8.5</v>
      </c>
      <c r="E396" s="29">
        <v>8.5</v>
      </c>
      <c r="F396" s="30">
        <v>19.989999999999998</v>
      </c>
      <c r="G396" s="29">
        <v>19.989999999999998</v>
      </c>
      <c r="H396" s="28" t="s">
        <v>582</v>
      </c>
      <c r="I396" s="27" t="s">
        <v>33</v>
      </c>
      <c r="J396" s="31" t="s">
        <v>40</v>
      </c>
      <c r="K396" s="27" t="s">
        <v>282</v>
      </c>
      <c r="L396" s="27" t="s">
        <v>312</v>
      </c>
      <c r="M396" s="32"/>
    </row>
    <row r="397" spans="1:13" ht="15.2" customHeight="1" x14ac:dyDescent="0.2">
      <c r="A397" s="26" t="s">
        <v>583</v>
      </c>
      <c r="B397" s="27" t="s">
        <v>584</v>
      </c>
      <c r="C397" s="28">
        <v>1</v>
      </c>
      <c r="D397" s="29">
        <v>8.5</v>
      </c>
      <c r="E397" s="29">
        <v>8.5</v>
      </c>
      <c r="F397" s="30">
        <v>19.989999999999998</v>
      </c>
      <c r="G397" s="29">
        <v>19.989999999999998</v>
      </c>
      <c r="H397" s="28" t="s">
        <v>582</v>
      </c>
      <c r="I397" s="27" t="s">
        <v>33</v>
      </c>
      <c r="J397" s="31" t="s">
        <v>5</v>
      </c>
      <c r="K397" s="27" t="s">
        <v>282</v>
      </c>
      <c r="L397" s="27" t="s">
        <v>312</v>
      </c>
      <c r="M397" s="32"/>
    </row>
    <row r="398" spans="1:13" ht="15.2" customHeight="1" x14ac:dyDescent="0.2">
      <c r="A398" s="26" t="s">
        <v>8175</v>
      </c>
      <c r="B398" s="27" t="s">
        <v>8176</v>
      </c>
      <c r="C398" s="28">
        <v>1</v>
      </c>
      <c r="D398" s="29">
        <v>8</v>
      </c>
      <c r="E398" s="29">
        <v>8</v>
      </c>
      <c r="F398" s="30">
        <v>19.989999999999998</v>
      </c>
      <c r="G398" s="29">
        <v>19.989999999999998</v>
      </c>
      <c r="H398" s="28" t="s">
        <v>4546</v>
      </c>
      <c r="I398" s="27" t="s">
        <v>4</v>
      </c>
      <c r="J398" s="31" t="s">
        <v>71</v>
      </c>
      <c r="K398" s="27" t="s">
        <v>282</v>
      </c>
      <c r="L398" s="27" t="s">
        <v>358</v>
      </c>
      <c r="M398" s="32"/>
    </row>
    <row r="399" spans="1:13" ht="15.2" customHeight="1" x14ac:dyDescent="0.2">
      <c r="A399" s="26" t="s">
        <v>598</v>
      </c>
      <c r="B399" s="27" t="s">
        <v>599</v>
      </c>
      <c r="C399" s="28">
        <v>3</v>
      </c>
      <c r="D399" s="29">
        <v>7.9</v>
      </c>
      <c r="E399" s="29">
        <v>23.7</v>
      </c>
      <c r="F399" s="30">
        <v>19.989999999999998</v>
      </c>
      <c r="G399" s="29">
        <v>59.97</v>
      </c>
      <c r="H399" s="28" t="s">
        <v>595</v>
      </c>
      <c r="I399" s="27" t="s">
        <v>22</v>
      </c>
      <c r="J399" s="31" t="s">
        <v>52</v>
      </c>
      <c r="K399" s="27" t="s">
        <v>282</v>
      </c>
      <c r="L399" s="27" t="s">
        <v>349</v>
      </c>
      <c r="M399" s="32"/>
    </row>
    <row r="400" spans="1:13" ht="15.2" customHeight="1" x14ac:dyDescent="0.2">
      <c r="A400" s="26" t="s">
        <v>596</v>
      </c>
      <c r="B400" s="27" t="s">
        <v>597</v>
      </c>
      <c r="C400" s="28">
        <v>1</v>
      </c>
      <c r="D400" s="29">
        <v>7.9</v>
      </c>
      <c r="E400" s="29">
        <v>7.9</v>
      </c>
      <c r="F400" s="30">
        <v>19.989999999999998</v>
      </c>
      <c r="G400" s="29">
        <v>19.989999999999998</v>
      </c>
      <c r="H400" s="28" t="s">
        <v>595</v>
      </c>
      <c r="I400" s="27" t="s">
        <v>22</v>
      </c>
      <c r="J400" s="31" t="s">
        <v>40</v>
      </c>
      <c r="K400" s="27" t="s">
        <v>282</v>
      </c>
      <c r="L400" s="27" t="s">
        <v>349</v>
      </c>
      <c r="M400" s="32"/>
    </row>
    <row r="401" spans="1:13" ht="15.2" customHeight="1" x14ac:dyDescent="0.2">
      <c r="A401" s="26" t="s">
        <v>593</v>
      </c>
      <c r="B401" s="27" t="s">
        <v>594</v>
      </c>
      <c r="C401" s="28">
        <v>3</v>
      </c>
      <c r="D401" s="29">
        <v>7.9</v>
      </c>
      <c r="E401" s="29">
        <v>23.7</v>
      </c>
      <c r="F401" s="30">
        <v>19.989999999999998</v>
      </c>
      <c r="G401" s="29">
        <v>59.97</v>
      </c>
      <c r="H401" s="28" t="s">
        <v>595</v>
      </c>
      <c r="I401" s="27" t="s">
        <v>22</v>
      </c>
      <c r="J401" s="31" t="s">
        <v>21</v>
      </c>
      <c r="K401" s="27" t="s">
        <v>282</v>
      </c>
      <c r="L401" s="27" t="s">
        <v>349</v>
      </c>
      <c r="M401" s="32"/>
    </row>
    <row r="402" spans="1:13" ht="15.2" customHeight="1" x14ac:dyDescent="0.2">
      <c r="A402" s="26" t="s">
        <v>8177</v>
      </c>
      <c r="B402" s="27" t="s">
        <v>2528</v>
      </c>
      <c r="C402" s="28">
        <v>1</v>
      </c>
      <c r="D402" s="29">
        <v>6.5</v>
      </c>
      <c r="E402" s="29">
        <v>6.5</v>
      </c>
      <c r="F402" s="30">
        <v>12.99</v>
      </c>
      <c r="G402" s="29">
        <v>12.99</v>
      </c>
      <c r="H402" s="28" t="s">
        <v>2529</v>
      </c>
      <c r="I402" s="27" t="s">
        <v>215</v>
      </c>
      <c r="J402" s="31" t="s">
        <v>40</v>
      </c>
      <c r="K402" s="27" t="s">
        <v>282</v>
      </c>
      <c r="L402" s="27" t="s">
        <v>312</v>
      </c>
      <c r="M402" s="32"/>
    </row>
    <row r="403" spans="1:13" ht="15.2" customHeight="1" x14ac:dyDescent="0.2">
      <c r="A403" s="26" t="s">
        <v>2527</v>
      </c>
      <c r="B403" s="27" t="s">
        <v>2528</v>
      </c>
      <c r="C403" s="28">
        <v>1</v>
      </c>
      <c r="D403" s="29">
        <v>6.5</v>
      </c>
      <c r="E403" s="29">
        <v>6.5</v>
      </c>
      <c r="F403" s="30">
        <v>12.99</v>
      </c>
      <c r="G403" s="29">
        <v>12.99</v>
      </c>
      <c r="H403" s="28" t="s">
        <v>2529</v>
      </c>
      <c r="I403" s="27" t="s">
        <v>215</v>
      </c>
      <c r="J403" s="31" t="s">
        <v>5</v>
      </c>
      <c r="K403" s="27" t="s">
        <v>282</v>
      </c>
      <c r="L403" s="27" t="s">
        <v>312</v>
      </c>
      <c r="M403" s="32"/>
    </row>
    <row r="404" spans="1:13" ht="15.2" customHeight="1" x14ac:dyDescent="0.2">
      <c r="A404" s="26" t="s">
        <v>8178</v>
      </c>
      <c r="B404" s="27" t="s">
        <v>2067</v>
      </c>
      <c r="C404" s="28">
        <v>1</v>
      </c>
      <c r="D404" s="29">
        <v>6.3</v>
      </c>
      <c r="E404" s="29">
        <v>6.3</v>
      </c>
      <c r="F404" s="30">
        <v>14.99</v>
      </c>
      <c r="G404" s="29">
        <v>14.99</v>
      </c>
      <c r="H404" s="28" t="s">
        <v>2068</v>
      </c>
      <c r="I404" s="27" t="s">
        <v>82</v>
      </c>
      <c r="J404" s="31" t="s">
        <v>21</v>
      </c>
      <c r="K404" s="27" t="s">
        <v>159</v>
      </c>
      <c r="L404" s="27" t="s">
        <v>160</v>
      </c>
      <c r="M404" s="32"/>
    </row>
    <row r="405" spans="1:13" ht="15.2" customHeight="1" x14ac:dyDescent="0.2">
      <c r="A405" s="26" t="s">
        <v>8179</v>
      </c>
      <c r="B405" s="27" t="s">
        <v>2067</v>
      </c>
      <c r="C405" s="28">
        <v>2</v>
      </c>
      <c r="D405" s="29">
        <v>6.3</v>
      </c>
      <c r="E405" s="29">
        <v>12.6</v>
      </c>
      <c r="F405" s="30">
        <v>14.99</v>
      </c>
      <c r="G405" s="29">
        <v>29.98</v>
      </c>
      <c r="H405" s="28" t="s">
        <v>2068</v>
      </c>
      <c r="I405" s="27" t="s">
        <v>82</v>
      </c>
      <c r="J405" s="31" t="s">
        <v>5</v>
      </c>
      <c r="K405" s="27" t="s">
        <v>159</v>
      </c>
      <c r="L405" s="27" t="s">
        <v>160</v>
      </c>
      <c r="M405" s="32"/>
    </row>
    <row r="406" spans="1:13" ht="15.2" customHeight="1" x14ac:dyDescent="0.2">
      <c r="A406" s="26" t="s">
        <v>5380</v>
      </c>
      <c r="B406" s="27" t="s">
        <v>2067</v>
      </c>
      <c r="C406" s="28">
        <v>1</v>
      </c>
      <c r="D406" s="29">
        <v>6.3</v>
      </c>
      <c r="E406" s="29">
        <v>6.3</v>
      </c>
      <c r="F406" s="30">
        <v>14.99</v>
      </c>
      <c r="G406" s="29">
        <v>14.99</v>
      </c>
      <c r="H406" s="28" t="s">
        <v>2068</v>
      </c>
      <c r="I406" s="27" t="s">
        <v>82</v>
      </c>
      <c r="J406" s="31" t="s">
        <v>52</v>
      </c>
      <c r="K406" s="27" t="s">
        <v>159</v>
      </c>
      <c r="L406" s="27" t="s">
        <v>160</v>
      </c>
      <c r="M406" s="32"/>
    </row>
    <row r="407" spans="1:13" ht="15.2" customHeight="1" x14ac:dyDescent="0.2">
      <c r="A407" s="26" t="s">
        <v>8180</v>
      </c>
      <c r="B407" s="27" t="s">
        <v>8181</v>
      </c>
      <c r="C407" s="28">
        <v>1</v>
      </c>
      <c r="D407" s="29">
        <v>6.3</v>
      </c>
      <c r="E407" s="29">
        <v>6.3</v>
      </c>
      <c r="F407" s="30">
        <v>14.99</v>
      </c>
      <c r="G407" s="29">
        <v>14.99</v>
      </c>
      <c r="H407" s="28" t="s">
        <v>8182</v>
      </c>
      <c r="I407" s="27" t="s">
        <v>82</v>
      </c>
      <c r="J407" s="31" t="s">
        <v>40</v>
      </c>
      <c r="K407" s="27" t="s">
        <v>159</v>
      </c>
      <c r="L407" s="27" t="s">
        <v>160</v>
      </c>
      <c r="M407" s="32"/>
    </row>
    <row r="408" spans="1:13" ht="15.2" customHeight="1" x14ac:dyDescent="0.2">
      <c r="A408" s="26" t="s">
        <v>4738</v>
      </c>
      <c r="B408" s="27" t="s">
        <v>1694</v>
      </c>
      <c r="C408" s="28">
        <v>1</v>
      </c>
      <c r="D408" s="29">
        <v>6.3</v>
      </c>
      <c r="E408" s="29">
        <v>6.3</v>
      </c>
      <c r="F408" s="30">
        <v>14.99</v>
      </c>
      <c r="G408" s="29">
        <v>14.99</v>
      </c>
      <c r="H408" s="28" t="s">
        <v>1695</v>
      </c>
      <c r="I408" s="27" t="s">
        <v>4</v>
      </c>
      <c r="J408" s="31" t="s">
        <v>5</v>
      </c>
      <c r="K408" s="27" t="s">
        <v>159</v>
      </c>
      <c r="L408" s="27" t="s">
        <v>160</v>
      </c>
      <c r="M408" s="32"/>
    </row>
    <row r="409" spans="1:13" ht="15.2" customHeight="1" x14ac:dyDescent="0.2">
      <c r="A409" s="26" t="s">
        <v>2792</v>
      </c>
      <c r="B409" s="27" t="s">
        <v>2793</v>
      </c>
      <c r="C409" s="28">
        <v>1</v>
      </c>
      <c r="D409" s="29">
        <v>6.3</v>
      </c>
      <c r="E409" s="29">
        <v>6.3</v>
      </c>
      <c r="F409" s="30">
        <v>14.99</v>
      </c>
      <c r="G409" s="29">
        <v>14.99</v>
      </c>
      <c r="H409" s="28" t="s">
        <v>2794</v>
      </c>
      <c r="I409" s="27" t="s">
        <v>82</v>
      </c>
      <c r="J409" s="31" t="s">
        <v>71</v>
      </c>
      <c r="K409" s="27" t="s">
        <v>159</v>
      </c>
      <c r="L409" s="27" t="s">
        <v>160</v>
      </c>
      <c r="M409" s="32"/>
    </row>
    <row r="410" spans="1:13" ht="15.2" customHeight="1" x14ac:dyDescent="0.2">
      <c r="A410" s="26" t="s">
        <v>8183</v>
      </c>
      <c r="B410" s="27" t="s">
        <v>7344</v>
      </c>
      <c r="C410" s="28">
        <v>1</v>
      </c>
      <c r="D410" s="29">
        <v>6.15</v>
      </c>
      <c r="E410" s="29">
        <v>6.15</v>
      </c>
      <c r="F410" s="30">
        <v>16.989999999999998</v>
      </c>
      <c r="G410" s="29">
        <v>16.989999999999998</v>
      </c>
      <c r="H410" s="28" t="s">
        <v>4741</v>
      </c>
      <c r="I410" s="27" t="s">
        <v>94</v>
      </c>
      <c r="J410" s="31" t="s">
        <v>40</v>
      </c>
      <c r="K410" s="27" t="s">
        <v>200</v>
      </c>
      <c r="L410" s="27" t="s">
        <v>260</v>
      </c>
      <c r="M410" s="32"/>
    </row>
    <row r="411" spans="1:13" ht="15.2" customHeight="1" x14ac:dyDescent="0.2">
      <c r="A411" s="26" t="s">
        <v>8184</v>
      </c>
      <c r="B411" s="27" t="s">
        <v>7344</v>
      </c>
      <c r="C411" s="28">
        <v>1</v>
      </c>
      <c r="D411" s="29">
        <v>6.15</v>
      </c>
      <c r="E411" s="29">
        <v>6.15</v>
      </c>
      <c r="F411" s="30">
        <v>16.989999999999998</v>
      </c>
      <c r="G411" s="29">
        <v>16.989999999999998</v>
      </c>
      <c r="H411" s="28" t="s">
        <v>4741</v>
      </c>
      <c r="I411" s="27" t="s">
        <v>94</v>
      </c>
      <c r="J411" s="31" t="s">
        <v>71</v>
      </c>
      <c r="K411" s="27" t="s">
        <v>200</v>
      </c>
      <c r="L411" s="27" t="s">
        <v>260</v>
      </c>
      <c r="M411" s="32"/>
    </row>
    <row r="412" spans="1:13" ht="15.2" customHeight="1" x14ac:dyDescent="0.2">
      <c r="A412" s="26" t="s">
        <v>1705</v>
      </c>
      <c r="B412" s="27" t="s">
        <v>1699</v>
      </c>
      <c r="C412" s="28">
        <v>1</v>
      </c>
      <c r="D412" s="29">
        <v>5.75</v>
      </c>
      <c r="E412" s="29">
        <v>5.75</v>
      </c>
      <c r="F412" s="30">
        <v>12.99</v>
      </c>
      <c r="G412" s="29">
        <v>12.99</v>
      </c>
      <c r="H412" s="28" t="s">
        <v>1700</v>
      </c>
      <c r="I412" s="27" t="s">
        <v>82</v>
      </c>
      <c r="J412" s="31" t="s">
        <v>21</v>
      </c>
      <c r="K412" s="27" t="s">
        <v>282</v>
      </c>
      <c r="L412" s="27" t="s">
        <v>386</v>
      </c>
      <c r="M412" s="32"/>
    </row>
    <row r="413" spans="1:13" ht="15.2" customHeight="1" x14ac:dyDescent="0.2">
      <c r="A413" s="26" t="s">
        <v>1706</v>
      </c>
      <c r="B413" s="27" t="s">
        <v>1702</v>
      </c>
      <c r="C413" s="28">
        <v>1</v>
      </c>
      <c r="D413" s="29">
        <v>5.75</v>
      </c>
      <c r="E413" s="29">
        <v>5.75</v>
      </c>
      <c r="F413" s="30">
        <v>12.99</v>
      </c>
      <c r="G413" s="29">
        <v>12.99</v>
      </c>
      <c r="H413" s="28" t="s">
        <v>1703</v>
      </c>
      <c r="I413" s="27" t="s">
        <v>248</v>
      </c>
      <c r="J413" s="31" t="s">
        <v>52</v>
      </c>
      <c r="K413" s="27" t="s">
        <v>282</v>
      </c>
      <c r="L413" s="27" t="s">
        <v>386</v>
      </c>
      <c r="M413" s="32"/>
    </row>
    <row r="414" spans="1:13" ht="15.2" customHeight="1" x14ac:dyDescent="0.2">
      <c r="A414" s="26" t="s">
        <v>614</v>
      </c>
      <c r="B414" s="27" t="s">
        <v>615</v>
      </c>
      <c r="C414" s="28">
        <v>1</v>
      </c>
      <c r="D414" s="29">
        <v>5.65</v>
      </c>
      <c r="E414" s="29">
        <v>5.65</v>
      </c>
      <c r="F414" s="30">
        <v>12.99</v>
      </c>
      <c r="G414" s="29">
        <v>12.99</v>
      </c>
      <c r="H414" s="28" t="s">
        <v>616</v>
      </c>
      <c r="I414" s="27" t="s">
        <v>36</v>
      </c>
      <c r="J414" s="31" t="s">
        <v>71</v>
      </c>
      <c r="K414" s="27" t="s">
        <v>282</v>
      </c>
      <c r="L414" s="27" t="s">
        <v>393</v>
      </c>
      <c r="M414" s="32"/>
    </row>
    <row r="415" spans="1:13" ht="15.2" customHeight="1" x14ac:dyDescent="0.2">
      <c r="A415" s="26" t="s">
        <v>2540</v>
      </c>
      <c r="B415" s="27" t="s">
        <v>2537</v>
      </c>
      <c r="C415" s="28">
        <v>1</v>
      </c>
      <c r="D415" s="29">
        <v>5.65</v>
      </c>
      <c r="E415" s="29">
        <v>5.65</v>
      </c>
      <c r="F415" s="30">
        <v>12.99</v>
      </c>
      <c r="G415" s="29">
        <v>12.99</v>
      </c>
      <c r="H415" s="28" t="s">
        <v>2538</v>
      </c>
      <c r="I415" s="27" t="s">
        <v>280</v>
      </c>
      <c r="J415" s="31" t="s">
        <v>5</v>
      </c>
      <c r="K415" s="27" t="s">
        <v>282</v>
      </c>
      <c r="L415" s="27" t="s">
        <v>393</v>
      </c>
      <c r="M415" s="32"/>
    </row>
    <row r="416" spans="1:13" ht="15.2" customHeight="1" x14ac:dyDescent="0.2">
      <c r="A416" s="26" t="s">
        <v>8185</v>
      </c>
      <c r="B416" s="27" t="s">
        <v>1712</v>
      </c>
      <c r="C416" s="28">
        <v>1</v>
      </c>
      <c r="D416" s="29">
        <v>5.5</v>
      </c>
      <c r="E416" s="29">
        <v>5.5</v>
      </c>
      <c r="F416" s="30">
        <v>12.99</v>
      </c>
      <c r="G416" s="29">
        <v>12.99</v>
      </c>
      <c r="H416" s="28" t="s">
        <v>1713</v>
      </c>
      <c r="I416" s="27" t="s">
        <v>33</v>
      </c>
      <c r="J416" s="31" t="s">
        <v>21</v>
      </c>
      <c r="K416" s="27" t="s">
        <v>282</v>
      </c>
      <c r="L416" s="27" t="s">
        <v>312</v>
      </c>
      <c r="M416" s="32"/>
    </row>
    <row r="417" spans="1:13" ht="15.2" customHeight="1" x14ac:dyDescent="0.2">
      <c r="A417" s="26" t="s">
        <v>1711</v>
      </c>
      <c r="B417" s="27" t="s">
        <v>1712</v>
      </c>
      <c r="C417" s="28">
        <v>1</v>
      </c>
      <c r="D417" s="29">
        <v>5.5</v>
      </c>
      <c r="E417" s="29">
        <v>5.5</v>
      </c>
      <c r="F417" s="30">
        <v>12.99</v>
      </c>
      <c r="G417" s="29">
        <v>12.99</v>
      </c>
      <c r="H417" s="28" t="s">
        <v>1713</v>
      </c>
      <c r="I417" s="27" t="s">
        <v>33</v>
      </c>
      <c r="J417" s="31" t="s">
        <v>52</v>
      </c>
      <c r="K417" s="27" t="s">
        <v>282</v>
      </c>
      <c r="L417" s="27" t="s">
        <v>312</v>
      </c>
      <c r="M417" s="32"/>
    </row>
    <row r="418" spans="1:13" ht="15.2" customHeight="1" x14ac:dyDescent="0.2">
      <c r="A418" s="26" t="s">
        <v>1072</v>
      </c>
      <c r="B418" s="27" t="s">
        <v>1073</v>
      </c>
      <c r="C418" s="28">
        <v>3</v>
      </c>
      <c r="D418" s="29">
        <v>5.5</v>
      </c>
      <c r="E418" s="29">
        <v>16.5</v>
      </c>
      <c r="F418" s="30">
        <v>12.99</v>
      </c>
      <c r="G418" s="29">
        <v>38.97</v>
      </c>
      <c r="H418" s="28" t="s">
        <v>1074</v>
      </c>
      <c r="I418" s="27" t="s">
        <v>82</v>
      </c>
      <c r="J418" s="31" t="s">
        <v>958</v>
      </c>
      <c r="K418" s="27" t="s">
        <v>70</v>
      </c>
      <c r="L418" s="27" t="s">
        <v>353</v>
      </c>
      <c r="M418" s="32"/>
    </row>
    <row r="419" spans="1:13" ht="15.2" customHeight="1" x14ac:dyDescent="0.2">
      <c r="A419" s="26" t="s">
        <v>626</v>
      </c>
      <c r="B419" s="27" t="s">
        <v>627</v>
      </c>
      <c r="C419" s="28">
        <v>1</v>
      </c>
      <c r="D419" s="29">
        <v>5.5</v>
      </c>
      <c r="E419" s="29">
        <v>5.5</v>
      </c>
      <c r="F419" s="30">
        <v>13.99</v>
      </c>
      <c r="G419" s="29">
        <v>13.99</v>
      </c>
      <c r="H419" s="28" t="s">
        <v>619</v>
      </c>
      <c r="I419" s="27" t="s">
        <v>4</v>
      </c>
      <c r="J419" s="31" t="s">
        <v>65</v>
      </c>
      <c r="K419" s="27" t="s">
        <v>70</v>
      </c>
      <c r="L419" s="27" t="s">
        <v>353</v>
      </c>
      <c r="M419" s="32"/>
    </row>
    <row r="420" spans="1:13" ht="15.2" customHeight="1" x14ac:dyDescent="0.2">
      <c r="A420" s="26" t="s">
        <v>7706</v>
      </c>
      <c r="B420" s="27" t="s">
        <v>7707</v>
      </c>
      <c r="C420" s="28">
        <v>1</v>
      </c>
      <c r="D420" s="29">
        <v>5.5</v>
      </c>
      <c r="E420" s="29">
        <v>5.5</v>
      </c>
      <c r="F420" s="30">
        <v>12.99</v>
      </c>
      <c r="G420" s="29">
        <v>12.99</v>
      </c>
      <c r="H420" s="28" t="s">
        <v>4331</v>
      </c>
      <c r="I420" s="27" t="s">
        <v>82</v>
      </c>
      <c r="J420" s="31" t="s">
        <v>40</v>
      </c>
      <c r="K420" s="27" t="s">
        <v>70</v>
      </c>
      <c r="L420" s="27" t="s">
        <v>353</v>
      </c>
      <c r="M420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Pallets</vt:lpstr>
      <vt:lpstr>10041825</vt:lpstr>
      <vt:lpstr>10046104</vt:lpstr>
      <vt:lpstr>10063308</vt:lpstr>
      <vt:lpstr>10071075</vt:lpstr>
      <vt:lpstr>10077602</vt:lpstr>
      <vt:lpstr>10084823</vt:lpstr>
      <vt:lpstr>10007558</vt:lpstr>
      <vt:lpstr>10022611</vt:lpstr>
      <vt:lpstr>9827090</vt:lpstr>
      <vt:lpstr>9828152</vt:lpstr>
      <vt:lpstr>9918336</vt:lpstr>
      <vt:lpstr>9941999</vt:lpstr>
      <vt:lpstr>9950488</vt:lpstr>
      <vt:lpstr>9953358</vt:lpstr>
      <vt:lpstr>9954082</vt:lpstr>
      <vt:lpstr>9974547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dremh</dc:creator>
  <cp:lastModifiedBy>OTG</cp:lastModifiedBy>
  <cp:lastPrinted>2018-11-08T14:48:25Z</cp:lastPrinted>
  <dcterms:created xsi:type="dcterms:W3CDTF">2017-08-07T16:53:14Z</dcterms:created>
  <dcterms:modified xsi:type="dcterms:W3CDTF">2018-11-09T16:20:34Z</dcterms:modified>
</cp:coreProperties>
</file>